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C7B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116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'[2]Consol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'[2]Consol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'[2]Consol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'[2]Consol Summary'!#REF!</definedName>
    <definedName name="PERIOD2">'[2]Consol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'[2]Consol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Changes!$A$1:$I$73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'[2]Consol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0" fullCalcOnLoad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3" i="23"/>
  <c r="D33" i="23"/>
  <c r="E33" i="23"/>
  <c r="C35" i="23"/>
  <c r="D35" i="23"/>
  <c r="E35" i="23"/>
  <c r="C37" i="23"/>
  <c r="D37" i="23"/>
  <c r="E37" i="23"/>
  <c r="C39" i="23"/>
  <c r="D39" i="23"/>
  <c r="E39" i="23"/>
  <c r="C42" i="23"/>
  <c r="D42" i="23"/>
  <c r="E42" i="23"/>
  <c r="C43" i="23"/>
  <c r="D43" i="23"/>
  <c r="E43" i="23"/>
  <c r="C45" i="23"/>
  <c r="D45" i="23"/>
  <c r="E45" i="23"/>
  <c r="C46" i="23"/>
  <c r="D46" i="23"/>
  <c r="E46" i="23"/>
  <c r="C47" i="23"/>
  <c r="D47" i="23"/>
  <c r="E47" i="23"/>
  <c r="C48" i="23"/>
  <c r="D48" i="23"/>
  <c r="E48" i="23"/>
  <c r="C50" i="23"/>
  <c r="D50" i="23"/>
  <c r="E50" i="23"/>
  <c r="C52" i="23"/>
  <c r="D52" i="23"/>
  <c r="E52" i="23"/>
  <c r="C55" i="23"/>
  <c r="D55" i="23"/>
  <c r="E55" i="23"/>
  <c r="C56" i="23"/>
  <c r="D56" i="23"/>
  <c r="E56" i="23"/>
  <c r="C57" i="23"/>
  <c r="D57" i="23"/>
  <c r="E57" i="23"/>
  <c r="C59" i="23"/>
  <c r="D59" i="23"/>
  <c r="E59" i="23"/>
  <c r="C61" i="23"/>
  <c r="D61" i="23"/>
  <c r="E61" i="23"/>
  <c r="C63" i="23"/>
  <c r="D63" i="23"/>
  <c r="E63" i="23"/>
  <c r="C64" i="23"/>
  <c r="D64" i="23"/>
  <c r="E64" i="23"/>
  <c r="C9" i="20"/>
  <c r="C11" i="20"/>
  <c r="D11" i="20"/>
  <c r="E11" i="20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C36" i="20"/>
  <c r="D36" i="20"/>
  <c r="E36" i="20"/>
  <c r="C38" i="20"/>
  <c r="D38" i="20"/>
  <c r="E38" i="20"/>
  <c r="C40" i="20"/>
  <c r="D40" i="20"/>
  <c r="E40" i="20"/>
  <c r="C42" i="20"/>
  <c r="D42" i="20"/>
  <c r="E42" i="20"/>
  <c r="C45" i="20"/>
  <c r="D45" i="20"/>
  <c r="E45" i="20"/>
  <c r="C46" i="20"/>
  <c r="D46" i="20"/>
  <c r="E46" i="20"/>
  <c r="C48" i="20"/>
  <c r="D48" i="20"/>
  <c r="E48" i="20"/>
  <c r="C49" i="20"/>
  <c r="D49" i="20"/>
  <c r="E49" i="20"/>
  <c r="C50" i="20"/>
  <c r="D50" i="20"/>
  <c r="E50" i="20"/>
  <c r="C51" i="20"/>
  <c r="D51" i="20"/>
  <c r="E51" i="20"/>
  <c r="C53" i="20"/>
  <c r="D53" i="20"/>
  <c r="E53" i="20"/>
  <c r="C55" i="20"/>
  <c r="D55" i="20"/>
  <c r="E55" i="20"/>
  <c r="C58" i="20"/>
  <c r="D58" i="20"/>
  <c r="E58" i="20"/>
  <c r="C59" i="20"/>
  <c r="D59" i="20"/>
  <c r="E59" i="20"/>
  <c r="C60" i="20"/>
  <c r="D60" i="20"/>
  <c r="E60" i="20"/>
  <c r="C62" i="20"/>
  <c r="D62" i="20"/>
  <c r="E62" i="20"/>
  <c r="C64" i="20"/>
  <c r="D64" i="20"/>
  <c r="E64" i="20"/>
  <c r="C66" i="20"/>
  <c r="D66" i="20"/>
  <c r="E66" i="20"/>
  <c r="C67" i="20"/>
  <c r="D67" i="20"/>
  <c r="E67" i="20"/>
  <c r="J7" i="17"/>
  <c r="J9" i="17"/>
  <c r="J11" i="17"/>
  <c r="J12" i="17"/>
  <c r="B13" i="17"/>
  <c r="C13" i="17"/>
  <c r="D13" i="17"/>
  <c r="F13" i="17"/>
  <c r="G13" i="17"/>
  <c r="H13" i="17"/>
  <c r="J13" i="17"/>
  <c r="J15" i="17"/>
  <c r="J16" i="17"/>
  <c r="B17" i="17"/>
  <c r="C17" i="17"/>
  <c r="D17" i="17"/>
  <c r="F17" i="17"/>
  <c r="G17" i="17"/>
  <c r="H17" i="17"/>
  <c r="J17" i="17"/>
  <c r="J19" i="17"/>
  <c r="J20" i="17"/>
  <c r="B21" i="17"/>
  <c r="C21" i="17"/>
  <c r="D21" i="17"/>
  <c r="F21" i="17"/>
  <c r="G21" i="17"/>
  <c r="H21" i="17"/>
  <c r="J21" i="17"/>
  <c r="B23" i="17"/>
  <c r="C23" i="17"/>
  <c r="D23" i="17"/>
  <c r="F23" i="17"/>
  <c r="G23" i="17"/>
  <c r="H23" i="17"/>
  <c r="J23" i="17"/>
  <c r="J25" i="17"/>
  <c r="J26" i="17"/>
  <c r="B27" i="17"/>
  <c r="C27" i="17"/>
  <c r="D27" i="17"/>
  <c r="F27" i="17"/>
  <c r="G27" i="17"/>
  <c r="H27" i="17"/>
  <c r="J27" i="17"/>
  <c r="C33" i="17"/>
  <c r="D33" i="17"/>
  <c r="F33" i="17"/>
  <c r="G33" i="17"/>
  <c r="H33" i="17"/>
  <c r="J33" i="17"/>
  <c r="B35" i="17"/>
  <c r="C35" i="17"/>
  <c r="D35" i="17"/>
  <c r="F35" i="17"/>
  <c r="G35" i="17"/>
  <c r="H35" i="17"/>
  <c r="J35" i="17"/>
  <c r="B36" i="17"/>
  <c r="C36" i="17"/>
  <c r="D36" i="17"/>
  <c r="F36" i="17"/>
  <c r="G36" i="17"/>
  <c r="H36" i="17"/>
  <c r="J36" i="17"/>
  <c r="B37" i="17"/>
  <c r="C37" i="17"/>
  <c r="D37" i="17"/>
  <c r="F37" i="17"/>
  <c r="G37" i="17"/>
  <c r="H37" i="17"/>
  <c r="J37" i="17"/>
  <c r="B38" i="17"/>
  <c r="C38" i="17"/>
  <c r="D38" i="17"/>
  <c r="F38" i="17"/>
  <c r="G38" i="17"/>
  <c r="H38" i="17"/>
  <c r="J38" i="17"/>
  <c r="B39" i="17"/>
  <c r="C39" i="17"/>
  <c r="D39" i="17"/>
  <c r="F39" i="17"/>
  <c r="G39" i="17"/>
  <c r="H39" i="17"/>
  <c r="J39" i="17"/>
  <c r="B40" i="17"/>
  <c r="C40" i="17"/>
  <c r="D40" i="17"/>
  <c r="F40" i="17"/>
  <c r="G40" i="17"/>
  <c r="H40" i="17"/>
  <c r="J40" i="17"/>
  <c r="B41" i="17"/>
  <c r="C41" i="17"/>
  <c r="D41" i="17"/>
  <c r="F41" i="17"/>
  <c r="G41" i="17"/>
  <c r="H41" i="17"/>
  <c r="J41" i="17"/>
  <c r="B42" i="17"/>
  <c r="C42" i="17"/>
  <c r="D42" i="17"/>
  <c r="F42" i="17"/>
  <c r="G42" i="17"/>
  <c r="H42" i="17"/>
  <c r="J42" i="17"/>
  <c r="C6" i="9"/>
  <c r="D6" i="9"/>
  <c r="E6" i="9"/>
  <c r="C8" i="9"/>
  <c r="D8" i="9"/>
  <c r="E8" i="9"/>
  <c r="C10" i="9"/>
  <c r="D10" i="9"/>
  <c r="E10" i="9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19" i="9"/>
  <c r="D19" i="9"/>
  <c r="E19" i="9"/>
  <c r="C20" i="9"/>
  <c r="D20" i="9"/>
  <c r="E20" i="9"/>
  <c r="G20" i="9"/>
  <c r="C22" i="9"/>
  <c r="D22" i="9"/>
  <c r="E22" i="9"/>
  <c r="E25" i="9"/>
  <c r="C28" i="9"/>
  <c r="D28" i="9"/>
  <c r="E28" i="9"/>
  <c r="B30" i="9"/>
  <c r="B32" i="9"/>
  <c r="C36" i="9"/>
  <c r="D36" i="9"/>
  <c r="E36" i="9"/>
  <c r="B38" i="9"/>
  <c r="B40" i="9"/>
  <c r="C6" i="10"/>
  <c r="D6" i="10"/>
  <c r="E6" i="10"/>
  <c r="C8" i="10"/>
  <c r="D8" i="10"/>
  <c r="E8" i="10"/>
  <c r="C10" i="10"/>
  <c r="D10" i="10"/>
  <c r="E10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G20" i="10"/>
  <c r="C22" i="10"/>
  <c r="D22" i="10"/>
  <c r="E22" i="10"/>
  <c r="E25" i="10"/>
  <c r="C28" i="10"/>
  <c r="D28" i="10"/>
  <c r="E28" i="10"/>
  <c r="B30" i="10"/>
  <c r="B32" i="10"/>
  <c r="C36" i="10"/>
  <c r="D36" i="10"/>
  <c r="E36" i="10"/>
  <c r="B38" i="10"/>
  <c r="B40" i="10"/>
  <c r="B71" i="18"/>
  <c r="B72" i="18"/>
  <c r="B73" i="18"/>
  <c r="B74" i="18"/>
  <c r="B78" i="18"/>
  <c r="B79" i="18"/>
  <c r="B80" i="18"/>
  <c r="B81" i="18"/>
  <c r="B85" i="18"/>
  <c r="B86" i="18"/>
  <c r="B87" i="18"/>
  <c r="B88" i="18"/>
  <c r="B92" i="18"/>
  <c r="B93" i="18"/>
  <c r="B94" i="18"/>
  <c r="B95" i="18"/>
  <c r="B99" i="18"/>
  <c r="B100" i="18"/>
  <c r="B101" i="18"/>
  <c r="B102" i="18"/>
  <c r="B106" i="18"/>
  <c r="B107" i="18"/>
  <c r="B108" i="18"/>
  <c r="B109" i="18"/>
  <c r="C6" i="4"/>
  <c r="D6" i="4"/>
  <c r="E6" i="4"/>
  <c r="C8" i="4"/>
  <c r="D8" i="4"/>
  <c r="E8" i="4"/>
  <c r="C10" i="4"/>
  <c r="D10" i="4"/>
  <c r="E10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2" i="4"/>
  <c r="D22" i="4"/>
  <c r="E22" i="4"/>
  <c r="E25" i="4"/>
  <c r="F25" i="4"/>
  <c r="C28" i="4"/>
  <c r="D28" i="4"/>
  <c r="E28" i="4"/>
  <c r="B30" i="4"/>
  <c r="B32" i="4"/>
  <c r="F32" i="4"/>
  <c r="C36" i="4"/>
  <c r="D36" i="4"/>
  <c r="E36" i="4"/>
  <c r="B38" i="4"/>
  <c r="B40" i="4"/>
  <c r="F40" i="4"/>
  <c r="D4" i="25"/>
  <c r="C10" i="25"/>
  <c r="D10" i="25"/>
  <c r="E10" i="25"/>
  <c r="C11" i="25"/>
  <c r="D11" i="25"/>
  <c r="E11" i="25"/>
  <c r="F11" i="25"/>
  <c r="G11" i="25"/>
  <c r="H11" i="25"/>
  <c r="I11" i="25"/>
  <c r="C13" i="25"/>
  <c r="D13" i="25"/>
  <c r="E13" i="25"/>
  <c r="F13" i="25"/>
  <c r="G13" i="25"/>
  <c r="C14" i="25"/>
  <c r="D14" i="25"/>
  <c r="E14" i="25"/>
  <c r="F14" i="25"/>
  <c r="G14" i="25"/>
  <c r="B15" i="25"/>
  <c r="C15" i="25"/>
  <c r="D15" i="25"/>
  <c r="E15" i="25"/>
  <c r="F15" i="25"/>
  <c r="G15" i="25"/>
  <c r="C19" i="25"/>
  <c r="D19" i="25"/>
  <c r="E19" i="25"/>
  <c r="C20" i="25"/>
  <c r="D20" i="25"/>
  <c r="E20" i="25"/>
  <c r="F20" i="25"/>
  <c r="G20" i="25"/>
  <c r="H20" i="25"/>
  <c r="I20" i="25"/>
  <c r="C22" i="25"/>
  <c r="D22" i="25"/>
  <c r="E22" i="25"/>
  <c r="F22" i="25"/>
  <c r="G22" i="25"/>
  <c r="C23" i="25"/>
  <c r="D23" i="25"/>
  <c r="E23" i="25"/>
  <c r="F23" i="25"/>
  <c r="G23" i="25"/>
  <c r="B24" i="25"/>
  <c r="C24" i="25"/>
  <c r="D24" i="25"/>
  <c r="E24" i="25"/>
  <c r="F24" i="25"/>
  <c r="G24" i="25"/>
  <c r="C28" i="25"/>
  <c r="D28" i="25"/>
  <c r="E28" i="25"/>
  <c r="C29" i="25"/>
  <c r="D29" i="25"/>
  <c r="E29" i="25"/>
  <c r="F29" i="25"/>
  <c r="G29" i="25"/>
  <c r="H29" i="25"/>
  <c r="I29" i="25"/>
  <c r="C31" i="25"/>
  <c r="D31" i="25"/>
  <c r="E31" i="25"/>
  <c r="F31" i="25"/>
  <c r="G31" i="25"/>
  <c r="C32" i="25"/>
  <c r="D32" i="25"/>
  <c r="E32" i="25"/>
  <c r="F32" i="25"/>
  <c r="G32" i="25"/>
  <c r="B33" i="25"/>
  <c r="C33" i="25"/>
  <c r="D33" i="25"/>
  <c r="E33" i="25"/>
  <c r="F33" i="25"/>
  <c r="G33" i="25"/>
  <c r="D37" i="25"/>
  <c r="E37" i="25"/>
  <c r="C38" i="25"/>
  <c r="D38" i="25"/>
  <c r="E38" i="25"/>
  <c r="F38" i="25"/>
  <c r="G38" i="25"/>
  <c r="H38" i="25"/>
  <c r="I38" i="25"/>
  <c r="B40" i="25"/>
  <c r="C40" i="25"/>
  <c r="D40" i="25"/>
  <c r="E40" i="25"/>
  <c r="F40" i="25"/>
  <c r="G40" i="25"/>
  <c r="C41" i="25"/>
  <c r="D41" i="25"/>
  <c r="E41" i="25"/>
  <c r="F41" i="25"/>
  <c r="G41" i="25"/>
  <c r="B42" i="25"/>
  <c r="C42" i="25"/>
  <c r="D42" i="25"/>
  <c r="E42" i="25"/>
  <c r="F42" i="25"/>
  <c r="G42" i="25"/>
  <c r="D46" i="25"/>
  <c r="E46" i="25"/>
  <c r="C47" i="25"/>
  <c r="D47" i="25"/>
  <c r="E47" i="25"/>
  <c r="F47" i="25"/>
  <c r="G47" i="25"/>
  <c r="H47" i="25"/>
  <c r="I47" i="25"/>
  <c r="B49" i="25"/>
  <c r="C49" i="25"/>
  <c r="D49" i="25"/>
  <c r="E49" i="25"/>
  <c r="F49" i="25"/>
  <c r="G49" i="25"/>
  <c r="C50" i="25"/>
  <c r="D50" i="25"/>
  <c r="E50" i="25"/>
  <c r="F50" i="25"/>
  <c r="G50" i="25"/>
  <c r="B51" i="25"/>
  <c r="C51" i="25"/>
  <c r="D51" i="25"/>
  <c r="E51" i="25"/>
  <c r="F51" i="25"/>
  <c r="G51" i="25"/>
  <c r="D55" i="25"/>
  <c r="E55" i="25"/>
  <c r="C56" i="25"/>
  <c r="D56" i="25"/>
  <c r="E56" i="25"/>
  <c r="F56" i="25"/>
  <c r="G56" i="25"/>
  <c r="H56" i="25"/>
  <c r="I56" i="25"/>
  <c r="B58" i="25"/>
  <c r="C58" i="25"/>
  <c r="D58" i="25"/>
  <c r="E58" i="25"/>
  <c r="F58" i="25"/>
  <c r="G58" i="25"/>
  <c r="C59" i="25"/>
  <c r="D59" i="25"/>
  <c r="E59" i="25"/>
  <c r="F59" i="25"/>
  <c r="G59" i="25"/>
  <c r="B60" i="25"/>
  <c r="C60" i="25"/>
  <c r="D60" i="25"/>
  <c r="E60" i="25"/>
  <c r="F60" i="25"/>
  <c r="G60" i="25"/>
  <c r="B64" i="25"/>
  <c r="C64" i="25"/>
  <c r="D64" i="25"/>
  <c r="E64" i="25"/>
  <c r="F64" i="25"/>
  <c r="G64" i="25"/>
  <c r="B65" i="25"/>
  <c r="C65" i="25"/>
  <c r="D65" i="25"/>
  <c r="E65" i="25"/>
  <c r="F65" i="25"/>
  <c r="G65" i="25"/>
  <c r="B66" i="25"/>
  <c r="C66" i="25"/>
  <c r="D66" i="25"/>
  <c r="E66" i="25"/>
  <c r="F66" i="25"/>
  <c r="G66" i="25"/>
  <c r="B70" i="25"/>
  <c r="B71" i="25"/>
  <c r="B72" i="25"/>
  <c r="B73" i="25"/>
  <c r="B74" i="25"/>
  <c r="B75" i="25"/>
  <c r="B76" i="25"/>
  <c r="C6" i="12"/>
  <c r="D6" i="12"/>
  <c r="E6" i="12"/>
  <c r="C8" i="12"/>
  <c r="D8" i="12"/>
  <c r="E8" i="12"/>
  <c r="C10" i="12"/>
  <c r="D10" i="12"/>
  <c r="E10" i="12"/>
  <c r="C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G20" i="12"/>
  <c r="C22" i="12"/>
  <c r="D22" i="12"/>
  <c r="E22" i="12"/>
  <c r="E25" i="12"/>
  <c r="C28" i="12"/>
  <c r="D28" i="12"/>
  <c r="E28" i="12"/>
  <c r="B30" i="12"/>
  <c r="B32" i="12"/>
  <c r="C36" i="12"/>
  <c r="D36" i="12"/>
  <c r="E36" i="12"/>
  <c r="B38" i="12"/>
  <c r="B40" i="12"/>
  <c r="C6" i="11"/>
  <c r="D6" i="11"/>
  <c r="E6" i="11"/>
  <c r="C8" i="11"/>
  <c r="D8" i="11"/>
  <c r="E8" i="11"/>
  <c r="C10" i="11"/>
  <c r="D10" i="11"/>
  <c r="E10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G20" i="11"/>
  <c r="C22" i="11"/>
  <c r="D22" i="11"/>
  <c r="E22" i="11"/>
  <c r="E25" i="11"/>
  <c r="C28" i="11"/>
  <c r="D28" i="11"/>
  <c r="E28" i="11"/>
  <c r="B30" i="11"/>
  <c r="B32" i="11"/>
  <c r="C36" i="11"/>
  <c r="D36" i="11"/>
  <c r="E36" i="11"/>
  <c r="B38" i="11"/>
  <c r="B40" i="11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B64" i="24"/>
  <c r="C64" i="24"/>
  <c r="D64" i="24"/>
  <c r="E64" i="24"/>
  <c r="F64" i="24"/>
  <c r="G64" i="24"/>
  <c r="H64" i="24"/>
  <c r="I64" i="24"/>
  <c r="J64" i="24"/>
  <c r="B65" i="24"/>
  <c r="C65" i="24"/>
  <c r="D65" i="24"/>
  <c r="E65" i="24"/>
  <c r="F65" i="24"/>
  <c r="G65" i="24"/>
  <c r="H65" i="24"/>
  <c r="I65" i="24"/>
  <c r="J65" i="24"/>
  <c r="B66" i="24"/>
  <c r="C66" i="24"/>
  <c r="D66" i="24"/>
  <c r="E66" i="24"/>
  <c r="F66" i="24"/>
  <c r="G66" i="24"/>
  <c r="H66" i="24"/>
  <c r="I66" i="24"/>
  <c r="J66" i="24"/>
  <c r="B68" i="24"/>
  <c r="C68" i="24"/>
  <c r="D68" i="24"/>
  <c r="E68" i="24"/>
  <c r="F68" i="24"/>
  <c r="G68" i="24"/>
  <c r="H68" i="24"/>
  <c r="I68" i="24"/>
  <c r="J68" i="24"/>
  <c r="B69" i="24"/>
  <c r="C69" i="24"/>
  <c r="D69" i="24"/>
  <c r="E69" i="24"/>
  <c r="F69" i="24"/>
  <c r="G69" i="24"/>
  <c r="H69" i="24"/>
  <c r="I69" i="24"/>
  <c r="J69" i="24"/>
  <c r="B70" i="24"/>
  <c r="C70" i="24"/>
  <c r="D70" i="24"/>
  <c r="E70" i="24"/>
  <c r="F70" i="24"/>
  <c r="G70" i="24"/>
  <c r="H70" i="24"/>
  <c r="I70" i="24"/>
  <c r="J70" i="24"/>
  <c r="B71" i="24"/>
  <c r="C71" i="24"/>
  <c r="D71" i="24"/>
  <c r="E71" i="24"/>
  <c r="F71" i="24"/>
  <c r="G71" i="24"/>
  <c r="H71" i="24"/>
  <c r="I71" i="24"/>
  <c r="J71" i="24"/>
  <c r="B75" i="24"/>
  <c r="C75" i="24"/>
  <c r="D75" i="24"/>
  <c r="B76" i="24"/>
  <c r="C76" i="24"/>
  <c r="D76" i="24"/>
  <c r="B77" i="24"/>
  <c r="C77" i="24"/>
  <c r="D77" i="24"/>
  <c r="B79" i="24"/>
  <c r="C79" i="24"/>
  <c r="D79" i="24"/>
  <c r="B80" i="24"/>
  <c r="C80" i="24"/>
  <c r="D80" i="24"/>
  <c r="B81" i="24"/>
  <c r="C81" i="24"/>
  <c r="D81" i="24"/>
  <c r="B82" i="24"/>
  <c r="C82" i="24"/>
  <c r="D82" i="24"/>
  <c r="B86" i="24"/>
  <c r="C86" i="24"/>
  <c r="D86" i="24"/>
  <c r="B87" i="24"/>
  <c r="C87" i="24"/>
  <c r="D87" i="24"/>
  <c r="B88" i="24"/>
  <c r="C88" i="24"/>
  <c r="D88" i="24"/>
  <c r="B90" i="24"/>
  <c r="C90" i="24"/>
  <c r="D90" i="24"/>
  <c r="B91" i="24"/>
  <c r="C91" i="24"/>
  <c r="D91" i="24"/>
  <c r="B92" i="24"/>
  <c r="C92" i="24"/>
  <c r="D92" i="24"/>
  <c r="B93" i="24"/>
  <c r="C93" i="24"/>
  <c r="D93" i="24"/>
  <c r="G10" i="15"/>
  <c r="H10" i="15"/>
  <c r="I10" i="15"/>
  <c r="J10" i="15"/>
  <c r="K10" i="15"/>
  <c r="L10" i="15"/>
  <c r="N10" i="15"/>
  <c r="O10" i="15"/>
  <c r="P10" i="15"/>
  <c r="Q10" i="15"/>
  <c r="R10" i="15"/>
  <c r="S10" i="15"/>
  <c r="G11" i="15"/>
  <c r="H11" i="15"/>
  <c r="I11" i="15"/>
  <c r="J11" i="15"/>
  <c r="K11" i="15"/>
  <c r="L11" i="15"/>
  <c r="N11" i="15"/>
  <c r="O11" i="15"/>
  <c r="P11" i="15"/>
  <c r="Q11" i="15"/>
  <c r="R11" i="15"/>
  <c r="S11" i="15"/>
  <c r="A12" i="15"/>
  <c r="G12" i="15"/>
  <c r="H12" i="15"/>
  <c r="I12" i="15"/>
  <c r="J12" i="15"/>
  <c r="K12" i="15"/>
  <c r="L12" i="15"/>
  <c r="N12" i="15"/>
  <c r="O12" i="15"/>
  <c r="P12" i="15"/>
  <c r="Q12" i="15"/>
  <c r="R12" i="15"/>
  <c r="S12" i="15"/>
  <c r="A13" i="15"/>
  <c r="G13" i="15"/>
  <c r="H13" i="15"/>
  <c r="I13" i="15"/>
  <c r="J13" i="15"/>
  <c r="K13" i="15"/>
  <c r="L13" i="15"/>
  <c r="N13" i="15"/>
  <c r="O13" i="15"/>
  <c r="P13" i="15"/>
  <c r="Q13" i="15"/>
  <c r="R13" i="15"/>
  <c r="S13" i="15"/>
  <c r="A14" i="15"/>
  <c r="G14" i="15"/>
  <c r="H14" i="15"/>
  <c r="I14" i="15"/>
  <c r="J14" i="15"/>
  <c r="K14" i="15"/>
  <c r="L14" i="15"/>
  <c r="N14" i="15"/>
  <c r="O14" i="15"/>
  <c r="P14" i="15"/>
  <c r="Q14" i="15"/>
  <c r="R14" i="15"/>
  <c r="S14" i="15"/>
  <c r="A15" i="15"/>
  <c r="G15" i="15"/>
  <c r="H15" i="15"/>
  <c r="I15" i="15"/>
  <c r="J15" i="15"/>
  <c r="K15" i="15"/>
  <c r="L15" i="15"/>
  <c r="N15" i="15"/>
  <c r="O15" i="15"/>
  <c r="P15" i="15"/>
  <c r="Q15" i="15"/>
  <c r="R15" i="15"/>
  <c r="S15" i="15"/>
  <c r="A16" i="15"/>
  <c r="G16" i="15"/>
  <c r="H16" i="15"/>
  <c r="I16" i="15"/>
  <c r="J16" i="15"/>
  <c r="K16" i="15"/>
  <c r="L16" i="15"/>
  <c r="N16" i="15"/>
  <c r="O16" i="15"/>
  <c r="P16" i="15"/>
  <c r="Q16" i="15"/>
  <c r="R16" i="15"/>
  <c r="S16" i="15"/>
  <c r="A17" i="15"/>
  <c r="G17" i="15"/>
  <c r="H17" i="15"/>
  <c r="I17" i="15"/>
  <c r="J17" i="15"/>
  <c r="K17" i="15"/>
  <c r="L17" i="15"/>
  <c r="N17" i="15"/>
  <c r="O17" i="15"/>
  <c r="P17" i="15"/>
  <c r="Q17" i="15"/>
  <c r="R17" i="15"/>
  <c r="S17" i="15"/>
  <c r="A18" i="15"/>
  <c r="G18" i="15"/>
  <c r="H18" i="15"/>
  <c r="I18" i="15"/>
  <c r="J18" i="15"/>
  <c r="K18" i="15"/>
  <c r="L18" i="15"/>
  <c r="N18" i="15"/>
  <c r="O18" i="15"/>
  <c r="P18" i="15"/>
  <c r="Q18" i="15"/>
  <c r="R18" i="15"/>
  <c r="S18" i="15"/>
  <c r="A19" i="15"/>
  <c r="G19" i="15"/>
  <c r="H19" i="15"/>
  <c r="I19" i="15"/>
  <c r="J19" i="15"/>
  <c r="K19" i="15"/>
  <c r="L19" i="15"/>
  <c r="N19" i="15"/>
  <c r="O19" i="15"/>
  <c r="P19" i="15"/>
  <c r="Q19" i="15"/>
  <c r="R19" i="15"/>
  <c r="S19" i="15"/>
  <c r="A20" i="15"/>
  <c r="G20" i="15"/>
  <c r="H20" i="15"/>
  <c r="I20" i="15"/>
  <c r="J20" i="15"/>
  <c r="K20" i="15"/>
  <c r="L20" i="15"/>
  <c r="N20" i="15"/>
  <c r="O20" i="15"/>
  <c r="P20" i="15"/>
  <c r="Q20" i="15"/>
  <c r="R20" i="15"/>
  <c r="S20" i="15"/>
  <c r="A21" i="15"/>
  <c r="G21" i="15"/>
  <c r="H21" i="15"/>
  <c r="I21" i="15"/>
  <c r="J21" i="15"/>
  <c r="K21" i="15"/>
  <c r="L21" i="15"/>
  <c r="N21" i="15"/>
  <c r="O21" i="15"/>
  <c r="P21" i="15"/>
  <c r="Q21" i="15"/>
  <c r="R21" i="15"/>
  <c r="S21" i="15"/>
  <c r="A22" i="15"/>
  <c r="G22" i="15"/>
  <c r="H22" i="15"/>
  <c r="I22" i="15"/>
  <c r="J22" i="15"/>
  <c r="K22" i="15"/>
  <c r="L22" i="15"/>
  <c r="N22" i="15"/>
  <c r="O22" i="15"/>
  <c r="P22" i="15"/>
  <c r="Q22" i="15"/>
  <c r="R22" i="15"/>
  <c r="S22" i="15"/>
  <c r="A23" i="15"/>
  <c r="G23" i="15"/>
  <c r="H23" i="15"/>
  <c r="I23" i="15"/>
  <c r="J23" i="15"/>
  <c r="K23" i="15"/>
  <c r="L23" i="15"/>
  <c r="N23" i="15"/>
  <c r="O23" i="15"/>
  <c r="P23" i="15"/>
  <c r="Q23" i="15"/>
  <c r="R23" i="15"/>
  <c r="S23" i="15"/>
  <c r="A24" i="15"/>
  <c r="G24" i="15"/>
  <c r="H24" i="15"/>
  <c r="I24" i="15"/>
  <c r="J24" i="15"/>
  <c r="K24" i="15"/>
  <c r="L24" i="15"/>
  <c r="N24" i="15"/>
  <c r="O24" i="15"/>
  <c r="P24" i="15"/>
  <c r="Q24" i="15"/>
  <c r="R24" i="15"/>
  <c r="S24" i="15"/>
  <c r="A25" i="15"/>
  <c r="G25" i="15"/>
  <c r="H25" i="15"/>
  <c r="I25" i="15"/>
  <c r="J25" i="15"/>
  <c r="K25" i="15"/>
  <c r="L25" i="15"/>
  <c r="N25" i="15"/>
  <c r="O25" i="15"/>
  <c r="P25" i="15"/>
  <c r="Q25" i="15"/>
  <c r="R25" i="15"/>
  <c r="S25" i="15"/>
  <c r="A26" i="15"/>
  <c r="G26" i="15"/>
  <c r="H26" i="15"/>
  <c r="I26" i="15"/>
  <c r="J26" i="15"/>
  <c r="K26" i="15"/>
  <c r="L26" i="15"/>
  <c r="N26" i="15"/>
  <c r="O26" i="15"/>
  <c r="P26" i="15"/>
  <c r="Q26" i="15"/>
  <c r="R26" i="15"/>
  <c r="S26" i="15"/>
  <c r="A27" i="15"/>
  <c r="G27" i="15"/>
  <c r="H27" i="15"/>
  <c r="I27" i="15"/>
  <c r="J27" i="15"/>
  <c r="K27" i="15"/>
  <c r="L27" i="15"/>
  <c r="N27" i="15"/>
  <c r="O27" i="15"/>
  <c r="P27" i="15"/>
  <c r="Q27" i="15"/>
  <c r="R27" i="15"/>
  <c r="S27" i="15"/>
  <c r="A28" i="15"/>
  <c r="G28" i="15"/>
  <c r="H28" i="15"/>
  <c r="I28" i="15"/>
  <c r="J28" i="15"/>
  <c r="K28" i="15"/>
  <c r="L28" i="15"/>
  <c r="N28" i="15"/>
  <c r="O28" i="15"/>
  <c r="P28" i="15"/>
  <c r="Q28" i="15"/>
  <c r="R28" i="15"/>
  <c r="S28" i="15"/>
  <c r="A29" i="15"/>
  <c r="G29" i="15"/>
  <c r="H29" i="15"/>
  <c r="I29" i="15"/>
  <c r="J29" i="15"/>
  <c r="K29" i="15"/>
  <c r="L29" i="15"/>
  <c r="N29" i="15"/>
  <c r="O29" i="15"/>
  <c r="P29" i="15"/>
  <c r="Q29" i="15"/>
  <c r="R29" i="15"/>
  <c r="S29" i="15"/>
  <c r="A30" i="15"/>
  <c r="G30" i="15"/>
  <c r="H30" i="15"/>
  <c r="I30" i="15"/>
  <c r="J30" i="15"/>
  <c r="K30" i="15"/>
  <c r="L30" i="15"/>
  <c r="N30" i="15"/>
  <c r="O30" i="15"/>
  <c r="P30" i="15"/>
  <c r="Q30" i="15"/>
  <c r="R30" i="15"/>
  <c r="S30" i="15"/>
  <c r="A31" i="15"/>
  <c r="G31" i="15"/>
  <c r="H31" i="15"/>
  <c r="I31" i="15"/>
  <c r="J31" i="15"/>
  <c r="K31" i="15"/>
  <c r="L31" i="15"/>
  <c r="N31" i="15"/>
  <c r="O31" i="15"/>
  <c r="P31" i="15"/>
  <c r="Q31" i="15"/>
  <c r="R31" i="15"/>
  <c r="S31" i="15"/>
  <c r="A32" i="15"/>
  <c r="G32" i="15"/>
  <c r="H32" i="15"/>
  <c r="I32" i="15"/>
  <c r="J32" i="15"/>
  <c r="K32" i="15"/>
  <c r="L32" i="15"/>
  <c r="N32" i="15"/>
  <c r="O32" i="15"/>
  <c r="P32" i="15"/>
  <c r="Q32" i="15"/>
  <c r="R32" i="15"/>
  <c r="S32" i="15"/>
  <c r="A33" i="15"/>
  <c r="G33" i="15"/>
  <c r="H33" i="15"/>
  <c r="I33" i="15"/>
  <c r="J33" i="15"/>
  <c r="K33" i="15"/>
  <c r="L33" i="15"/>
  <c r="N33" i="15"/>
  <c r="O33" i="15"/>
  <c r="P33" i="15"/>
  <c r="Q33" i="15"/>
  <c r="R33" i="15"/>
  <c r="S33" i="15"/>
  <c r="A34" i="15"/>
  <c r="G34" i="15"/>
  <c r="H34" i="15"/>
  <c r="I34" i="15"/>
  <c r="J34" i="15"/>
  <c r="K34" i="15"/>
  <c r="L34" i="15"/>
  <c r="N34" i="15"/>
  <c r="O34" i="15"/>
  <c r="P34" i="15"/>
  <c r="Q34" i="15"/>
  <c r="R34" i="15"/>
  <c r="S34" i="15"/>
  <c r="A35" i="15"/>
  <c r="G35" i="15"/>
  <c r="H35" i="15"/>
  <c r="I35" i="15"/>
  <c r="J35" i="15"/>
  <c r="K35" i="15"/>
  <c r="L35" i="15"/>
  <c r="N35" i="15"/>
  <c r="O35" i="15"/>
  <c r="P35" i="15"/>
  <c r="Q35" i="15"/>
  <c r="R35" i="15"/>
  <c r="S35" i="15"/>
  <c r="K8" i="2"/>
  <c r="L8" i="2"/>
  <c r="M8" i="2"/>
  <c r="B9" i="2"/>
  <c r="H9" i="2"/>
  <c r="A10" i="2"/>
  <c r="B10" i="2"/>
  <c r="D10" i="2"/>
  <c r="H10" i="2"/>
  <c r="B11" i="2"/>
  <c r="H11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B13" i="2"/>
  <c r="A14" i="2"/>
  <c r="B14" i="2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D19" i="2"/>
  <c r="F19" i="2"/>
  <c r="B20" i="2"/>
  <c r="D20" i="2"/>
  <c r="F20" i="2"/>
  <c r="B24" i="2"/>
  <c r="B25" i="2"/>
  <c r="F25" i="2"/>
  <c r="B27" i="2"/>
  <c r="B28" i="2"/>
  <c r="C28" i="2"/>
  <c r="B82" i="2"/>
  <c r="B83" i="2"/>
  <c r="B84" i="2"/>
  <c r="B85" i="2"/>
  <c r="B88" i="2"/>
  <c r="B89" i="2"/>
  <c r="B90" i="2"/>
  <c r="B91" i="2"/>
  <c r="B92" i="2"/>
  <c r="B93" i="2"/>
  <c r="B94" i="2"/>
  <c r="B97" i="2"/>
  <c r="B98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C6" i="13"/>
  <c r="D6" i="13"/>
  <c r="E6" i="13"/>
  <c r="C8" i="13"/>
  <c r="D8" i="13"/>
  <c r="E8" i="13"/>
  <c r="C10" i="13"/>
  <c r="D10" i="13"/>
  <c r="E10" i="13"/>
  <c r="C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G20" i="13"/>
  <c r="C22" i="13"/>
  <c r="D22" i="13"/>
  <c r="E22" i="13"/>
  <c r="E25" i="13"/>
  <c r="C28" i="13"/>
  <c r="D28" i="13"/>
  <c r="E28" i="13"/>
  <c r="B30" i="13"/>
  <c r="B32" i="13"/>
  <c r="C36" i="13"/>
  <c r="D36" i="13"/>
  <c r="E36" i="13"/>
  <c r="B38" i="13"/>
  <c r="B40" i="13"/>
  <c r="C6" i="14"/>
  <c r="D6" i="14"/>
  <c r="E6" i="14"/>
  <c r="C8" i="14"/>
  <c r="D8" i="14"/>
  <c r="E8" i="14"/>
  <c r="C10" i="14"/>
  <c r="D10" i="14"/>
  <c r="E10" i="14"/>
  <c r="C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G20" i="14"/>
  <c r="C22" i="14"/>
  <c r="D22" i="14"/>
  <c r="E22" i="14"/>
  <c r="E25" i="14"/>
  <c r="C28" i="14"/>
  <c r="D28" i="14"/>
  <c r="E28" i="14"/>
  <c r="B30" i="14"/>
  <c r="B32" i="14"/>
  <c r="C36" i="14"/>
  <c r="D36" i="14"/>
  <c r="E36" i="14"/>
  <c r="B38" i="14"/>
  <c r="B40" i="14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<sst xmlns="http://schemas.openxmlformats.org/spreadsheetml/2006/main" count="747" uniqueCount="312">
  <si>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</si>
  <si>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</si>
  <si>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</si>
  <si>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</si>
  <si>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</si>
  <si>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</si>
  <si>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</si>
  <si>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</si>
  <si>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</si>
  <si>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</si>
  <si>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</si>
  <si>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</si>
  <si>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</si>
  <si>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</si>
  <si>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</si>
  <si>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</si>
  <si>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</si>
  <si>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</si>
  <si>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</si>
  <si>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</si>
  <si>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</si>
  <si>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</si>
  <si>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</si>
  <si>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</si>
  <si>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</si>
  <si>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</si>
  <si>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</si>
  <si>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</si>
  <si>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</si>
  <si>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</si>
  <si>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</si>
  <si>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</si>
  <si>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</si>
  <si>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</si>
  <si>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</si>
  <si>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</si>
  <si>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</si>
  <si>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</si>
  <si>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</si>
  <si>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</si>
  <si>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</si>
  <si>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</si>
  <si>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</si>
  <si>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</si>
  <si>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</si>
  <si>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</si>
  <si>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</si>
  <si>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</si>
  <si>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</si>
  <si>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</si>
  <si>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</si>
  <si>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</si>
  <si>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</si>
  <si>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</si>
  <si>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</si>
  <si>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</si>
  <si>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</si>
  <si>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</si>
  <si>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</si>
  <si>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</si>
  <si>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</si>
  <si>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</si>
  <si>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</si>
  <si>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</si>
  <si>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</si>
  <si>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</si>
  <si>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</si>
  <si>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</si>
  <si>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</si>
  <si>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</si>
  <si>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</si>
  <si>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</si>
  <si>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</si>
  <si>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</si>
  <si>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</si>
  <si>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</si>
  <si>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</si>
  <si>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</si>
  <si>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</si>
  <si>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</si>
  <si>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</si>
  <si>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</si>
  <si>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</si>
  <si>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</si>
  <si>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</si>
  <si>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</si>
  <si>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</si>
  <si>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</si>
  <si>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</si>
  <si>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</si>
  <si>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</si>
  <si>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</si>
  <si>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</si>
  <si>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</si>
  <si>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</si>
  <si>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</si>
  <si>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</si>
  <si>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</si>
  <si>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</si>
  <si>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</si>
  <si>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</si>
  <si>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</si>
  <si>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</si>
  <si>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</si>
  <si>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</si>
  <si>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</si>
  <si>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</si>
  <si>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</si>
  <si>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</si>
  <si>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</si>
  <si>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</si>
  <si>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</si>
  <si>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</si>
  <si>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</si>
  <si>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</si>
  <si>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</si>
  <si>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</si>
  <si>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</si>
  <si>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</si>
  <si>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</si>
  <si>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</si>
  <si>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</si>
  <si>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</si>
  <si>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</si>
  <si>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</si>
  <si>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</si>
  <si>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</si>
  <si>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</si>
  <si>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</si>
  <si>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</si>
  <si>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</si>
  <si>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</si>
  <si>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</si>
  <si>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</si>
  <si>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</si>
  <si>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</si>
  <si>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</si>
  <si>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</si>
  <si>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</si>
  <si>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</si>
  <si>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</si>
  <si>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</si>
  <si>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</si>
  <si>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</si>
  <si>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</si>
  <si>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</si>
  <si>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</si>
  <si>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</si>
  <si>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</si>
  <si>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</si>
  <si>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</si>
  <si>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</si>
  <si>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</si>
  <si>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</si>
  <si>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</si>
  <si>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</si>
  <si>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</si>
  <si>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</si>
  <si>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</si>
  <si>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</si>
  <si>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</si>
  <si>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</si>
  <si>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</si>
  <si>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</si>
  <si>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</si>
  <si>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</si>
  <si>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</si>
  <si>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</si>
  <si>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</si>
  <si>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</si>
  <si>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</si>
  <si>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</si>
  <si>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</si>
  <si>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</si>
  <si>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</si>
  <si>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</si>
  <si>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</si>
  <si>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</si>
  <si>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</si>
  <si>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</si>
  <si>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</si>
  <si>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</si>
  <si>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</si>
  <si>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</si>
  <si>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</si>
  <si>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</si>
  <si>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</si>
  <si>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</si>
  <si>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</si>
  <si>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</si>
  <si>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</si>
  <si>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</si>
  <si>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</si>
  <si>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</si>
  <si>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</si>
  <si>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</si>
  <si>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</si>
  <si>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</si>
  <si>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</si>
  <si>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</si>
  <si>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</si>
  <si>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</si>
  <si>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</si>
  <si>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</si>
  <si>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</si>
  <si>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</si>
  <si>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</si>
  <si>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</si>
  <si>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</si>
  <si>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</si>
  <si>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</si>
  <si>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</si>
  <si>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</si>
  <si>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</si>
  <si>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</si>
  <si>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</si>
  <si>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</si>
  <si>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</si>
  <si>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</si>
  <si>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</si>
  <si>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</si>
  <si>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</si>
  <si>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</si>
  <si>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</si>
  <si>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</si>
  <si>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</si>
  <si>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</si>
  <si>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</si>
  <si>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</si>
  <si>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</si>
  <si>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</si>
  <si>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Current Book Value as of 29-Mar-00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</si>
  <si>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</si>
  <si>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</si>
  <si>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</si>
  <si>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</si>
  <si>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</si>
  <si>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</si>
  <si>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</si>
  <si>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</si>
  <si>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</si>
  <si>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</si>
  <si>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</si>
  <si>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</si>
  <si>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</si>
  <si>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</si>
  <si>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</si>
  <si>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</si>
  <si>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</si>
  <si>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</si>
  <si>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</si>
  <si>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</si>
  <si>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</si>
  <si>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</si>
  <si>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</si>
  <si>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</si>
  <si>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</si>
  <si>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</si>
  <si>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</si>
  <si>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</si>
  <si>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</si>
  <si>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</si>
  <si>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</si>
  <si>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</si>
  <si>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</si>
  <si>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</si>
  <si>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</si>
  <si>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</si>
  <si>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</si>
  <si>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</si>
  <si>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</si>
  <si>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</si>
  <si>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</si>
  <si>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</si>
  <si>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</si>
  <si>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</si>
  <si>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</si>
  <si>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</si>
  <si>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</si>
  <si>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</si>
  <si>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</si>
  <si>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</si>
  <si>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</si>
  <si>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</si>
  <si>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</si>
  <si>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</si>
  <si>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</si>
  <si>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</si>
  <si>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</si>
  <si>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</si>
  <si>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</si>
  <si>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</si>
  <si>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</si>
  <si>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</si>
  <si>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</si>
  <si>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</si>
  <si>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Update from Bloomberg on 6/2/00</t>
  </si>
  <si>
    <t>Received from Jenny Latham on 06/2/00</t>
  </si>
  <si>
    <t>Downloaded from internet on 6/2/00</t>
  </si>
  <si>
    <t>June 12 2000 Valuation</t>
  </si>
  <si>
    <t>June 5 2000 Valuation</t>
  </si>
  <si>
    <t>Update from Bloomberg on 6/11/00</t>
  </si>
  <si>
    <t>Received from Jenny Latham on 06/12/00</t>
  </si>
  <si>
    <t>Downloaded from internet on 6/11/00</t>
  </si>
  <si>
    <t>Dollar Spent on the 2000 Assets as of 31-May-00 (000$)</t>
  </si>
  <si>
    <t>Update Capex Budget from Amy Spoede</t>
  </si>
  <si>
    <t>Received from Amy on 6/8/00</t>
  </si>
  <si>
    <t>June 19 2000 Valuation</t>
  </si>
  <si>
    <t>Received from Jenny Latham on 06/19/00</t>
  </si>
  <si>
    <t>Update from Bloomberg on 6/19/00</t>
  </si>
  <si>
    <t>Downloaded from internet on 6/19/00</t>
  </si>
  <si>
    <t>(Dated: 19-Jun-00)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</si>
</sst>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3" formatCode="#,##0.0000000_);[Red]\(#,##0.0000000\)"/>
    <numFmt numFmtId="334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2" formatCode="0.0000000_)"/>
    <numFmt numFmtId="354" formatCode="0.000000000_)"/>
    <numFmt numFmtId="355" formatCode="#,##0.0000000000_);[Red]\(#,##0.0000000000\)"/>
    <numFmt numFmtId="356" formatCode="0.0E+00"/>
    <numFmt numFmtId="357" formatCode="0E+00"/>
  </numFmts>
  <fonts count="96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33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6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29" fillId="4" borderId="0" applyNumberFormat="0" applyBorder="0" applyAlignment="0" applyProtection="0"/>
    <xf numFmtId="0" fontId="43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7" fillId="0" borderId="2" applyNumberFormat="0" applyFill="0" applyAlignment="0" applyProtection="0"/>
    <xf numFmtId="10" fontId="29" fillId="5" borderId="3" applyNumberFormat="0" applyBorder="0" applyAlignment="0" applyProtection="0"/>
    <xf numFmtId="37" fontId="45" fillId="0" borderId="0"/>
    <xf numFmtId="170" fontId="46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3" fontId="1" fillId="0" borderId="0"/>
    <xf numFmtId="38" fontId="29" fillId="8" borderId="0" applyNumberFormat="0" applyBorder="0" applyAlignment="0" applyProtection="0"/>
    <xf numFmtId="37" fontId="29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1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1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0" fontId="19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24" fillId="0" borderId="0" xfId="0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5" fillId="0" borderId="0" xfId="3" applyFont="1" applyFill="1" applyBorder="1"/>
    <xf numFmtId="0" fontId="25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6" fillId="0" borderId="0" xfId="0" applyFont="1"/>
    <xf numFmtId="0" fontId="3" fillId="0" borderId="11" xfId="0" applyFont="1" applyBorder="1"/>
    <xf numFmtId="43" fontId="3" fillId="0" borderId="0" xfId="3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8" fillId="0" borderId="9" xfId="0" applyFont="1" applyBorder="1" applyAlignment="1" applyProtection="1">
      <alignment horizontal="left"/>
    </xf>
    <xf numFmtId="0" fontId="28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8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8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10" fontId="18" fillId="0" borderId="0" xfId="20" applyNumberFormat="1" applyFont="1" applyFill="1" applyBorder="1"/>
    <xf numFmtId="40" fontId="18" fillId="0" borderId="0" xfId="0" applyNumberFormat="1" applyFont="1" applyFill="1" applyBorder="1"/>
    <xf numFmtId="1" fontId="18" fillId="0" borderId="0" xfId="0" applyNumberFormat="1" applyFont="1" applyFill="1" applyBorder="1"/>
    <xf numFmtId="43" fontId="18" fillId="0" borderId="0" xfId="3" applyFont="1" applyFill="1" applyBorder="1"/>
    <xf numFmtId="38" fontId="18" fillId="0" borderId="0" xfId="0" applyNumberFormat="1" applyFont="1" applyFill="1" applyBorder="1"/>
    <xf numFmtId="43" fontId="18" fillId="0" borderId="0" xfId="0" applyNumberFormat="1" applyFont="1" applyFill="1" applyBorder="1"/>
    <xf numFmtId="43" fontId="3" fillId="0" borderId="0" xfId="3" applyNumberFormat="1" applyFont="1"/>
    <xf numFmtId="38" fontId="18" fillId="0" borderId="0" xfId="0" applyNumberFormat="1" applyFont="1"/>
    <xf numFmtId="0" fontId="16" fillId="0" borderId="0" xfId="0" applyFont="1" applyBorder="1" applyAlignment="1">
      <alignment horizontal="center"/>
    </xf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2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3" fillId="0" borderId="0" xfId="0" applyFont="1" applyFill="1" applyBorder="1" applyAlignment="1">
      <alignment horizontal="center"/>
    </xf>
    <xf numFmtId="0" fontId="83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166" fontId="3" fillId="0" borderId="10" xfId="3" applyNumberFormat="1" applyFont="1" applyFill="1" applyBorder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0" fontId="3" fillId="8" borderId="0" xfId="20" applyNumberFormat="1" applyFont="1" applyFill="1" applyBorder="1"/>
    <xf numFmtId="166" fontId="3" fillId="8" borderId="0" xfId="3" applyNumberFormat="1" applyFont="1" applyFill="1" applyBorder="1"/>
    <xf numFmtId="166" fontId="3" fillId="0" borderId="0" xfId="0" applyNumberFormat="1" applyFont="1" applyFill="1"/>
    <xf numFmtId="43" fontId="3" fillId="0" borderId="0" xfId="3" applyNumberFormat="1" applyFont="1" applyFill="1" applyBorder="1"/>
    <xf numFmtId="43" fontId="3" fillId="0" borderId="0" xfId="3" applyNumberFormat="1" applyFont="1" applyFill="1"/>
    <xf numFmtId="166" fontId="84" fillId="0" borderId="0" xfId="3" applyNumberFormat="1" applyFont="1" applyAlignment="1">
      <alignment horizontal="center"/>
    </xf>
    <xf numFmtId="0" fontId="85" fillId="0" borderId="0" xfId="0" applyFont="1" applyAlignment="1">
      <alignment horizontal="center"/>
    </xf>
    <xf numFmtId="17" fontId="85" fillId="0" borderId="0" xfId="3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86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7" fillId="0" borderId="0" xfId="0" applyFont="1" applyFill="1" applyBorder="1" applyAlignment="1">
      <alignment horizontal="center"/>
    </xf>
    <xf numFmtId="0" fontId="87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8" fillId="0" borderId="0" xfId="0" applyFont="1"/>
    <xf numFmtId="0" fontId="89" fillId="0" borderId="0" xfId="0" applyFont="1" applyAlignment="1">
      <alignment horizontal="left"/>
    </xf>
    <xf numFmtId="17" fontId="89" fillId="0" borderId="0" xfId="3" applyNumberFormat="1" applyFont="1" applyAlignment="1"/>
    <xf numFmtId="0" fontId="89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7" fillId="0" borderId="6" xfId="0" applyFont="1" applyFill="1" applyBorder="1" applyAlignment="1">
      <alignment horizontal="center"/>
    </xf>
    <xf numFmtId="0" fontId="87" fillId="0" borderId="7" xfId="0" applyFont="1" applyFill="1" applyBorder="1" applyAlignment="1">
      <alignment horizontal="center"/>
    </xf>
    <xf numFmtId="0" fontId="86" fillId="0" borderId="0" xfId="0" applyFont="1" applyAlignment="1">
      <alignment horizontal="center"/>
    </xf>
    <xf numFmtId="166" fontId="86" fillId="0" borderId="0" xfId="3" applyNumberFormat="1" applyFont="1"/>
    <xf numFmtId="0" fontId="90" fillId="0" borderId="0" xfId="0" applyFont="1" applyAlignment="1">
      <alignment horizontal="center"/>
    </xf>
    <xf numFmtId="14" fontId="84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6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6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1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1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6" fontId="3" fillId="4" borderId="0" xfId="3" applyNumberFormat="1" applyFont="1" applyFill="1" applyBorder="1"/>
    <xf numFmtId="0" fontId="2" fillId="4" borderId="0" xfId="0" applyFont="1" applyFill="1"/>
    <xf numFmtId="0" fontId="2" fillId="0" borderId="28" xfId="0" applyFont="1" applyFill="1" applyBorder="1"/>
    <xf numFmtId="166" fontId="3" fillId="0" borderId="28" xfId="0" applyNumberFormat="1" applyFont="1" applyFill="1" applyBorder="1" applyAlignment="1">
      <alignment horizontal="center"/>
    </xf>
    <xf numFmtId="43" fontId="3" fillId="0" borderId="28" xfId="3" applyFont="1" applyFill="1" applyBorder="1" applyAlignment="1">
      <alignment horizontal="center"/>
    </xf>
    <xf numFmtId="0" fontId="89" fillId="4" borderId="0" xfId="0" applyFont="1" applyFill="1" applyAlignment="1"/>
    <xf numFmtId="0" fontId="89" fillId="4" borderId="0" xfId="0" applyFont="1" applyFill="1" applyAlignment="1">
      <alignment horizontal="left"/>
    </xf>
    <xf numFmtId="43" fontId="86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90" fillId="0" borderId="0" xfId="0" applyNumberFormat="1" applyFont="1" applyAlignment="1">
      <alignment horizontal="center"/>
    </xf>
    <xf numFmtId="166" fontId="86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8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18" fillId="0" borderId="0" xfId="3" applyFont="1" applyAlignment="1">
      <alignment horizontal="center"/>
    </xf>
    <xf numFmtId="43" fontId="18" fillId="0" borderId="0" xfId="3" applyFont="1"/>
    <xf numFmtId="43" fontId="0" fillId="0" borderId="0" xfId="0" applyNumberFormat="1"/>
    <xf numFmtId="0" fontId="12" fillId="0" borderId="0" xfId="0" applyFont="1" applyFill="1" applyBorder="1" applyAlignment="1">
      <alignment horizontal="center"/>
    </xf>
    <xf numFmtId="173" fontId="18" fillId="12" borderId="0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10" fontId="3" fillId="12" borderId="0" xfId="20" applyNumberFormat="1" applyFont="1" applyFill="1" applyBorder="1"/>
    <xf numFmtId="166" fontId="3" fillId="12" borderId="0" xfId="3" applyNumberFormat="1" applyFont="1" applyFill="1" applyBorder="1"/>
    <xf numFmtId="166" fontId="3" fillId="4" borderId="30" xfId="3" applyNumberFormat="1" applyFont="1" applyFill="1" applyBorder="1"/>
    <xf numFmtId="166" fontId="3" fillId="12" borderId="30" xfId="3" applyNumberFormat="1" applyFont="1" applyFill="1" applyBorder="1"/>
    <xf numFmtId="166" fontId="3" fillId="0" borderId="30" xfId="3" applyNumberFormat="1" applyFont="1" applyFill="1" applyBorder="1"/>
    <xf numFmtId="166" fontId="3" fillId="4" borderId="10" xfId="3" applyNumberFormat="1" applyFont="1" applyFill="1" applyBorder="1"/>
    <xf numFmtId="166" fontId="3" fillId="12" borderId="10" xfId="3" applyNumberFormat="1" applyFont="1" applyFill="1" applyBorder="1"/>
    <xf numFmtId="166" fontId="2" fillId="4" borderId="0" xfId="3" applyNumberFormat="1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2" fillId="0" borderId="0" xfId="3" applyNumberFormat="1" applyFont="1" applyFill="1" applyBorder="1" applyAlignment="1">
      <alignment horizontal="center"/>
    </xf>
    <xf numFmtId="166" fontId="92" fillId="0" borderId="0" xfId="3" applyNumberFormat="1" applyFont="1" applyFill="1" applyBorder="1"/>
    <xf numFmtId="0" fontId="86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9" fontId="3" fillId="0" borderId="0" xfId="20" applyFont="1" applyFill="1" applyBorder="1"/>
    <xf numFmtId="166" fontId="12" fillId="0" borderId="0" xfId="3" applyNumberFormat="1" applyFont="1" applyFill="1" applyBorder="1"/>
    <xf numFmtId="43" fontId="3" fillId="4" borderId="0" xfId="3" applyNumberFormat="1" applyFont="1" applyFill="1" applyBorder="1"/>
    <xf numFmtId="43" fontId="3" fillId="12" borderId="0" xfId="3" applyNumberFormat="1" applyFont="1" applyFill="1" applyBorder="1"/>
    <xf numFmtId="166" fontId="12" fillId="4" borderId="0" xfId="3" applyNumberFormat="1" applyFont="1" applyFill="1" applyBorder="1"/>
    <xf numFmtId="166" fontId="12" fillId="12" borderId="0" xfId="3" applyNumberFormat="1" applyFont="1" applyFill="1" applyBorder="1"/>
    <xf numFmtId="0" fontId="10" fillId="0" borderId="0" xfId="0" applyFont="1" applyFill="1" applyBorder="1" applyAlignment="1">
      <alignment horizontal="center"/>
    </xf>
    <xf numFmtId="43" fontId="3" fillId="0" borderId="0" xfId="3" applyFont="1" applyFill="1"/>
    <xf numFmtId="0" fontId="93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5" fillId="0" borderId="0" xfId="0" applyFont="1" applyBorder="1" applyAlignment="1">
      <alignment horizontal="right"/>
    </xf>
    <xf numFmtId="0" fontId="0" fillId="0" borderId="8" xfId="0" applyBorder="1"/>
    <xf numFmtId="0" fontId="85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8" fillId="12" borderId="0" xfId="0" applyNumberFormat="1" applyFont="1" applyFill="1"/>
    <xf numFmtId="43" fontId="18" fillId="12" borderId="0" xfId="3" applyNumberFormat="1" applyFont="1" applyFill="1"/>
    <xf numFmtId="43" fontId="28" fillId="12" borderId="0" xfId="3" applyNumberFormat="1" applyFont="1" applyFill="1"/>
    <xf numFmtId="166" fontId="90" fillId="0" borderId="0" xfId="3" applyNumberFormat="1" applyFont="1"/>
    <xf numFmtId="166" fontId="94" fillId="0" borderId="0" xfId="3" applyNumberFormat="1" applyFont="1" applyFill="1" applyBorder="1"/>
    <xf numFmtId="0" fontId="94" fillId="0" borderId="0" xfId="0" applyFont="1" applyFill="1" applyBorder="1"/>
    <xf numFmtId="166" fontId="94" fillId="0" borderId="0" xfId="3" applyNumberFormat="1" applyFont="1"/>
    <xf numFmtId="0" fontId="85" fillId="0" borderId="0" xfId="0" applyFont="1"/>
    <xf numFmtId="14" fontId="3" fillId="0" borderId="0" xfId="0" applyNumberFormat="1" applyFont="1"/>
    <xf numFmtId="10" fontId="94" fillId="0" borderId="0" xfId="20" applyNumberFormat="1" applyFont="1"/>
    <xf numFmtId="0" fontId="94" fillId="0" borderId="0" xfId="0" applyFont="1"/>
    <xf numFmtId="187" fontId="94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166" fontId="91" fillId="0" borderId="0" xfId="3" applyNumberFormat="1" applyFont="1" applyFill="1" applyBorder="1"/>
    <xf numFmtId="43" fontId="91" fillId="0" borderId="0" xfId="3" applyNumberFormat="1" applyFont="1" applyFill="1"/>
    <xf numFmtId="166" fontId="94" fillId="0" borderId="28" xfId="0" applyNumberFormat="1" applyFont="1" applyFill="1" applyBorder="1" applyAlignment="1">
      <alignment horizontal="center"/>
    </xf>
    <xf numFmtId="0" fontId="3" fillId="12" borderId="0" xfId="0" applyFont="1" applyFill="1" applyBorder="1"/>
    <xf numFmtId="37" fontId="3" fillId="12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3" fillId="4" borderId="0" xfId="20" applyNumberFormat="1" applyFont="1" applyFill="1" applyBorder="1"/>
    <xf numFmtId="166" fontId="3" fillId="4" borderId="0" xfId="3" applyNumberFormat="1" applyFont="1" applyFill="1"/>
    <xf numFmtId="9" fontId="3" fillId="0" borderId="0" xfId="20" applyFont="1"/>
    <xf numFmtId="9" fontId="12" fillId="0" borderId="0" xfId="20" applyFont="1"/>
    <xf numFmtId="0" fontId="3" fillId="4" borderId="0" xfId="0" applyFont="1" applyFill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6" fillId="0" borderId="4" xfId="0" quotePrefix="1" applyNumberFormat="1" applyFont="1" applyBorder="1" applyAlignment="1">
      <alignment horizontal="center"/>
    </xf>
    <xf numFmtId="0" fontId="92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543068168709027"/>
          <c:y val="3.2085659240446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755015981114833E-2"/>
          <c:y val="0.16755844270010781"/>
          <c:w val="0.79006667225549598"/>
          <c:h val="0.57932440295250043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Summary!$B$83:$J$83</c:f>
              <c:numCache>
                <c:formatCode>0.000%</c:formatCode>
                <c:ptCount val="9"/>
                <c:pt idx="0">
                  <c:v>5.9900000000000002E-2</c:v>
                </c:pt>
                <c:pt idx="1">
                  <c:v>6.1280000000000001E-2</c:v>
                </c:pt>
                <c:pt idx="2">
                  <c:v>6.1499999999999999E-2</c:v>
                </c:pt>
                <c:pt idx="3">
                  <c:v>6.3299999999999995E-2</c:v>
                </c:pt>
                <c:pt idx="4">
                  <c:v>6.5100000000000005E-2</c:v>
                </c:pt>
                <c:pt idx="5">
                  <c:v>6.5000000000000002E-2</c:v>
                </c:pt>
                <c:pt idx="6">
                  <c:v>6.5199999999999994E-2</c:v>
                </c:pt>
                <c:pt idx="7">
                  <c:v>6.2199999999999998E-2</c:v>
                </c:pt>
                <c:pt idx="8">
                  <c:v>5.9799999999999999E-2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2-4BB1-90E5-C8594128780C}"/>
            </c:ext>
          </c:extLst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Summary!$B$84:$J$84</c:f>
              <c:numCache>
                <c:formatCode>0.000%</c:formatCode>
                <c:ptCount val="9"/>
                <c:pt idx="0">
                  <c:v>3.1166666666666665E-2</c:v>
                </c:pt>
                <c:pt idx="1">
                  <c:v>3.0071666666666667E-2</c:v>
                </c:pt>
                <c:pt idx="2">
                  <c:v>3.1106999999999996E-2</c:v>
                </c:pt>
                <c:pt idx="3">
                  <c:v>3.0154333333333335E-2</c:v>
                </c:pt>
                <c:pt idx="4">
                  <c:v>2.7839333333333337E-2</c:v>
                </c:pt>
                <c:pt idx="5">
                  <c:v>2.6443333333333336E-2</c:v>
                </c:pt>
                <c:pt idx="6">
                  <c:v>2.5873333333333332E-2</c:v>
                </c:pt>
                <c:pt idx="7">
                  <c:v>2.7396666666666666E-2</c:v>
                </c:pt>
                <c:pt idx="8">
                  <c:v>3.2199999999999999E-2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2-4BB1-90E5-C8594128780C}"/>
            </c:ext>
          </c:extLst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Summary!$B$85:$J$85</c:f>
              <c:numCache>
                <c:formatCode>0.000%</c:formatCode>
                <c:ptCount val="9"/>
                <c:pt idx="0">
                  <c:v>9.1066666666666671E-2</c:v>
                </c:pt>
                <c:pt idx="1">
                  <c:v>9.1351666666666664E-2</c:v>
                </c:pt>
                <c:pt idx="2">
                  <c:v>9.2606999999999995E-2</c:v>
                </c:pt>
                <c:pt idx="3">
                  <c:v>9.3454333333333334E-2</c:v>
                </c:pt>
                <c:pt idx="4">
                  <c:v>9.2939333333333346E-2</c:v>
                </c:pt>
                <c:pt idx="5">
                  <c:v>9.1443333333333335E-2</c:v>
                </c:pt>
                <c:pt idx="6">
                  <c:v>9.1073333333333326E-2</c:v>
                </c:pt>
                <c:pt idx="7">
                  <c:v>8.9596666666666658E-2</c:v>
                </c:pt>
                <c:pt idx="8">
                  <c:v>9.1999999999999998E-2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2-4BB1-90E5-C85941287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20344"/>
        <c:axId val="1"/>
      </c:lineChart>
      <c:dateAx>
        <c:axId val="184920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04660833103676"/>
              <c:y val="0.909093678479308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9.5000000000000001E-2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4569544668584167E-2"/>
              <c:y val="0.2905534697884848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203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72898087480501"/>
          <c:y val="0.40463581375451563"/>
          <c:w val="9.6688796436967664E-2"/>
          <c:h val="0.135472783459661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2207070728788417"/>
          <c:y val="2.9197116713442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24163517130182"/>
          <c:y val="0.19270097030872069"/>
          <c:w val="0.70596748784978203"/>
          <c:h val="0.70803008030098125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178673.88036354279</c:v>
                </c:pt>
                <c:pt idx="1">
                  <c:v>187786.94295369182</c:v>
                </c:pt>
                <c:pt idx="2">
                  <c:v>197429.37955809233</c:v>
                </c:pt>
                <c:pt idx="3">
                  <c:v>201606.09475914267</c:v>
                </c:pt>
                <c:pt idx="4">
                  <c:v>189524.1624953417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F-487D-9CEA-1DED7C96F541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179157.60743353033</c:v>
                </c:pt>
                <c:pt idx="1">
                  <c:v>188009.03997793648</c:v>
                </c:pt>
                <c:pt idx="2">
                  <c:v>197105.29561194309</c:v>
                </c:pt>
                <c:pt idx="3">
                  <c:v>200803.17470337939</c:v>
                </c:pt>
                <c:pt idx="4">
                  <c:v>187998.66022073338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F-487D-9CEA-1DED7C96F541}"/>
            </c:ext>
          </c:extLst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136978.02159546202</c:v>
                </c:pt>
                <c:pt idx="1">
                  <c:v>144111.11906677642</c:v>
                </c:pt>
                <c:pt idx="2">
                  <c:v>151882.61254204018</c:v>
                </c:pt>
                <c:pt idx="3">
                  <c:v>155354.12607333128</c:v>
                </c:pt>
                <c:pt idx="4">
                  <c:v>145308.96648612589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F-487D-9CEA-1DED7C96F541}"/>
            </c:ext>
          </c:extLst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198050.9452387424</c:v>
                </c:pt>
                <c:pt idx="1">
                  <c:v>207269.19914473977</c:v>
                </c:pt>
                <c:pt idx="2">
                  <c:v>215888.18728003302</c:v>
                </c:pt>
                <c:pt idx="3">
                  <c:v>204375.36800743896</c:v>
                </c:pt>
                <c:pt idx="4">
                  <c:v>193727.51031515663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BF-487D-9CEA-1DED7C96F541}"/>
            </c:ext>
          </c:extLst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184652.17936668446</c:v>
                </c:pt>
                <c:pt idx="1">
                  <c:v>189688.74754188702</c:v>
                </c:pt>
                <c:pt idx="2">
                  <c:v>198752.47793702735</c:v>
                </c:pt>
                <c:pt idx="3">
                  <c:v>196380.65941361466</c:v>
                </c:pt>
                <c:pt idx="4">
                  <c:v>186630.94126528173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BF-487D-9CEA-1DED7C96F541}"/>
            </c:ext>
          </c:extLst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234295.37083687278</c:v>
                </c:pt>
                <c:pt idx="1">
                  <c:v>240916.42057437511</c:v>
                </c:pt>
                <c:pt idx="2">
                  <c:v>250615.97698018816</c:v>
                </c:pt>
                <c:pt idx="3">
                  <c:v>243613.06895956944</c:v>
                </c:pt>
                <c:pt idx="4">
                  <c:v>235379.95786348748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BF-487D-9CEA-1DED7C96F541}"/>
            </c:ext>
          </c:extLst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1111808.0048348345</c:v>
                </c:pt>
                <c:pt idx="1">
                  <c:v>1157781.4692594067</c:v>
                </c:pt>
                <c:pt idx="2">
                  <c:v>1211673.9299093243</c:v>
                </c:pt>
                <c:pt idx="3">
                  <c:v>1202132.4919164763</c:v>
                </c:pt>
                <c:pt idx="4">
                  <c:v>1138570.1986461268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BF-487D-9CEA-1DED7C96F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44864"/>
        <c:axId val="1"/>
      </c:lineChart>
      <c:dateAx>
        <c:axId val="18584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330729193862286"/>
              <c:y val="0.9372274465015050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5.0323548013731919E-3"/>
              <c:y val="0.3737230939320643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44864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81376320604819"/>
          <c:y val="0.28905145546308098"/>
          <c:w val="0.13012231700693536"/>
          <c:h val="0.359124535575343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1875825627476881"/>
          <c:y val="3.29671361544332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710700132100398E-2"/>
          <c:y val="0.19230829423419421"/>
          <c:w val="0.81175693527080595"/>
          <c:h val="0.6391961398831788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16.443980831419545</c:v>
                </c:pt>
                <c:pt idx="1">
                  <c:v>7.7013975195013371</c:v>
                </c:pt>
                <c:pt idx="2">
                  <c:v>5.8055293902611025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9-4869-85F5-97216493963E}"/>
            </c:ext>
          </c:extLst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AA9-4869-85F5-97216493963E}"/>
              </c:ext>
            </c:extLst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18.230121170124022</c:v>
                </c:pt>
                <c:pt idx="1">
                  <c:v>8.1445784606413003</c:v>
                </c:pt>
                <c:pt idx="2">
                  <c:v>6.1042460134484413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9-4869-85F5-97216493963E}"/>
            </c:ext>
          </c:extLst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14.995907802442648</c:v>
                </c:pt>
                <c:pt idx="1">
                  <c:v>7.5071509367741669</c:v>
                </c:pt>
                <c:pt idx="2">
                  <c:v>5.6654060156040726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A9-4869-85F5-97216493963E}"/>
            </c:ext>
          </c:extLst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10.740153461397195</c:v>
                </c:pt>
                <c:pt idx="1">
                  <c:v>7.6779916077314345</c:v>
                </c:pt>
                <c:pt idx="2">
                  <c:v>5.7264785114401988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A9-4869-85F5-97216493963E}"/>
            </c:ext>
          </c:extLst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11.122998273908639</c:v>
                </c:pt>
                <c:pt idx="1">
                  <c:v>7.3025556827963714</c:v>
                </c:pt>
                <c:pt idx="2">
                  <c:v>5.4416993986312887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A9-4869-85F5-97216493963E}"/>
            </c:ext>
          </c:extLst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10.05758321274252</c:v>
                </c:pt>
                <c:pt idx="1">
                  <c:v>6.9686619690633487</c:v>
                </c:pt>
                <c:pt idx="2">
                  <c:v>5.1993915171838347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A9-4869-85F5-97216493963E}"/>
            </c:ext>
          </c:extLst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9-EAA9-4869-85F5-97216493963E}"/>
              </c:ext>
            </c:extLst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13.192592388827517</c:v>
                </c:pt>
                <c:pt idx="1">
                  <c:v>7.5736225796780205</c:v>
                </c:pt>
                <c:pt idx="2">
                  <c:v>5.6774905401985567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A9-4869-85F5-972164939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44536"/>
        <c:axId val="1"/>
      </c:lineChart>
      <c:catAx>
        <c:axId val="185844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838837516512548"/>
              <c:y val="0.926742827452402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.5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7.9260237780713338E-3"/>
              <c:y val="0.445056338084849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445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31968295904885"/>
          <c:y val="0.28754668756922375"/>
          <c:w val="9.577278731836196E-2"/>
          <c:h val="0.454213875905525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9208325971733523"/>
          <c:y val="2.93706644713333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52738341548145"/>
          <c:y val="0.13426589472609526"/>
          <c:w val="0.75326735400786449"/>
          <c:h val="0.68111969512092074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Summary!$B$89:$J$89</c:f>
              <c:numCache>
                <c:formatCode>_(* #,##0_);_(* \(#,##0\);_(* "-"??_);_(@_)</c:formatCode>
                <c:ptCount val="9"/>
                <c:pt idx="0">
                  <c:v>234295.37083687278</c:v>
                </c:pt>
                <c:pt idx="1">
                  <c:v>240916.42057437511</c:v>
                </c:pt>
                <c:pt idx="2">
                  <c:v>250615.97698018816</c:v>
                </c:pt>
                <c:pt idx="3">
                  <c:v>243613.06895956944</c:v>
                </c:pt>
                <c:pt idx="4">
                  <c:v>235379.95786348748</c:v>
                </c:pt>
                <c:pt idx="5">
                  <c:v>222284.66713668182</c:v>
                </c:pt>
                <c:pt idx="6">
                  <c:v>217247.12252526963</c:v>
                </c:pt>
                <c:pt idx="7">
                  <c:v>213822.07909476728</c:v>
                </c:pt>
                <c:pt idx="8">
                  <c:v>215319.33144318039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1A-4485-A5E2-89FBCF3B3BEA}"/>
            </c:ext>
          </c:extLst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Summary!$B$90:$J$90</c:f>
              <c:numCache>
                <c:formatCode>_(* #,##0_);_(* \(#,##0\);_(* "-"??_);_(@_)</c:formatCode>
                <c:ptCount val="9"/>
                <c:pt idx="0">
                  <c:v>198050.9452387424</c:v>
                </c:pt>
                <c:pt idx="1">
                  <c:v>207269.19914473977</c:v>
                </c:pt>
                <c:pt idx="2">
                  <c:v>215888.18728003302</c:v>
                </c:pt>
                <c:pt idx="3">
                  <c:v>204375.36800743896</c:v>
                </c:pt>
                <c:pt idx="4">
                  <c:v>193727.51031515663</c:v>
                </c:pt>
                <c:pt idx="5">
                  <c:v>185886.00141889311</c:v>
                </c:pt>
                <c:pt idx="6">
                  <c:v>180460.87637381896</c:v>
                </c:pt>
                <c:pt idx="7">
                  <c:v>177406.92206029431</c:v>
                </c:pt>
                <c:pt idx="8">
                  <c:v>179089.63823087004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1A-4485-A5E2-89FBCF3B3BEA}"/>
            </c:ext>
          </c:extLst>
        </c:ser>
        <c:ser>
          <c:idx val="2"/>
          <c:order val="2"/>
          <c:tx>
            <c:v>Brownsville</c:v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Summary!$B$91:$J$91</c:f>
              <c:numCache>
                <c:formatCode>_(* #,##0_);_(* \(#,##0\);_(* "-"??_);_(@_)</c:formatCode>
                <c:ptCount val="9"/>
                <c:pt idx="0">
                  <c:v>178673.88036354279</c:v>
                </c:pt>
                <c:pt idx="1">
                  <c:v>187786.94295369182</c:v>
                </c:pt>
                <c:pt idx="2">
                  <c:v>197429.37955809233</c:v>
                </c:pt>
                <c:pt idx="3">
                  <c:v>201606.09475914267</c:v>
                </c:pt>
                <c:pt idx="4">
                  <c:v>189524.1624953417</c:v>
                </c:pt>
                <c:pt idx="5">
                  <c:v>181011.79552091483</c:v>
                </c:pt>
                <c:pt idx="6">
                  <c:v>175266.83781754322</c:v>
                </c:pt>
                <c:pt idx="7">
                  <c:v>172032.94544761907</c:v>
                </c:pt>
                <c:pt idx="8">
                  <c:v>174377.915537505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1A-4485-A5E2-89FBCF3B3BEA}"/>
            </c:ext>
          </c:extLst>
        </c:ser>
        <c:ser>
          <c:idx val="3"/>
          <c:order val="3"/>
          <c:tx>
            <c:v>Caledonia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Summary!$B$92:$J$92</c:f>
              <c:numCache>
                <c:formatCode>_(* #,##0_);_(* \(#,##0\);_(* "-"??_);_(@_)</c:formatCode>
                <c:ptCount val="9"/>
                <c:pt idx="0">
                  <c:v>179157.60743353033</c:v>
                </c:pt>
                <c:pt idx="1">
                  <c:v>188009.03997793648</c:v>
                </c:pt>
                <c:pt idx="2">
                  <c:v>197105.29561194309</c:v>
                </c:pt>
                <c:pt idx="3">
                  <c:v>200803.17470337939</c:v>
                </c:pt>
                <c:pt idx="4">
                  <c:v>187998.66022073338</c:v>
                </c:pt>
                <c:pt idx="5">
                  <c:v>179521.90240414569</c:v>
                </c:pt>
                <c:pt idx="6">
                  <c:v>172423.08646487113</c:v>
                </c:pt>
                <c:pt idx="7">
                  <c:v>169764.8272071096</c:v>
                </c:pt>
                <c:pt idx="8">
                  <c:v>171872.68712357953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1A-4485-A5E2-89FBCF3B3BEA}"/>
            </c:ext>
          </c:extLst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Summary!$B$93:$J$93</c:f>
              <c:numCache>
                <c:formatCode>_(* #,##0_);_(* \(#,##0\);_(* "-"??_);_(@_)</c:formatCode>
                <c:ptCount val="9"/>
                <c:pt idx="0">
                  <c:v>184652.17936668446</c:v>
                </c:pt>
                <c:pt idx="1">
                  <c:v>189688.74754188702</c:v>
                </c:pt>
                <c:pt idx="2">
                  <c:v>198752.47793702735</c:v>
                </c:pt>
                <c:pt idx="3">
                  <c:v>196380.65941361466</c:v>
                </c:pt>
                <c:pt idx="4">
                  <c:v>186630.94126528173</c:v>
                </c:pt>
                <c:pt idx="5">
                  <c:v>175928.48510472605</c:v>
                </c:pt>
                <c:pt idx="6">
                  <c:v>171980.45438270213</c:v>
                </c:pt>
                <c:pt idx="7">
                  <c:v>168718.76494003495</c:v>
                </c:pt>
                <c:pt idx="8">
                  <c:v>169921.94092956468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1A-4485-A5E2-89FBCF3B3BEA}"/>
            </c:ext>
          </c:extLst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Summary!$B$94:$J$94</c:f>
              <c:numCache>
                <c:formatCode>_(* #,##0_);_(* \(#,##0\);_(* "-"??_);_(@_)</c:formatCode>
                <c:ptCount val="9"/>
                <c:pt idx="0">
                  <c:v>136978.02159546202</c:v>
                </c:pt>
                <c:pt idx="1">
                  <c:v>144111.11906677642</c:v>
                </c:pt>
                <c:pt idx="2">
                  <c:v>151882.61254204018</c:v>
                </c:pt>
                <c:pt idx="3">
                  <c:v>155354.12607333128</c:v>
                </c:pt>
                <c:pt idx="4">
                  <c:v>145308.96648612589</c:v>
                </c:pt>
                <c:pt idx="5">
                  <c:v>139184.78122034873</c:v>
                </c:pt>
                <c:pt idx="6">
                  <c:v>133943.72028169112</c:v>
                </c:pt>
                <c:pt idx="7">
                  <c:v>132084.66262194072</c:v>
                </c:pt>
                <c:pt idx="8">
                  <c:v>133447.30043412131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1A-4485-A5E2-89FBCF3B3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46176"/>
        <c:axId val="1"/>
      </c:lineChart>
      <c:dateAx>
        <c:axId val="18584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65799313046625"/>
              <c:y val="0.9356654538724761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255000"/>
          <c:min val="13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2.7671045657431753E-2"/>
              <c:y val="0.3482521644458094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46176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163026025206193"/>
          <c:y val="0.17062957454774605"/>
          <c:w val="0.1037664212153691"/>
          <c:h val="0.313287087694222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1106022863549349"/>
          <c:y val="2.92479755069967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03239113768616"/>
          <c:y val="0.20752135002583377"/>
          <c:w val="0.75576114809216188"/>
          <c:h val="0.5793884671862205"/>
        </c:manualLayout>
      </c:layout>
      <c:lineChart>
        <c:grouping val="standard"/>
        <c:varyColors val="0"/>
        <c:ser>
          <c:idx val="1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Summary!$B$97:$J$97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Summary!$B$98:$J$98</c:f>
              <c:numCache>
                <c:formatCode>_(* #,##0_);_(* \(#,##0\);_(* "-"??_);_(@_)</c:formatCode>
                <c:ptCount val="9"/>
                <c:pt idx="0">
                  <c:v>1111808.0048348345</c:v>
                </c:pt>
                <c:pt idx="1">
                  <c:v>1157781.4692594067</c:v>
                </c:pt>
                <c:pt idx="2">
                  <c:v>1211673.9299093243</c:v>
                </c:pt>
                <c:pt idx="3">
                  <c:v>1202132.4919164763</c:v>
                </c:pt>
                <c:pt idx="4">
                  <c:v>1138570.1986461268</c:v>
                </c:pt>
                <c:pt idx="5">
                  <c:v>1083817.6328057102</c:v>
                </c:pt>
                <c:pt idx="6">
                  <c:v>1051322.0978458961</c:v>
                </c:pt>
                <c:pt idx="7">
                  <c:v>1033830.2013717659</c:v>
                </c:pt>
                <c:pt idx="8">
                  <c:v>1044028.8136988209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5-4AA4-B634-EC4F93054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45520"/>
        <c:axId val="1"/>
      </c:lineChart>
      <c:dateAx>
        <c:axId val="18584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236606824337545"/>
              <c:y val="0.9066872407168977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220000"/>
          <c:min val="103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3.2258097784421541E-2"/>
              <c:y val="0.3718671171603866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45520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24208864957744"/>
          <c:y val="0.32729877353067732"/>
          <c:w val="9.7542343300512771E-2"/>
          <c:h val="0.13370503088912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1234885292262515"/>
          <c:y val="3.80711839431807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38264602485037"/>
          <c:y val="0.19035591971590371"/>
          <c:w val="0.74334184377710011"/>
          <c:h val="0.50000154912044037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Prices'!$B$72:$J$72</c:f>
              <c:numCache>
                <c:formatCode>_(* #,##0.00_);_(* \(#,##0.00\);_(* "-"??_);_(@_)</c:formatCode>
                <c:ptCount val="9"/>
                <c:pt idx="0">
                  <c:v>10.740153461397195</c:v>
                </c:pt>
                <c:pt idx="1">
                  <c:v>12.220945789601638</c:v>
                </c:pt>
                <c:pt idx="2">
                  <c:v>14.131785378969273</c:v>
                </c:pt>
                <c:pt idx="3">
                  <c:v>15.333167405956006</c:v>
                </c:pt>
                <c:pt idx="4">
                  <c:v>12.867376427981775</c:v>
                </c:pt>
                <c:pt idx="5">
                  <c:v>11.092679165758334</c:v>
                </c:pt>
                <c:pt idx="6">
                  <c:v>10.261896153656346</c:v>
                </c:pt>
                <c:pt idx="7">
                  <c:v>8.9075618144106503</c:v>
                </c:pt>
                <c:pt idx="8">
                  <c:v>9.5096705795471106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9-49A1-A2DE-F1EA8609A225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Prices'!$B$73:$J$73</c:f>
              <c:numCache>
                <c:formatCode>_(* #,##0.00_);_(* \(#,##0.00\);_(* "-"??_);_(@_)</c:formatCode>
                <c:ptCount val="9"/>
                <c:pt idx="0">
                  <c:v>7.6779916077314345</c:v>
                </c:pt>
                <c:pt idx="1">
                  <c:v>8.2400979123254832</c:v>
                </c:pt>
                <c:pt idx="2">
                  <c:v>8.6767973601842172</c:v>
                </c:pt>
                <c:pt idx="3">
                  <c:v>8.6188167363720503</c:v>
                </c:pt>
                <c:pt idx="4">
                  <c:v>7.9863746196465897</c:v>
                </c:pt>
                <c:pt idx="5">
                  <c:v>7.6532328363079829</c:v>
                </c:pt>
                <c:pt idx="6">
                  <c:v>7.2054727925628503</c:v>
                </c:pt>
                <c:pt idx="7">
                  <c:v>7.1840474038475106</c:v>
                </c:pt>
                <c:pt idx="8">
                  <c:v>7.2107717359660457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9-49A1-A2DE-F1EA8609A225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Prices'!$B$74:$J$74</c:f>
              <c:numCache>
                <c:formatCode>_(* #,##0.00_);_(* \(#,##0.00\);_(* "-"??_);_(@_)</c:formatCode>
                <c:ptCount val="9"/>
                <c:pt idx="0">
                  <c:v>5.7264785114401988</c:v>
                </c:pt>
                <c:pt idx="1">
                  <c:v>6.1246754757395196</c:v>
                </c:pt>
                <c:pt idx="2">
                  <c:v>6.3478082665387907</c:v>
                </c:pt>
                <c:pt idx="3">
                  <c:v>6.2549864707509029</c:v>
                </c:pt>
                <c:pt idx="4">
                  <c:v>6.2594367412735732</c:v>
                </c:pt>
                <c:pt idx="5">
                  <c:v>6.1140715106243029</c:v>
                </c:pt>
                <c:pt idx="6">
                  <c:v>5.8311326799135319</c:v>
                </c:pt>
                <c:pt idx="7">
                  <c:v>5.7295722684754722</c:v>
                </c:pt>
                <c:pt idx="8">
                  <c:v>5.7445069629412471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9-49A1-A2DE-F1EA8609A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09280"/>
        <c:axId val="1"/>
      </c:lineChart>
      <c:dateAx>
        <c:axId val="18390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09953554139841"/>
              <c:y val="0.893403783199974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3002434905154565E-2"/>
              <c:y val="0.3604072079954443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909280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46299789495098"/>
          <c:y val="0.35279297120680819"/>
          <c:w val="9.4431048558002953E-2"/>
          <c:h val="0.177665525068176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2207526315835971"/>
          <c:y val="3.8363219263531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901833236688"/>
          <c:y val="0.19181609631765545"/>
          <c:w val="0.74547757540024839"/>
          <c:h val="0.49872185042590417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Prices'!$B$79:$J$79</c:f>
              <c:numCache>
                <c:formatCode>_(* #,##0.00_);_(* \(#,##0.00\);_(* "-"??_);_(@_)</c:formatCode>
                <c:ptCount val="9"/>
                <c:pt idx="0">
                  <c:v>11.122998273908639</c:v>
                </c:pt>
                <c:pt idx="1">
                  <c:v>12.547386992278458</c:v>
                </c:pt>
                <c:pt idx="2">
                  <c:v>14.269711017045958</c:v>
                </c:pt>
                <c:pt idx="3">
                  <c:v>15.33798761162349</c:v>
                </c:pt>
                <c:pt idx="4">
                  <c:v>12.696970911258315</c:v>
                </c:pt>
                <c:pt idx="5">
                  <c:v>10.927975537094682</c:v>
                </c:pt>
                <c:pt idx="6">
                  <c:v>9.8089540622641067</c:v>
                </c:pt>
                <c:pt idx="7">
                  <c:v>8.5458874948083352</c:v>
                </c:pt>
                <c:pt idx="8">
                  <c:v>9.1092684504228423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C-481C-A1B0-18E522ED0E03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Prices'!$B$80:$J$80</c:f>
              <c:numCache>
                <c:formatCode>_(* #,##0.00_);_(* \(#,##0.00\);_(* "-"??_);_(@_)</c:formatCode>
                <c:ptCount val="9"/>
                <c:pt idx="0">
                  <c:v>7.3025556827963714</c:v>
                </c:pt>
                <c:pt idx="1">
                  <c:v>7.8504517087197003</c:v>
                </c:pt>
                <c:pt idx="2">
                  <c:v>8.3122904547780703</c:v>
                </c:pt>
                <c:pt idx="3">
                  <c:v>8.253630577829016</c:v>
                </c:pt>
                <c:pt idx="4">
                  <c:v>7.6493570394325996</c:v>
                </c:pt>
                <c:pt idx="5">
                  <c:v>7.3307047115925323</c:v>
                </c:pt>
                <c:pt idx="6">
                  <c:v>6.8613279436853247</c:v>
                </c:pt>
                <c:pt idx="7">
                  <c:v>6.8751947044635546</c:v>
                </c:pt>
                <c:pt idx="8">
                  <c:v>6.9016890969477531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C-481C-A1B0-18E522ED0E03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Prices'!$B$81:$J$81</c:f>
              <c:numCache>
                <c:formatCode>_(* #,##0.00_);_(* \(#,##0.00\);_(* "-"??_);_(@_)</c:formatCode>
                <c:ptCount val="9"/>
                <c:pt idx="0">
                  <c:v>5.4416993986312887</c:v>
                </c:pt>
                <c:pt idx="1">
                  <c:v>5.8247919642277015</c:v>
                </c:pt>
                <c:pt idx="2">
                  <c:v>6.0676809186706588</c:v>
                </c:pt>
                <c:pt idx="3">
                  <c:v>5.9858328980154853</c:v>
                </c:pt>
                <c:pt idx="4">
                  <c:v>5.9833797898945651</c:v>
                </c:pt>
                <c:pt idx="5">
                  <c:v>5.8462047507292594</c:v>
                </c:pt>
                <c:pt idx="6">
                  <c:v>5.543851607261213</c:v>
                </c:pt>
                <c:pt idx="7">
                  <c:v>5.4723081695688895</c:v>
                </c:pt>
                <c:pt idx="8">
                  <c:v>5.4873914529788834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C-481C-A1B0-18E522ED0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11248"/>
        <c:axId val="1"/>
      </c:lineChart>
      <c:dateAx>
        <c:axId val="18391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632152572506778"/>
              <c:y val="0.8951417828157254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919213483179161E-2"/>
              <c:y val="0.3657293569789963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911248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84932584398713"/>
          <c:y val="0.35294161722448603"/>
          <c:w val="9.4089402720419713E-2"/>
          <c:h val="0.17902835656314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1113819845393276"/>
          <c:y val="3.8168033774734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71991556158"/>
          <c:y val="0.19084016887367025"/>
          <c:w val="0.74455249824579239"/>
          <c:h val="0.50127351024150713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Prices'!$B$86:$J$86</c:f>
              <c:numCache>
                <c:formatCode>_(* #,##0.00_);_(* \(#,##0.00\);_(* "-"??_);_(@_)</c:formatCode>
                <c:ptCount val="9"/>
                <c:pt idx="0">
                  <c:v>10.05758321274252</c:v>
                </c:pt>
                <c:pt idx="1">
                  <c:v>11.438109313831978</c:v>
                </c:pt>
                <c:pt idx="2">
                  <c:v>13.171544536497636</c:v>
                </c:pt>
                <c:pt idx="3">
                  <c:v>14.358022153110792</c:v>
                </c:pt>
                <c:pt idx="4">
                  <c:v>11.851942559285739</c:v>
                </c:pt>
                <c:pt idx="5">
                  <c:v>10.325186218236475</c:v>
                </c:pt>
                <c:pt idx="6">
                  <c:v>9.4212847996127582</c:v>
                </c:pt>
                <c:pt idx="7">
                  <c:v>8.232334505697942</c:v>
                </c:pt>
                <c:pt idx="8">
                  <c:v>8.7832817152342084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6-4286-822B-7D68B8C8A607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Prices'!$B$87:$J$87</c:f>
              <c:numCache>
                <c:formatCode>_(* #,##0.00_);_(* \(#,##0.00\);_(* "-"??_);_(@_)</c:formatCode>
                <c:ptCount val="9"/>
                <c:pt idx="0">
                  <c:v>6.9686619690633487</c:v>
                </c:pt>
                <c:pt idx="1">
                  <c:v>7.5119413326359616</c:v>
                </c:pt>
                <c:pt idx="2">
                  <c:v>8.0172495225766607</c:v>
                </c:pt>
                <c:pt idx="3">
                  <c:v>7.9620967498528339</c:v>
                </c:pt>
                <c:pt idx="4">
                  <c:v>7.3753952671497611</c:v>
                </c:pt>
                <c:pt idx="5">
                  <c:v>7.0737817806098304</c:v>
                </c:pt>
                <c:pt idx="6">
                  <c:v>6.5851780501706498</c:v>
                </c:pt>
                <c:pt idx="7">
                  <c:v>6.6375051629894326</c:v>
                </c:pt>
                <c:pt idx="8">
                  <c:v>6.6636765760410945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96-4286-822B-7D68B8C8A607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Prices'!$B$88:$J$88</c:f>
              <c:numCache>
                <c:formatCode>_(* #,##0.00_);_(* \(#,##0.00\);_(* "-"??_);_(@_)</c:formatCode>
                <c:ptCount val="9"/>
                <c:pt idx="0">
                  <c:v>5.1993915171838347</c:v>
                </c:pt>
                <c:pt idx="1">
                  <c:v>5.5755928632074223</c:v>
                </c:pt>
                <c:pt idx="2">
                  <c:v>5.8503731314402687</c:v>
                </c:pt>
                <c:pt idx="3">
                  <c:v>5.7692836104652585</c:v>
                </c:pt>
                <c:pt idx="4">
                  <c:v>5.7769083915981199</c:v>
                </c:pt>
                <c:pt idx="5">
                  <c:v>5.6487685377770296</c:v>
                </c:pt>
                <c:pt idx="6">
                  <c:v>5.3290944785652794</c:v>
                </c:pt>
                <c:pt idx="7">
                  <c:v>5.2896940261156224</c:v>
                </c:pt>
                <c:pt idx="8">
                  <c:v>5.3048171662952734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6-4286-822B-7D68B8C8A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11904"/>
        <c:axId val="1"/>
      </c:lineChart>
      <c:dateAx>
        <c:axId val="18391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5208444787831"/>
              <c:y val="0.8956765259137590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3002434905154565E-2"/>
              <c:y val="0.3664131242374468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911904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46299789495098"/>
          <c:y val="0.3536904463125356"/>
          <c:w val="9.4431048558002953E-2"/>
          <c:h val="0.178117490948758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891624314566636"/>
          <c:y val="3.8363219263531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12071157410976"/>
          <c:y val="0.28388782255013012"/>
          <c:w val="0.75421819856845107"/>
          <c:h val="0.41176522009523364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Prices'!$B$93:$J$93</c:f>
              <c:numCache>
                <c:formatCode>_(* #,##0.00_);_(* \(#,##0.00\);_(* "-"??_);_(@_)</c:formatCode>
                <c:ptCount val="9"/>
                <c:pt idx="0">
                  <c:v>18.230121170124022</c:v>
                </c:pt>
                <c:pt idx="1">
                  <c:v>20.433376908327567</c:v>
                </c:pt>
                <c:pt idx="2">
                  <c:v>23.179414778407363</c:v>
                </c:pt>
                <c:pt idx="3">
                  <c:v>24.040091299033289</c:v>
                </c:pt>
                <c:pt idx="4">
                  <c:v>20.259714523220779</c:v>
                </c:pt>
                <c:pt idx="5">
                  <c:v>17.643376426922313</c:v>
                </c:pt>
                <c:pt idx="6">
                  <c:v>16.609255439668846</c:v>
                </c:pt>
                <c:pt idx="7">
                  <c:v>14.639569576084959</c:v>
                </c:pt>
                <c:pt idx="8">
                  <c:v>15.579844035932394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D-4B7D-AA7E-0CD114122CBE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Prices'!$B$94:$J$94</c:f>
              <c:numCache>
                <c:formatCode>_(* #,##0.00_);_(* \(#,##0.00\);_(* "-"??_);_(@_)</c:formatCode>
                <c:ptCount val="9"/>
                <c:pt idx="0">
                  <c:v>8.1445784606413003</c:v>
                </c:pt>
                <c:pt idx="1">
                  <c:v>8.7181548388686902</c:v>
                </c:pt>
                <c:pt idx="2">
                  <c:v>9.0578048167870495</c:v>
                </c:pt>
                <c:pt idx="3">
                  <c:v>7.0594807761027765</c:v>
                </c:pt>
                <c:pt idx="4">
                  <c:v>6.8016217047249814</c:v>
                </c:pt>
                <c:pt idx="5">
                  <c:v>6.5242009596919468</c:v>
                </c:pt>
                <c:pt idx="6">
                  <c:v>6.0847671028614814</c:v>
                </c:pt>
                <c:pt idx="7">
                  <c:v>6.0023109586561727</c:v>
                </c:pt>
                <c:pt idx="8">
                  <c:v>6.0267832684193925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D-4B7D-AA7E-0CD114122CBE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Prices'!$B$95:$J$95</c:f>
              <c:numCache>
                <c:formatCode>_(* #,##0.00_);_(* \(#,##0.00\);_(* "-"??_);_(@_)</c:formatCode>
                <c:ptCount val="9"/>
                <c:pt idx="0">
                  <c:v>6.1042460134484413</c:v>
                </c:pt>
                <c:pt idx="1">
                  <c:v>6.5117691979282215</c:v>
                </c:pt>
                <c:pt idx="2">
                  <c:v>6.6708280083264455</c:v>
                </c:pt>
                <c:pt idx="3">
                  <c:v>4.9668941352007332</c:v>
                </c:pt>
                <c:pt idx="4">
                  <c:v>4.974129288454999</c:v>
                </c:pt>
                <c:pt idx="5">
                  <c:v>4.8878684052919903</c:v>
                </c:pt>
                <c:pt idx="6">
                  <c:v>4.5606156973558081</c:v>
                </c:pt>
                <c:pt idx="7">
                  <c:v>4.420327806163189</c:v>
                </c:pt>
                <c:pt idx="8">
                  <c:v>4.4385520634175659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AD-4B7D-AA7E-0CD114122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12232"/>
        <c:axId val="1"/>
      </c:lineChart>
      <c:dateAx>
        <c:axId val="183912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819356208860028"/>
              <c:y val="0.9002568787175294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0481963858887647E-2"/>
              <c:y val="0.4143227680461357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9122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79676698412847"/>
          <c:y val="0.58823602870747671"/>
          <c:w val="9.3976069470190396E-2"/>
          <c:h val="0.17902835656314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686802911102652"/>
          <c:y val="3.8560411311053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53035438103772"/>
          <c:y val="0.19280205655526991"/>
          <c:w val="0.74578444874420313"/>
          <c:h val="0.4961439588688946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Prices'!$B$100:$J$100</c:f>
              <c:numCache>
                <c:formatCode>_(* #,##0.00_);_(* \(#,##0.00\);_(* "-"??_);_(@_)</c:formatCode>
                <c:ptCount val="9"/>
                <c:pt idx="0">
                  <c:v>16.443980831419545</c:v>
                </c:pt>
                <c:pt idx="1">
                  <c:v>17.428972910509057</c:v>
                </c:pt>
                <c:pt idx="2">
                  <c:v>20.226001949836526</c:v>
                </c:pt>
                <c:pt idx="3">
                  <c:v>23.860104186037052</c:v>
                </c:pt>
                <c:pt idx="4">
                  <c:v>20.421029319018231</c:v>
                </c:pt>
                <c:pt idx="5">
                  <c:v>17.261968192531384</c:v>
                </c:pt>
                <c:pt idx="6">
                  <c:v>16.534110256963999</c:v>
                </c:pt>
                <c:pt idx="7">
                  <c:v>14.34635173427581</c:v>
                </c:pt>
                <c:pt idx="8">
                  <c:v>15.019438890621794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E-4A4C-BE17-7323B9C166BA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Prices'!$B$101:$J$101</c:f>
              <c:numCache>
                <c:formatCode>_(* #,##0.00_);_(* \(#,##0.00\);_(* "-"??_);_(@_)</c:formatCode>
                <c:ptCount val="9"/>
                <c:pt idx="0">
                  <c:v>7.7013975195013371</c:v>
                </c:pt>
                <c:pt idx="1">
                  <c:v>8.1581422106798485</c:v>
                </c:pt>
                <c:pt idx="2">
                  <c:v>8.4645647534415343</c:v>
                </c:pt>
                <c:pt idx="3">
                  <c:v>7.7629531779679377</c:v>
                </c:pt>
                <c:pt idx="4">
                  <c:v>7.483511139896013</c:v>
                </c:pt>
                <c:pt idx="5">
                  <c:v>6.9368428398905726</c:v>
                </c:pt>
                <c:pt idx="6">
                  <c:v>6.5541896415731173</c:v>
                </c:pt>
                <c:pt idx="7">
                  <c:v>6.3768308944482248</c:v>
                </c:pt>
                <c:pt idx="8">
                  <c:v>6.4341778482795942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E-4A4C-BE17-7323B9C166BA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Prices'!$B$102:$J$102</c:f>
              <c:numCache>
                <c:formatCode>_(* #,##0.00_);_(* \(#,##0.00\);_(* "-"??_);_(@_)</c:formatCode>
                <c:ptCount val="9"/>
                <c:pt idx="0">
                  <c:v>5.8055293902611025</c:v>
                </c:pt>
                <c:pt idx="1">
                  <c:v>6.0159239365939472</c:v>
                </c:pt>
                <c:pt idx="2">
                  <c:v>6.1199220381444333</c:v>
                </c:pt>
                <c:pt idx="3">
                  <c:v>5.2755609057261079</c:v>
                </c:pt>
                <c:pt idx="4">
                  <c:v>5.2359180973269801</c:v>
                </c:pt>
                <c:pt idx="5">
                  <c:v>4.9231652422128995</c:v>
                </c:pt>
                <c:pt idx="6">
                  <c:v>4.6786129565289363</c:v>
                </c:pt>
                <c:pt idx="7">
                  <c:v>4.7558041911673623</c:v>
                </c:pt>
                <c:pt idx="8">
                  <c:v>4.7738469245399431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4E-4A4C-BE17-7323B9C16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15752"/>
        <c:axId val="1"/>
      </c:lineChart>
      <c:dateAx>
        <c:axId val="184915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78391928167227"/>
              <c:y val="0.894601542416452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891606665815606E-2"/>
              <c:y val="0.3650385604113110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157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97748137027255"/>
          <c:y val="0.35218508997429304"/>
          <c:w val="9.3976069470190396E-2"/>
          <c:h val="0.179948586118251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774043416836574"/>
          <c:y val="3.8560411311053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1348111277085"/>
          <c:y val="0.19280205655526991"/>
          <c:w val="0.74519241702628758"/>
          <c:h val="0.49357326478149099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Prices'!$B$107:$J$107</c:f>
              <c:numCache>
                <c:formatCode>_(* #,##0.00_);_(* \(#,##0.00\);_(* "-"??_);_(@_)</c:formatCode>
                <c:ptCount val="9"/>
                <c:pt idx="0">
                  <c:v>14.995907802442648</c:v>
                </c:pt>
                <c:pt idx="1">
                  <c:v>15.998028722808341</c:v>
                </c:pt>
                <c:pt idx="2">
                  <c:v>18.196601682737874</c:v>
                </c:pt>
                <c:pt idx="3">
                  <c:v>22.513754956774083</c:v>
                </c:pt>
                <c:pt idx="4">
                  <c:v>19.861181347334941</c:v>
                </c:pt>
                <c:pt idx="5">
                  <c:v>16.825607817425123</c:v>
                </c:pt>
                <c:pt idx="6">
                  <c:v>16.115738429468511</c:v>
                </c:pt>
                <c:pt idx="7">
                  <c:v>14.017000220740053</c:v>
                </c:pt>
                <c:pt idx="8">
                  <c:v>14.680961067148013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9-4376-966C-9E8B1D554B4C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Prices'!$B$108:$J$108</c:f>
              <c:numCache>
                <c:formatCode>_(* #,##0.00_);_(* \(#,##0.00\);_(* "-"??_);_(@_)</c:formatCode>
                <c:ptCount val="9"/>
                <c:pt idx="0">
                  <c:v>7.5071509367741669</c:v>
                </c:pt>
                <c:pt idx="1">
                  <c:v>7.9680357116362526</c:v>
                </c:pt>
                <c:pt idx="2">
                  <c:v>8.283965037907377</c:v>
                </c:pt>
                <c:pt idx="3">
                  <c:v>6.6331111662212558</c:v>
                </c:pt>
                <c:pt idx="4">
                  <c:v>6.6073184001522316</c:v>
                </c:pt>
                <c:pt idx="5">
                  <c:v>6.1400900138732819</c:v>
                </c:pt>
                <c:pt idx="6">
                  <c:v>5.760202675967637</c:v>
                </c:pt>
                <c:pt idx="7">
                  <c:v>5.671678769729664</c:v>
                </c:pt>
                <c:pt idx="8">
                  <c:v>5.7331229592360229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9-4376-966C-9E8B1D554B4C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Prices'!$B$109:$J$109</c:f>
              <c:numCache>
                <c:formatCode>_(* #,##0.00_);_(* \(#,##0.00\);_(* "-"??_);_(@_)</c:formatCode>
                <c:ptCount val="9"/>
                <c:pt idx="0">
                  <c:v>5.6654060156040726</c:v>
                </c:pt>
                <c:pt idx="1">
                  <c:v>5.8758000979863398</c:v>
                </c:pt>
                <c:pt idx="2">
                  <c:v>6.0035157169671063</c:v>
                </c:pt>
                <c:pt idx="3">
                  <c:v>4.5520041308729757</c:v>
                </c:pt>
                <c:pt idx="4">
                  <c:v>4.6666395321446306</c:v>
                </c:pt>
                <c:pt idx="5">
                  <c:v>4.3591001484312146</c:v>
                </c:pt>
                <c:pt idx="6">
                  <c:v>4.1192955431084233</c:v>
                </c:pt>
                <c:pt idx="7">
                  <c:v>4.223440614060924</c:v>
                </c:pt>
                <c:pt idx="8">
                  <c:v>4.2425300307755931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99-4376-966C-9E8B1D554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18704"/>
        <c:axId val="1"/>
      </c:lineChart>
      <c:dateAx>
        <c:axId val="18491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50968045596789"/>
              <c:y val="0.8920308483290487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83654181209591E-2"/>
              <c:y val="0.3598971722365039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18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23090043154507"/>
          <c:y val="0.34961439588688942"/>
          <c:w val="9.375001375492005E-2"/>
          <c:h val="0.179948586118251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9-4B50-8817-AE9BD60F8DC7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9-4B50-8817-AE9BD60F8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79200"/>
        <c:axId val="1"/>
      </c:lineChart>
      <c:dateAx>
        <c:axId val="18427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279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B-4345-8416-6A9F76D30397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BB-4345-8416-6A9F76D30397}"/>
            </c:ext>
          </c:extLst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BB-4345-8416-6A9F76D30397}"/>
            </c:ext>
          </c:extLst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BB-4345-8416-6A9F76D30397}"/>
            </c:ext>
          </c:extLst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BB-4345-8416-6A9F76D30397}"/>
            </c:ext>
          </c:extLst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BB-4345-8416-6A9F76D30397}"/>
            </c:ext>
          </c:extLst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BB-4345-8416-6A9F76D30397}"/>
            </c:ext>
          </c:extLst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BB-4345-8416-6A9F76D30397}"/>
            </c:ext>
          </c:extLst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BB-4345-8416-6A9F76D30397}"/>
            </c:ext>
          </c:extLst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8BB-4345-8416-6A9F76D30397}"/>
            </c:ext>
          </c:extLst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BB-4345-8416-6A9F76D30397}"/>
            </c:ext>
          </c:extLst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8BB-4345-8416-6A9F76D30397}"/>
            </c:ext>
          </c:extLst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8BB-4345-8416-6A9F76D30397}"/>
            </c:ext>
          </c:extLst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8BB-4345-8416-6A9F76D30397}"/>
            </c:ext>
          </c:extLst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8BB-4345-8416-6A9F76D30397}"/>
            </c:ext>
          </c:extLst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8BB-4345-8416-6A9F76D30397}"/>
            </c:ext>
          </c:extLst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8BB-4345-8416-6A9F76D30397}"/>
            </c:ext>
          </c:extLst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BB-4345-8416-6A9F76D30397}"/>
            </c:ext>
          </c:extLst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8BB-4345-8416-6A9F76D30397}"/>
            </c:ext>
          </c:extLst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8BB-4345-8416-6A9F76D30397}"/>
            </c:ext>
          </c:extLst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8BB-4345-8416-6A9F76D30397}"/>
            </c:ext>
          </c:extLst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8BB-4345-8416-6A9F76D30397}"/>
            </c:ext>
          </c:extLst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8BB-4345-8416-6A9F76D30397}"/>
            </c:ext>
          </c:extLst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8BB-4345-8416-6A9F76D30397}"/>
            </c:ext>
          </c:extLst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8BB-4345-8416-6A9F76D30397}"/>
            </c:ext>
          </c:extLst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8BB-4345-8416-6A9F76D30397}"/>
            </c:ext>
          </c:extLst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8BB-4345-8416-6A9F76D30397}"/>
            </c:ext>
          </c:extLst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8BB-4345-8416-6A9F76D30397}"/>
            </c:ext>
          </c:extLst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8BB-4345-8416-6A9F76D30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639368"/>
        <c:axId val="1"/>
      </c:lineChart>
      <c:dateAx>
        <c:axId val="184639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639368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967740</xdr:colOff>
      <xdr:row>51</xdr:row>
      <xdr:rowOff>106680</xdr:rowOff>
    </xdr:to>
    <xdr:graphicFrame macro="">
      <xdr:nvGraphicFramePr>
        <xdr:cNvPr id="7564" name="Chart 3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342900</xdr:colOff>
      <xdr:row>51</xdr:row>
      <xdr:rowOff>68580</xdr:rowOff>
    </xdr:from>
    <xdr:to>
      <xdr:col>34</xdr:col>
      <xdr:colOff>335280</xdr:colOff>
      <xdr:row>78</xdr:row>
      <xdr:rowOff>0</xdr:rowOff>
    </xdr:to>
    <xdr:graphicFrame macro="">
      <xdr:nvGraphicFramePr>
        <xdr:cNvPr id="7566" name="Chart 3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144780</xdr:rowOff>
    </xdr:from>
    <xdr:to>
      <xdr:col>8</xdr:col>
      <xdr:colOff>7620</xdr:colOff>
      <xdr:row>75</xdr:row>
      <xdr:rowOff>7620</xdr:rowOff>
    </xdr:to>
    <xdr:graphicFrame macro="">
      <xdr:nvGraphicFramePr>
        <xdr:cNvPr id="7570" name="Chart 4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91440</xdr:rowOff>
    </xdr:to>
    <xdr:graphicFrame macro="">
      <xdr:nvGraphicFramePr>
        <xdr:cNvPr id="7579" name="Chart 4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7620</xdr:rowOff>
    </xdr:from>
    <xdr:to>
      <xdr:col>17</xdr:col>
      <xdr:colOff>7620</xdr:colOff>
      <xdr:row>74</xdr:row>
      <xdr:rowOff>190500</xdr:rowOff>
    </xdr:to>
    <xdr:graphicFrame macro="">
      <xdr:nvGraphicFramePr>
        <xdr:cNvPr id="7581" name="Chart 4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5</xdr:row>
      <xdr:rowOff>7620</xdr:rowOff>
    </xdr:from>
    <xdr:to>
      <xdr:col>5</xdr:col>
      <xdr:colOff>1043940</xdr:colOff>
      <xdr:row>22</xdr:row>
      <xdr:rowOff>160020</xdr:rowOff>
    </xdr:to>
    <xdr:graphicFrame macro="">
      <xdr:nvGraphicFramePr>
        <xdr:cNvPr id="225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24</xdr:row>
      <xdr:rowOff>7620</xdr:rowOff>
    </xdr:from>
    <xdr:to>
      <xdr:col>6</xdr:col>
      <xdr:colOff>0</xdr:colOff>
      <xdr:row>41</xdr:row>
      <xdr:rowOff>137160</xdr:rowOff>
    </xdr:to>
    <xdr:graphicFrame macro="">
      <xdr:nvGraphicFramePr>
        <xdr:cNvPr id="2253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281940</xdr:colOff>
      <xdr:row>42</xdr:row>
      <xdr:rowOff>160020</xdr:rowOff>
    </xdr:from>
    <xdr:to>
      <xdr:col>5</xdr:col>
      <xdr:colOff>1051560</xdr:colOff>
      <xdr:row>60</xdr:row>
      <xdr:rowOff>137160</xdr:rowOff>
    </xdr:to>
    <xdr:graphicFrame macro="">
      <xdr:nvGraphicFramePr>
        <xdr:cNvPr id="2253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548640</xdr:colOff>
      <xdr:row>5</xdr:row>
      <xdr:rowOff>30480</xdr:rowOff>
    </xdr:from>
    <xdr:to>
      <xdr:col>12</xdr:col>
      <xdr:colOff>426720</xdr:colOff>
      <xdr:row>22</xdr:row>
      <xdr:rowOff>160020</xdr:rowOff>
    </xdr:to>
    <xdr:graphicFrame macro="">
      <xdr:nvGraphicFramePr>
        <xdr:cNvPr id="2253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541020</xdr:colOff>
      <xdr:row>23</xdr:row>
      <xdr:rowOff>160020</xdr:rowOff>
    </xdr:from>
    <xdr:to>
      <xdr:col>12</xdr:col>
      <xdr:colOff>419100</xdr:colOff>
      <xdr:row>41</xdr:row>
      <xdr:rowOff>106680</xdr:rowOff>
    </xdr:to>
    <xdr:graphicFrame macro="">
      <xdr:nvGraphicFramePr>
        <xdr:cNvPr id="2253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518160</xdr:colOff>
      <xdr:row>43</xdr:row>
      <xdr:rowOff>7620</xdr:rowOff>
    </xdr:from>
    <xdr:to>
      <xdr:col>12</xdr:col>
      <xdr:colOff>411480</xdr:colOff>
      <xdr:row>60</xdr:row>
      <xdr:rowOff>121920</xdr:rowOff>
    </xdr:to>
    <xdr:graphicFrame macro="">
      <xdr:nvGraphicFramePr>
        <xdr:cNvPr id="2253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1539240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1531620</xdr:colOff>
      <xdr:row>0</xdr:row>
      <xdr:rowOff>0</xdr:rowOff>
    </xdr:from>
    <xdr:to>
      <xdr:col>6</xdr:col>
      <xdr:colOff>274320</xdr:colOff>
      <xdr:row>0</xdr:row>
      <xdr:rowOff>0</xdr:rowOff>
    </xdr:to>
    <xdr:graphicFrame macro="">
      <xdr:nvGraphicFramePr>
        <xdr:cNvPr id="215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13</xdr:row>
      <xdr:rowOff>76200</xdr:rowOff>
    </xdr:from>
    <xdr:to>
      <xdr:col>8</xdr:col>
      <xdr:colOff>99060</xdr:colOff>
      <xdr:row>19</xdr:row>
      <xdr:rowOff>99060</xdr:rowOff>
    </xdr:to>
    <xdr:sp macro="" textlink="">
      <xdr:nvSpPr>
        <xdr:cNvPr id="29724" name="Rectangle 28"/>
        <xdr:cNvSpPr>
          <a:spLocks noChangeArrowheads="1"/>
        </xdr:cNvSpPr>
      </xdr:nvSpPr>
      <xdr:spPr bwMode="auto">
        <a:xfrm>
          <a:off x="3131820" y="2438400"/>
          <a:ext cx="2286000" cy="1028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403860</xdr:colOff>
      <xdr:row>14</xdr:row>
      <xdr:rowOff>68580</xdr:rowOff>
    </xdr:from>
    <xdr:to>
      <xdr:col>7</xdr:col>
      <xdr:colOff>556260</xdr:colOff>
      <xdr:row>18</xdr:row>
      <xdr:rowOff>60960</xdr:rowOff>
    </xdr:to>
    <xdr:sp macro="" textlink="">
      <xdr:nvSpPr>
        <xdr:cNvPr id="29725" name="Rectangle 29"/>
        <xdr:cNvSpPr>
          <a:spLocks noChangeArrowheads="1"/>
        </xdr:cNvSpPr>
      </xdr:nvSpPr>
      <xdr:spPr bwMode="auto">
        <a:xfrm>
          <a:off x="3284220" y="2598420"/>
          <a:ext cx="19812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53340</xdr:colOff>
      <xdr:row>14</xdr:row>
      <xdr:rowOff>144780</xdr:rowOff>
    </xdr:from>
    <xdr:ext cx="1432560" cy="292100"/>
    <xdr:sp macro="" textlink="">
      <xdr:nvSpPr>
        <xdr:cNvPr id="29726" name="Rectangle 30"/>
        <xdr:cNvSpPr>
          <a:spLocks noChangeArrowheads="1"/>
        </xdr:cNvSpPr>
      </xdr:nvSpPr>
      <xdr:spPr bwMode="auto">
        <a:xfrm>
          <a:off x="3543300" y="2674620"/>
          <a:ext cx="1432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91440</xdr:rowOff>
    </xdr:from>
    <xdr:ext cx="1570623" cy="265457"/>
    <xdr:sp macro="" textlink="">
      <xdr:nvSpPr>
        <xdr:cNvPr id="29727" name="Rectangle 31"/>
        <xdr:cNvSpPr>
          <a:spLocks noChangeArrowheads="1"/>
        </xdr:cNvSpPr>
      </xdr:nvSpPr>
      <xdr:spPr bwMode="auto">
        <a:xfrm>
          <a:off x="3456940" y="3037840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99060</xdr:colOff>
      <xdr:row>3</xdr:row>
      <xdr:rowOff>22860</xdr:rowOff>
    </xdr:from>
    <xdr:to>
      <xdr:col>10</xdr:col>
      <xdr:colOff>327660</xdr:colOff>
      <xdr:row>6</xdr:row>
      <xdr:rowOff>144780</xdr:rowOff>
    </xdr:to>
    <xdr:sp macro="" textlink="">
      <xdr:nvSpPr>
        <xdr:cNvPr id="29728" name="Rectangle 32"/>
        <xdr:cNvSpPr>
          <a:spLocks noChangeArrowheads="1"/>
        </xdr:cNvSpPr>
      </xdr:nvSpPr>
      <xdr:spPr bwMode="auto">
        <a:xfrm>
          <a:off x="5417820" y="708660"/>
          <a:ext cx="1447800" cy="6248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3</xdr:row>
      <xdr:rowOff>99060</xdr:rowOff>
    </xdr:from>
    <xdr:to>
      <xdr:col>10</xdr:col>
      <xdr:colOff>327660</xdr:colOff>
      <xdr:row>7</xdr:row>
      <xdr:rowOff>0</xdr:rowOff>
    </xdr:to>
    <xdr:sp macro="" textlink="">
      <xdr:nvSpPr>
        <xdr:cNvPr id="29729" name="Rectangle 33"/>
        <xdr:cNvSpPr>
          <a:spLocks noChangeArrowheads="1"/>
        </xdr:cNvSpPr>
      </xdr:nvSpPr>
      <xdr:spPr bwMode="auto">
        <a:xfrm>
          <a:off x="5417820" y="78486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45720</xdr:rowOff>
    </xdr:from>
    <xdr:to>
      <xdr:col>10</xdr:col>
      <xdr:colOff>297180</xdr:colOff>
      <xdr:row>6</xdr:row>
      <xdr:rowOff>144780</xdr:rowOff>
    </xdr:to>
    <xdr:sp macro="" textlink="">
      <xdr:nvSpPr>
        <xdr:cNvPr id="29730" name="Rectangle 34"/>
        <xdr:cNvSpPr>
          <a:spLocks noChangeArrowheads="1"/>
        </xdr:cNvSpPr>
      </xdr:nvSpPr>
      <xdr:spPr bwMode="auto">
        <a:xfrm>
          <a:off x="5433060" y="731520"/>
          <a:ext cx="140208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175260</xdr:colOff>
      <xdr:row>6</xdr:row>
      <xdr:rowOff>144780</xdr:rowOff>
    </xdr:from>
    <xdr:to>
      <xdr:col>8</xdr:col>
      <xdr:colOff>403860</xdr:colOff>
      <xdr:row>13</xdr:row>
      <xdr:rowOff>76200</xdr:rowOff>
    </xdr:to>
    <xdr:grpSp>
      <xdr:nvGrpSpPr>
        <xdr:cNvPr id="29735" name="Group 39"/>
        <xdr:cNvGrpSpPr>
          <a:grpSpLocks/>
        </xdr:cNvGrpSpPr>
      </xdr:nvGrpSpPr>
      <xdr:grpSpPr bwMode="auto">
        <a:xfrm>
          <a:off x="4884420" y="1333500"/>
          <a:ext cx="838200" cy="1104900"/>
          <a:chOff x="466" y="83"/>
          <a:chExt cx="88" cy="112"/>
        </a:xfrm>
      </xdr:grpSpPr>
      <xdr:sp macro="" textlink="">
        <xdr:nvSpPr>
          <xdr:cNvPr id="29733" name="Line 37"/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/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99060</xdr:colOff>
      <xdr:row>8</xdr:row>
      <xdr:rowOff>129540</xdr:rowOff>
    </xdr:from>
    <xdr:to>
      <xdr:col>9</xdr:col>
      <xdr:colOff>480060</xdr:colOff>
      <xdr:row>12</xdr:row>
      <xdr:rowOff>30480</xdr:rowOff>
    </xdr:to>
    <xdr:sp macro="" textlink="">
      <xdr:nvSpPr>
        <xdr:cNvPr id="29736" name="Rectangle 40"/>
        <xdr:cNvSpPr>
          <a:spLocks noChangeArrowheads="1"/>
        </xdr:cNvSpPr>
      </xdr:nvSpPr>
      <xdr:spPr bwMode="auto">
        <a:xfrm>
          <a:off x="5417820" y="1653540"/>
          <a:ext cx="990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83820</xdr:colOff>
      <xdr:row>9</xdr:row>
      <xdr:rowOff>38100</xdr:rowOff>
    </xdr:from>
    <xdr:ext cx="563880" cy="398780"/>
    <xdr:sp macro="" textlink="">
      <xdr:nvSpPr>
        <xdr:cNvPr id="29737" name="Rectangle 41"/>
        <xdr:cNvSpPr>
          <a:spLocks noChangeArrowheads="1"/>
        </xdr:cNvSpPr>
      </xdr:nvSpPr>
      <xdr:spPr bwMode="auto">
        <a:xfrm>
          <a:off x="5402580" y="1729740"/>
          <a:ext cx="5638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7620</xdr:rowOff>
    </xdr:from>
    <xdr:ext cx="0" cy="226060"/>
    <xdr:sp macro="" textlink="">
      <xdr:nvSpPr>
        <xdr:cNvPr id="29738" name="Rectangle 42"/>
        <xdr:cNvSpPr>
          <a:spLocks noChangeArrowheads="1"/>
        </xdr:cNvSpPr>
      </xdr:nvSpPr>
      <xdr:spPr bwMode="auto">
        <a:xfrm>
          <a:off x="5509260" y="18669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26060"/>
    <xdr:sp macro="" textlink="">
      <xdr:nvSpPr>
        <xdr:cNvPr id="29739" name="Rectangle 43"/>
        <xdr:cNvSpPr>
          <a:spLocks noChangeArrowheads="1"/>
        </xdr:cNvSpPr>
      </xdr:nvSpPr>
      <xdr:spPr bwMode="auto">
        <a:xfrm>
          <a:off x="5509260" y="202692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22860</xdr:colOff>
      <xdr:row>14</xdr:row>
      <xdr:rowOff>68580</xdr:rowOff>
    </xdr:from>
    <xdr:to>
      <xdr:col>12</xdr:col>
      <xdr:colOff>388620</xdr:colOff>
      <xdr:row>18</xdr:row>
      <xdr:rowOff>30480</xdr:rowOff>
    </xdr:to>
    <xdr:sp macro="" textlink="">
      <xdr:nvSpPr>
        <xdr:cNvPr id="29740" name="Rectangle 44"/>
        <xdr:cNvSpPr>
          <a:spLocks noChangeArrowheads="1"/>
        </xdr:cNvSpPr>
      </xdr:nvSpPr>
      <xdr:spPr bwMode="auto">
        <a:xfrm>
          <a:off x="6560820" y="2598420"/>
          <a:ext cx="158496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99060</xdr:colOff>
      <xdr:row>14</xdr:row>
      <xdr:rowOff>144780</xdr:rowOff>
    </xdr:from>
    <xdr:to>
      <xdr:col>12</xdr:col>
      <xdr:colOff>175260</xdr:colOff>
      <xdr:row>18</xdr:row>
      <xdr:rowOff>45720</xdr:rowOff>
    </xdr:to>
    <xdr:sp macro="" textlink="">
      <xdr:nvSpPr>
        <xdr:cNvPr id="29741" name="Rectangle 45"/>
        <xdr:cNvSpPr>
          <a:spLocks noChangeArrowheads="1"/>
        </xdr:cNvSpPr>
      </xdr:nvSpPr>
      <xdr:spPr bwMode="auto">
        <a:xfrm>
          <a:off x="6637020" y="2674620"/>
          <a:ext cx="1295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</xdr:colOff>
      <xdr:row>14</xdr:row>
      <xdr:rowOff>106680</xdr:rowOff>
    </xdr:from>
    <xdr:to>
      <xdr:col>12</xdr:col>
      <xdr:colOff>342900</xdr:colOff>
      <xdr:row>18</xdr:row>
      <xdr:rowOff>68580</xdr:rowOff>
    </xdr:to>
    <xdr:sp macro="" textlink="">
      <xdr:nvSpPr>
        <xdr:cNvPr id="29742" name="Rectangle 46"/>
        <xdr:cNvSpPr>
          <a:spLocks noChangeArrowheads="1"/>
        </xdr:cNvSpPr>
      </xdr:nvSpPr>
      <xdr:spPr bwMode="auto">
        <a:xfrm>
          <a:off x="6560820" y="2636520"/>
          <a:ext cx="15392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236220</xdr:colOff>
      <xdr:row>16</xdr:row>
      <xdr:rowOff>30480</xdr:rowOff>
    </xdr:from>
    <xdr:ext cx="0" cy="226060"/>
    <xdr:sp macro="" textlink="">
      <xdr:nvSpPr>
        <xdr:cNvPr id="29743" name="Rectangle 47"/>
        <xdr:cNvSpPr>
          <a:spLocks noChangeArrowheads="1"/>
        </xdr:cNvSpPr>
      </xdr:nvSpPr>
      <xdr:spPr bwMode="auto">
        <a:xfrm>
          <a:off x="6774180" y="28956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525780</xdr:colOff>
      <xdr:row>17</xdr:row>
      <xdr:rowOff>30480</xdr:rowOff>
    </xdr:from>
    <xdr:ext cx="0" cy="226060"/>
    <xdr:sp macro="" textlink="">
      <xdr:nvSpPr>
        <xdr:cNvPr id="29744" name="Rectangle 48"/>
        <xdr:cNvSpPr>
          <a:spLocks noChangeArrowheads="1"/>
        </xdr:cNvSpPr>
      </xdr:nvSpPr>
      <xdr:spPr bwMode="auto">
        <a:xfrm>
          <a:off x="7063740" y="306324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99060</xdr:colOff>
      <xdr:row>13</xdr:row>
      <xdr:rowOff>0</xdr:rowOff>
    </xdr:from>
    <xdr:to>
      <xdr:col>9</xdr:col>
      <xdr:colOff>480060</xdr:colOff>
      <xdr:row>15</xdr:row>
      <xdr:rowOff>76200</xdr:rowOff>
    </xdr:to>
    <xdr:sp macro="" textlink="">
      <xdr:nvSpPr>
        <xdr:cNvPr id="29748" name="Rectangle 52"/>
        <xdr:cNvSpPr>
          <a:spLocks noChangeArrowheads="1"/>
        </xdr:cNvSpPr>
      </xdr:nvSpPr>
      <xdr:spPr bwMode="auto">
        <a:xfrm>
          <a:off x="5417820" y="2362200"/>
          <a:ext cx="990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205740</xdr:colOff>
      <xdr:row>14</xdr:row>
      <xdr:rowOff>0</xdr:rowOff>
    </xdr:from>
    <xdr:ext cx="685800" cy="264160"/>
    <xdr:sp macro="" textlink="">
      <xdr:nvSpPr>
        <xdr:cNvPr id="29749" name="Rectangle 53"/>
        <xdr:cNvSpPr>
          <a:spLocks noChangeArrowheads="1"/>
        </xdr:cNvSpPr>
      </xdr:nvSpPr>
      <xdr:spPr bwMode="auto">
        <a:xfrm>
          <a:off x="5524500" y="2529840"/>
          <a:ext cx="6858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53340</xdr:rowOff>
    </xdr:from>
    <xdr:ext cx="0" cy="218440"/>
    <xdr:sp macro="" textlink="">
      <xdr:nvSpPr>
        <xdr:cNvPr id="29750" name="Rectangle 54"/>
        <xdr:cNvSpPr>
          <a:spLocks noChangeArrowheads="1"/>
        </xdr:cNvSpPr>
      </xdr:nvSpPr>
      <xdr:spPr bwMode="auto">
        <a:xfrm>
          <a:off x="5509260" y="25831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99060</xdr:colOff>
      <xdr:row>26</xdr:row>
      <xdr:rowOff>30480</xdr:rowOff>
    </xdr:from>
    <xdr:to>
      <xdr:col>10</xdr:col>
      <xdr:colOff>327660</xdr:colOff>
      <xdr:row>29</xdr:row>
      <xdr:rowOff>160020</xdr:rowOff>
    </xdr:to>
    <xdr:sp macro="" textlink="">
      <xdr:nvSpPr>
        <xdr:cNvPr id="29751" name="Rectangle 55"/>
        <xdr:cNvSpPr>
          <a:spLocks noChangeArrowheads="1"/>
        </xdr:cNvSpPr>
      </xdr:nvSpPr>
      <xdr:spPr bwMode="auto">
        <a:xfrm>
          <a:off x="5417820" y="4572000"/>
          <a:ext cx="144780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26</xdr:row>
      <xdr:rowOff>30480</xdr:rowOff>
    </xdr:from>
    <xdr:to>
      <xdr:col>10</xdr:col>
      <xdr:colOff>327660</xdr:colOff>
      <xdr:row>29</xdr:row>
      <xdr:rowOff>99060</xdr:rowOff>
    </xdr:to>
    <xdr:sp macro="" textlink="">
      <xdr:nvSpPr>
        <xdr:cNvPr id="29752" name="Rectangle 56"/>
        <xdr:cNvSpPr>
          <a:spLocks noChangeArrowheads="1"/>
        </xdr:cNvSpPr>
      </xdr:nvSpPr>
      <xdr:spPr bwMode="auto">
        <a:xfrm>
          <a:off x="5417820" y="457200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106680</xdr:colOff>
      <xdr:row>26</xdr:row>
      <xdr:rowOff>91440</xdr:rowOff>
    </xdr:from>
    <xdr:to>
      <xdr:col>10</xdr:col>
      <xdr:colOff>312420</xdr:colOff>
      <xdr:row>29</xdr:row>
      <xdr:rowOff>91440</xdr:rowOff>
    </xdr:to>
    <xdr:sp macro="" textlink="">
      <xdr:nvSpPr>
        <xdr:cNvPr id="29753" name="Rectangle 57"/>
        <xdr:cNvSpPr>
          <a:spLocks noChangeArrowheads="1"/>
        </xdr:cNvSpPr>
      </xdr:nvSpPr>
      <xdr:spPr bwMode="auto">
        <a:xfrm>
          <a:off x="5425440" y="4632960"/>
          <a:ext cx="1424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335280</xdr:colOff>
      <xdr:row>27</xdr:row>
      <xdr:rowOff>83820</xdr:rowOff>
    </xdr:from>
    <xdr:ext cx="0" cy="218440"/>
    <xdr:sp macro="" textlink="">
      <xdr:nvSpPr>
        <xdr:cNvPr id="29754" name="Rectangle 58"/>
        <xdr:cNvSpPr>
          <a:spLocks noChangeArrowheads="1"/>
        </xdr:cNvSpPr>
      </xdr:nvSpPr>
      <xdr:spPr bwMode="auto">
        <a:xfrm>
          <a:off x="5654040" y="47929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388620</xdr:colOff>
      <xdr:row>28</xdr:row>
      <xdr:rowOff>68580</xdr:rowOff>
    </xdr:from>
    <xdr:ext cx="0" cy="226060"/>
    <xdr:sp macro="" textlink="">
      <xdr:nvSpPr>
        <xdr:cNvPr id="29755" name="Rectangle 59"/>
        <xdr:cNvSpPr>
          <a:spLocks noChangeArrowheads="1"/>
        </xdr:cNvSpPr>
      </xdr:nvSpPr>
      <xdr:spPr bwMode="auto">
        <a:xfrm>
          <a:off x="5707380" y="4945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22860</xdr:colOff>
      <xdr:row>19</xdr:row>
      <xdr:rowOff>99060</xdr:rowOff>
    </xdr:from>
    <xdr:to>
      <xdr:col>8</xdr:col>
      <xdr:colOff>327660</xdr:colOff>
      <xdr:row>26</xdr:row>
      <xdr:rowOff>30480</xdr:rowOff>
    </xdr:to>
    <xdr:grpSp>
      <xdr:nvGrpSpPr>
        <xdr:cNvPr id="29758" name="Group 62"/>
        <xdr:cNvGrpSpPr>
          <a:grpSpLocks/>
        </xdr:cNvGrpSpPr>
      </xdr:nvGrpSpPr>
      <xdr:grpSpPr bwMode="auto">
        <a:xfrm>
          <a:off x="4732020" y="3467100"/>
          <a:ext cx="914400" cy="1104900"/>
          <a:chOff x="450" y="299"/>
          <a:chExt cx="96" cy="112"/>
        </a:xfrm>
      </xdr:grpSpPr>
      <xdr:sp macro="" textlink="">
        <xdr:nvSpPr>
          <xdr:cNvPr id="29756" name="Line 60"/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/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251460</xdr:colOff>
      <xdr:row>21</xdr:row>
      <xdr:rowOff>76200</xdr:rowOff>
    </xdr:from>
    <xdr:to>
      <xdr:col>8</xdr:col>
      <xdr:colOff>22860</xdr:colOff>
      <xdr:row>26</xdr:row>
      <xdr:rowOff>129540</xdr:rowOff>
    </xdr:to>
    <xdr:sp macro="" textlink="">
      <xdr:nvSpPr>
        <xdr:cNvPr id="29759" name="Rectangle 63"/>
        <xdr:cNvSpPr>
          <a:spLocks noChangeArrowheads="1"/>
        </xdr:cNvSpPr>
      </xdr:nvSpPr>
      <xdr:spPr bwMode="auto">
        <a:xfrm>
          <a:off x="4351020" y="3779520"/>
          <a:ext cx="99060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419100</xdr:colOff>
      <xdr:row>21</xdr:row>
      <xdr:rowOff>144780</xdr:rowOff>
    </xdr:from>
    <xdr:ext cx="579120" cy="396240"/>
    <xdr:sp macro="" textlink="">
      <xdr:nvSpPr>
        <xdr:cNvPr id="29760" name="Rectangle 64"/>
        <xdr:cNvSpPr>
          <a:spLocks noChangeArrowheads="1"/>
        </xdr:cNvSpPr>
      </xdr:nvSpPr>
      <xdr:spPr bwMode="auto">
        <a:xfrm>
          <a:off x="4518660" y="3848100"/>
          <a:ext cx="57912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129540</xdr:rowOff>
    </xdr:from>
    <xdr:ext cx="0" cy="223520"/>
    <xdr:sp macro="" textlink="">
      <xdr:nvSpPr>
        <xdr:cNvPr id="29761" name="Rectangle 65"/>
        <xdr:cNvSpPr>
          <a:spLocks noChangeArrowheads="1"/>
        </xdr:cNvSpPr>
      </xdr:nvSpPr>
      <xdr:spPr bwMode="auto">
        <a:xfrm>
          <a:off x="4442460" y="400050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121920</xdr:rowOff>
    </xdr:from>
    <xdr:ext cx="0" cy="223520"/>
    <xdr:sp macro="" textlink="">
      <xdr:nvSpPr>
        <xdr:cNvPr id="29762" name="Rectangle 66"/>
        <xdr:cNvSpPr>
          <a:spLocks noChangeArrowheads="1"/>
        </xdr:cNvSpPr>
      </xdr:nvSpPr>
      <xdr:spPr bwMode="auto">
        <a:xfrm>
          <a:off x="4442460" y="416052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114300</xdr:rowOff>
    </xdr:from>
    <xdr:ext cx="0" cy="218440"/>
    <xdr:sp macro="" textlink="">
      <xdr:nvSpPr>
        <xdr:cNvPr id="29763" name="Rectangle 67"/>
        <xdr:cNvSpPr>
          <a:spLocks noChangeArrowheads="1"/>
        </xdr:cNvSpPr>
      </xdr:nvSpPr>
      <xdr:spPr bwMode="auto">
        <a:xfrm>
          <a:off x="4442460" y="432054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114300</xdr:rowOff>
    </xdr:from>
    <xdr:ext cx="0" cy="218440"/>
    <xdr:sp macro="" textlink="">
      <xdr:nvSpPr>
        <xdr:cNvPr id="29764" name="Rectangle 68"/>
        <xdr:cNvSpPr>
          <a:spLocks noChangeArrowheads="1"/>
        </xdr:cNvSpPr>
      </xdr:nvSpPr>
      <xdr:spPr bwMode="auto">
        <a:xfrm>
          <a:off x="4442460" y="44881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22860</xdr:colOff>
      <xdr:row>26</xdr:row>
      <xdr:rowOff>30480</xdr:rowOff>
    </xdr:from>
    <xdr:to>
      <xdr:col>4</xdr:col>
      <xdr:colOff>175260</xdr:colOff>
      <xdr:row>29</xdr:row>
      <xdr:rowOff>99060</xdr:rowOff>
    </xdr:to>
    <xdr:sp macro="" textlink="">
      <xdr:nvSpPr>
        <xdr:cNvPr id="29765" name="Rectangle 69"/>
        <xdr:cNvSpPr>
          <a:spLocks noChangeArrowheads="1"/>
        </xdr:cNvSpPr>
      </xdr:nvSpPr>
      <xdr:spPr bwMode="auto">
        <a:xfrm>
          <a:off x="1684020" y="4572000"/>
          <a:ext cx="1371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579120</xdr:colOff>
      <xdr:row>26</xdr:row>
      <xdr:rowOff>91440</xdr:rowOff>
    </xdr:from>
    <xdr:to>
      <xdr:col>5</xdr:col>
      <xdr:colOff>457200</xdr:colOff>
      <xdr:row>29</xdr:row>
      <xdr:rowOff>160020</xdr:rowOff>
    </xdr:to>
    <xdr:sp macro="" textlink="">
      <xdr:nvSpPr>
        <xdr:cNvPr id="29766" name="Rectangle 70"/>
        <xdr:cNvSpPr>
          <a:spLocks noChangeArrowheads="1"/>
        </xdr:cNvSpPr>
      </xdr:nvSpPr>
      <xdr:spPr bwMode="auto">
        <a:xfrm>
          <a:off x="1630680" y="4632960"/>
          <a:ext cx="231648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83820</xdr:rowOff>
    </xdr:from>
    <xdr:ext cx="0" cy="218440"/>
    <xdr:sp macro="" textlink="">
      <xdr:nvSpPr>
        <xdr:cNvPr id="29767" name="Rectangle 71"/>
        <xdr:cNvSpPr>
          <a:spLocks noChangeArrowheads="1"/>
        </xdr:cNvSpPr>
      </xdr:nvSpPr>
      <xdr:spPr bwMode="auto">
        <a:xfrm>
          <a:off x="1851660" y="47929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525780</xdr:colOff>
      <xdr:row>28</xdr:row>
      <xdr:rowOff>68580</xdr:rowOff>
    </xdr:from>
    <xdr:ext cx="0" cy="226060"/>
    <xdr:sp macro="" textlink="">
      <xdr:nvSpPr>
        <xdr:cNvPr id="29768" name="Rectangle 72"/>
        <xdr:cNvSpPr>
          <a:spLocks noChangeArrowheads="1"/>
        </xdr:cNvSpPr>
      </xdr:nvSpPr>
      <xdr:spPr bwMode="auto">
        <a:xfrm>
          <a:off x="2186940" y="4945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22860</xdr:colOff>
      <xdr:row>19</xdr:row>
      <xdr:rowOff>99060</xdr:rowOff>
    </xdr:from>
    <xdr:to>
      <xdr:col>5</xdr:col>
      <xdr:colOff>251460</xdr:colOff>
      <xdr:row>26</xdr:row>
      <xdr:rowOff>30480</xdr:rowOff>
    </xdr:to>
    <xdr:grpSp>
      <xdr:nvGrpSpPr>
        <xdr:cNvPr id="29771" name="Group 75"/>
        <xdr:cNvGrpSpPr>
          <a:grpSpLocks/>
        </xdr:cNvGrpSpPr>
      </xdr:nvGrpSpPr>
      <xdr:grpSpPr bwMode="auto">
        <a:xfrm>
          <a:off x="2903220" y="3467100"/>
          <a:ext cx="838200" cy="1104900"/>
          <a:chOff x="258" y="299"/>
          <a:chExt cx="88" cy="112"/>
        </a:xfrm>
      </xdr:grpSpPr>
      <xdr:sp macro="" textlink="">
        <xdr:nvSpPr>
          <xdr:cNvPr id="29769" name="Line 73"/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/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30480</xdr:rowOff>
    </xdr:from>
    <xdr:to>
      <xdr:col>5</xdr:col>
      <xdr:colOff>426720</xdr:colOff>
      <xdr:row>29</xdr:row>
      <xdr:rowOff>160020</xdr:rowOff>
    </xdr:to>
    <xdr:sp macro="" textlink="">
      <xdr:nvSpPr>
        <xdr:cNvPr id="29772" name="Rectangle 76"/>
        <xdr:cNvSpPr>
          <a:spLocks noChangeArrowheads="1"/>
        </xdr:cNvSpPr>
      </xdr:nvSpPr>
      <xdr:spPr bwMode="auto">
        <a:xfrm>
          <a:off x="1623060" y="4572000"/>
          <a:ext cx="229362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22860</xdr:colOff>
      <xdr:row>21</xdr:row>
      <xdr:rowOff>160020</xdr:rowOff>
    </xdr:from>
    <xdr:to>
      <xdr:col>4</xdr:col>
      <xdr:colOff>403860</xdr:colOff>
      <xdr:row>24</xdr:row>
      <xdr:rowOff>68580</xdr:rowOff>
    </xdr:to>
    <xdr:sp macro="" textlink="">
      <xdr:nvSpPr>
        <xdr:cNvPr id="29773" name="Rectangle 77"/>
        <xdr:cNvSpPr>
          <a:spLocks noChangeArrowheads="1"/>
        </xdr:cNvSpPr>
      </xdr:nvSpPr>
      <xdr:spPr bwMode="auto">
        <a:xfrm>
          <a:off x="2293620" y="3863340"/>
          <a:ext cx="990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266700</xdr:colOff>
      <xdr:row>22</xdr:row>
      <xdr:rowOff>83820</xdr:rowOff>
    </xdr:from>
    <xdr:ext cx="670560" cy="261620"/>
    <xdr:sp macro="" textlink="">
      <xdr:nvSpPr>
        <xdr:cNvPr id="29774" name="Rectangle 78"/>
        <xdr:cNvSpPr>
          <a:spLocks noChangeArrowheads="1"/>
        </xdr:cNvSpPr>
      </xdr:nvSpPr>
      <xdr:spPr bwMode="auto">
        <a:xfrm>
          <a:off x="2537460" y="3954780"/>
          <a:ext cx="67056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26060"/>
    <xdr:sp macro="" textlink="">
      <xdr:nvSpPr>
        <xdr:cNvPr id="29775" name="Rectangle 79"/>
        <xdr:cNvSpPr>
          <a:spLocks noChangeArrowheads="1"/>
        </xdr:cNvSpPr>
      </xdr:nvSpPr>
      <xdr:spPr bwMode="auto">
        <a:xfrm>
          <a:off x="2385060" y="40767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381000</xdr:colOff>
      <xdr:row>14</xdr:row>
      <xdr:rowOff>129540</xdr:rowOff>
    </xdr:from>
    <xdr:to>
      <xdr:col>2</xdr:col>
      <xdr:colOff>175260</xdr:colOff>
      <xdr:row>18</xdr:row>
      <xdr:rowOff>30480</xdr:rowOff>
    </xdr:to>
    <xdr:sp macro="" textlink="">
      <xdr:nvSpPr>
        <xdr:cNvPr id="29776" name="Rectangle 80"/>
        <xdr:cNvSpPr>
          <a:spLocks noChangeArrowheads="1"/>
        </xdr:cNvSpPr>
      </xdr:nvSpPr>
      <xdr:spPr bwMode="auto">
        <a:xfrm>
          <a:off x="381000" y="2659380"/>
          <a:ext cx="145542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14</xdr:row>
      <xdr:rowOff>121920</xdr:rowOff>
    </xdr:from>
    <xdr:to>
      <xdr:col>2</xdr:col>
      <xdr:colOff>259080</xdr:colOff>
      <xdr:row>17</xdr:row>
      <xdr:rowOff>160020</xdr:rowOff>
    </xdr:to>
    <xdr:sp macro="" textlink="">
      <xdr:nvSpPr>
        <xdr:cNvPr id="29777" name="Rectangle 81"/>
        <xdr:cNvSpPr>
          <a:spLocks noChangeArrowheads="1"/>
        </xdr:cNvSpPr>
      </xdr:nvSpPr>
      <xdr:spPr bwMode="auto">
        <a:xfrm>
          <a:off x="304800" y="2651760"/>
          <a:ext cx="16154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541020</xdr:colOff>
      <xdr:row>17</xdr:row>
      <xdr:rowOff>7620</xdr:rowOff>
    </xdr:from>
    <xdr:ext cx="0" cy="226060"/>
    <xdr:sp macro="" textlink="">
      <xdr:nvSpPr>
        <xdr:cNvPr id="29778" name="Rectangle 82"/>
        <xdr:cNvSpPr>
          <a:spLocks noChangeArrowheads="1"/>
        </xdr:cNvSpPr>
      </xdr:nvSpPr>
      <xdr:spPr bwMode="auto">
        <a:xfrm>
          <a:off x="541020" y="3040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541020</xdr:colOff>
      <xdr:row>18</xdr:row>
      <xdr:rowOff>0</xdr:rowOff>
    </xdr:from>
    <xdr:ext cx="0" cy="226060"/>
    <xdr:sp macro="" textlink="">
      <xdr:nvSpPr>
        <xdr:cNvPr id="29779" name="Rectangle 83"/>
        <xdr:cNvSpPr>
          <a:spLocks noChangeArrowheads="1"/>
        </xdr:cNvSpPr>
      </xdr:nvSpPr>
      <xdr:spPr bwMode="auto">
        <a:xfrm>
          <a:off x="541020" y="32004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251460</xdr:colOff>
      <xdr:row>16</xdr:row>
      <xdr:rowOff>0</xdr:rowOff>
    </xdr:from>
    <xdr:to>
      <xdr:col>4</xdr:col>
      <xdr:colOff>251460</xdr:colOff>
      <xdr:row>16</xdr:row>
      <xdr:rowOff>99060</xdr:rowOff>
    </xdr:to>
    <xdr:grpSp>
      <xdr:nvGrpSpPr>
        <xdr:cNvPr id="29782" name="Group 86"/>
        <xdr:cNvGrpSpPr>
          <a:grpSpLocks/>
        </xdr:cNvGrpSpPr>
      </xdr:nvGrpSpPr>
      <xdr:grpSpPr bwMode="auto">
        <a:xfrm>
          <a:off x="1912620" y="2865120"/>
          <a:ext cx="1219200" cy="99060"/>
          <a:chOff x="154" y="238"/>
          <a:chExt cx="128" cy="11"/>
        </a:xfrm>
      </xdr:grpSpPr>
      <xdr:sp macro="" textlink="">
        <xdr:nvSpPr>
          <xdr:cNvPr id="29780" name="Line 84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327660</xdr:colOff>
      <xdr:row>13</xdr:row>
      <xdr:rowOff>76200</xdr:rowOff>
    </xdr:from>
    <xdr:to>
      <xdr:col>4</xdr:col>
      <xdr:colOff>99060</xdr:colOff>
      <xdr:row>15</xdr:row>
      <xdr:rowOff>160020</xdr:rowOff>
    </xdr:to>
    <xdr:sp macro="" textlink="">
      <xdr:nvSpPr>
        <xdr:cNvPr id="29784" name="Rectangle 88"/>
        <xdr:cNvSpPr>
          <a:spLocks noChangeArrowheads="1"/>
        </xdr:cNvSpPr>
      </xdr:nvSpPr>
      <xdr:spPr bwMode="auto">
        <a:xfrm>
          <a:off x="1988820" y="2438400"/>
          <a:ext cx="990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30480</xdr:rowOff>
    </xdr:from>
    <xdr:ext cx="647700" cy="264160"/>
    <xdr:sp macro="" textlink="">
      <xdr:nvSpPr>
        <xdr:cNvPr id="29785" name="Rectangle 89"/>
        <xdr:cNvSpPr>
          <a:spLocks noChangeArrowheads="1"/>
        </xdr:cNvSpPr>
      </xdr:nvSpPr>
      <xdr:spPr bwMode="auto">
        <a:xfrm>
          <a:off x="2080260" y="2560320"/>
          <a:ext cx="6477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129540</xdr:rowOff>
    </xdr:from>
    <xdr:ext cx="0" cy="223520"/>
    <xdr:sp macro="" textlink="">
      <xdr:nvSpPr>
        <xdr:cNvPr id="29786" name="Rectangle 90"/>
        <xdr:cNvSpPr>
          <a:spLocks noChangeArrowheads="1"/>
        </xdr:cNvSpPr>
      </xdr:nvSpPr>
      <xdr:spPr bwMode="auto">
        <a:xfrm>
          <a:off x="2080260" y="26593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99060</xdr:colOff>
      <xdr:row>3</xdr:row>
      <xdr:rowOff>99060</xdr:rowOff>
    </xdr:from>
    <xdr:to>
      <xdr:col>4</xdr:col>
      <xdr:colOff>251460</xdr:colOff>
      <xdr:row>6</xdr:row>
      <xdr:rowOff>7620</xdr:rowOff>
    </xdr:to>
    <xdr:sp macro="" textlink="">
      <xdr:nvSpPr>
        <xdr:cNvPr id="29787" name="Rectangle 91"/>
        <xdr:cNvSpPr>
          <a:spLocks noChangeArrowheads="1"/>
        </xdr:cNvSpPr>
      </xdr:nvSpPr>
      <xdr:spPr bwMode="auto">
        <a:xfrm>
          <a:off x="1760220" y="784860"/>
          <a:ext cx="1371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</xdr:colOff>
      <xdr:row>3</xdr:row>
      <xdr:rowOff>160020</xdr:rowOff>
    </xdr:from>
    <xdr:to>
      <xdr:col>4</xdr:col>
      <xdr:colOff>228600</xdr:colOff>
      <xdr:row>5</xdr:row>
      <xdr:rowOff>160020</xdr:rowOff>
    </xdr:to>
    <xdr:sp macro="" textlink="">
      <xdr:nvSpPr>
        <xdr:cNvPr id="29788" name="Rectangle 92"/>
        <xdr:cNvSpPr>
          <a:spLocks noChangeArrowheads="1"/>
        </xdr:cNvSpPr>
      </xdr:nvSpPr>
      <xdr:spPr bwMode="auto">
        <a:xfrm>
          <a:off x="1668780" y="8458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601980</xdr:colOff>
      <xdr:row>4</xdr:row>
      <xdr:rowOff>144780</xdr:rowOff>
    </xdr:from>
    <xdr:ext cx="0" cy="223520"/>
    <xdr:sp macro="" textlink="">
      <xdr:nvSpPr>
        <xdr:cNvPr id="29789" name="Rectangle 93"/>
        <xdr:cNvSpPr>
          <a:spLocks noChangeArrowheads="1"/>
        </xdr:cNvSpPr>
      </xdr:nvSpPr>
      <xdr:spPr bwMode="auto">
        <a:xfrm>
          <a:off x="2263140" y="99822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480060</xdr:colOff>
      <xdr:row>6</xdr:row>
      <xdr:rowOff>144780</xdr:rowOff>
    </xdr:from>
    <xdr:to>
      <xdr:col>5</xdr:col>
      <xdr:colOff>175260</xdr:colOff>
      <xdr:row>13</xdr:row>
      <xdr:rowOff>76200</xdr:rowOff>
    </xdr:to>
    <xdr:grpSp>
      <xdr:nvGrpSpPr>
        <xdr:cNvPr id="29792" name="Group 96"/>
        <xdr:cNvGrpSpPr>
          <a:grpSpLocks/>
        </xdr:cNvGrpSpPr>
      </xdr:nvGrpSpPr>
      <xdr:grpSpPr bwMode="auto">
        <a:xfrm>
          <a:off x="2750820" y="1333500"/>
          <a:ext cx="914400" cy="1104900"/>
          <a:chOff x="242" y="83"/>
          <a:chExt cx="96" cy="112"/>
        </a:xfrm>
      </xdr:grpSpPr>
      <xdr:sp macro="" textlink="">
        <xdr:nvSpPr>
          <xdr:cNvPr id="29790" name="Line 94"/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/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99060</xdr:colOff>
      <xdr:row>9</xdr:row>
      <xdr:rowOff>38100</xdr:rowOff>
    </xdr:from>
    <xdr:to>
      <xdr:col>4</xdr:col>
      <xdr:colOff>480060</xdr:colOff>
      <xdr:row>10</xdr:row>
      <xdr:rowOff>129540</xdr:rowOff>
    </xdr:to>
    <xdr:sp macro="" textlink="">
      <xdr:nvSpPr>
        <xdr:cNvPr id="29793" name="Rectangle 97"/>
        <xdr:cNvSpPr>
          <a:spLocks noChangeArrowheads="1"/>
        </xdr:cNvSpPr>
      </xdr:nvSpPr>
      <xdr:spPr bwMode="auto">
        <a:xfrm>
          <a:off x="2369820" y="1729740"/>
          <a:ext cx="9906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121920</xdr:rowOff>
    </xdr:from>
    <xdr:ext cx="396240" cy="134620"/>
    <xdr:sp macro="" textlink="">
      <xdr:nvSpPr>
        <xdr:cNvPr id="29794" name="Rectangle 98"/>
        <xdr:cNvSpPr>
          <a:spLocks noChangeArrowheads="1"/>
        </xdr:cNvSpPr>
      </xdr:nvSpPr>
      <xdr:spPr bwMode="auto">
        <a:xfrm>
          <a:off x="2766060" y="1813560"/>
          <a:ext cx="39624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22860</xdr:colOff>
      <xdr:row>3</xdr:row>
      <xdr:rowOff>22860</xdr:rowOff>
    </xdr:from>
    <xdr:to>
      <xdr:col>4</xdr:col>
      <xdr:colOff>251460</xdr:colOff>
      <xdr:row>6</xdr:row>
      <xdr:rowOff>144780</xdr:rowOff>
    </xdr:to>
    <xdr:sp macro="" textlink="">
      <xdr:nvSpPr>
        <xdr:cNvPr id="29795" name="Rectangle 99"/>
        <xdr:cNvSpPr>
          <a:spLocks noChangeArrowheads="1"/>
        </xdr:cNvSpPr>
      </xdr:nvSpPr>
      <xdr:spPr bwMode="auto">
        <a:xfrm>
          <a:off x="1684020" y="708660"/>
          <a:ext cx="1447800" cy="6248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16</xdr:row>
      <xdr:rowOff>30480</xdr:rowOff>
    </xdr:from>
    <xdr:to>
      <xdr:col>10</xdr:col>
      <xdr:colOff>30480</xdr:colOff>
      <xdr:row>16</xdr:row>
      <xdr:rowOff>129540</xdr:rowOff>
    </xdr:to>
    <xdr:grpSp>
      <xdr:nvGrpSpPr>
        <xdr:cNvPr id="29796" name="Group 100"/>
        <xdr:cNvGrpSpPr>
          <a:grpSpLocks/>
        </xdr:cNvGrpSpPr>
      </xdr:nvGrpSpPr>
      <xdr:grpSpPr bwMode="auto">
        <a:xfrm rot="-10791041">
          <a:off x="5417820" y="2895600"/>
          <a:ext cx="1150620" cy="99060"/>
          <a:chOff x="154" y="238"/>
          <a:chExt cx="128" cy="11"/>
        </a:xfrm>
      </xdr:grpSpPr>
      <xdr:sp macro="" textlink="">
        <xdr:nvSpPr>
          <xdr:cNvPr id="29797" name="Line 101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281940</xdr:colOff>
      <xdr:row>14</xdr:row>
      <xdr:rowOff>68580</xdr:rowOff>
    </xdr:from>
    <xdr:to>
      <xdr:col>2</xdr:col>
      <xdr:colOff>236220</xdr:colOff>
      <xdr:row>18</xdr:row>
      <xdr:rowOff>30480</xdr:rowOff>
    </xdr:to>
    <xdr:sp macro="" textlink="">
      <xdr:nvSpPr>
        <xdr:cNvPr id="29799" name="Rectangle 103"/>
        <xdr:cNvSpPr>
          <a:spLocks noChangeArrowheads="1"/>
        </xdr:cNvSpPr>
      </xdr:nvSpPr>
      <xdr:spPr bwMode="auto">
        <a:xfrm>
          <a:off x="281940" y="2598420"/>
          <a:ext cx="161544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99%20O&amp;M%20analysis%20-%200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6-12-00/2000%20Weekly%20Report%20-%20053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th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USDLibor%200619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/>
      <sheetData sheetId="1"/>
      <sheetData sheetId="2"/>
      <sheetData sheetId="3"/>
      <sheetData sheetId="4"/>
      <sheetData sheetId="5">
        <row r="200">
          <cell r="BL200">
            <v>247794211.59869203</v>
          </cell>
          <cell r="BR200">
            <v>257376760.70157161</v>
          </cell>
        </row>
      </sheetData>
      <sheetData sheetId="6"/>
      <sheetData sheetId="7">
        <row r="225">
          <cell r="BN225">
            <v>149251333.95487463</v>
          </cell>
          <cell r="BT225">
            <v>175029357.21731207</v>
          </cell>
        </row>
      </sheetData>
      <sheetData sheetId="8">
        <row r="200">
          <cell r="BL200">
            <v>134302874.72794831</v>
          </cell>
          <cell r="BR200">
            <v>159992688.09976524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-116546</v>
          </cell>
          <cell r="G36">
            <v>14057.309999999998</v>
          </cell>
          <cell r="H36">
            <v>2215588.4873742964</v>
          </cell>
          <cell r="I36">
            <v>29670713.61319153</v>
          </cell>
          <cell r="J36">
            <v>19527427.101975303</v>
          </cell>
          <cell r="K36">
            <v>1129150.0678008101</v>
          </cell>
          <cell r="L36">
            <v>19570.484251453901</v>
          </cell>
          <cell r="M36">
            <v>19933.531752577703</v>
          </cell>
          <cell r="N36">
            <v>14349.189862935402</v>
          </cell>
          <cell r="O36">
            <v>52494243.786208913</v>
          </cell>
        </row>
        <row r="37">
          <cell r="F37">
            <v>-134310</v>
          </cell>
          <cell r="G37">
            <v>-161286.92000000004</v>
          </cell>
          <cell r="H37">
            <v>2521395.8536772002</v>
          </cell>
          <cell r="I37">
            <v>34423052.821525581</v>
          </cell>
          <cell r="J37">
            <v>23993788.155513801</v>
          </cell>
          <cell r="K37">
            <v>1316386.4215051802</v>
          </cell>
          <cell r="L37">
            <v>17264.4649368803</v>
          </cell>
          <cell r="M37">
            <v>29921.025772328601</v>
          </cell>
          <cell r="N37">
            <v>31535.395331746902</v>
          </cell>
          <cell r="O37">
            <v>62037747.218262725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500093.05150000006</v>
          </cell>
          <cell r="H38">
            <v>1914554.8233097345</v>
          </cell>
          <cell r="I38">
            <v>24767767.154646244</v>
          </cell>
          <cell r="J38">
            <v>19567469.932419002</v>
          </cell>
          <cell r="K38">
            <v>777578.95266265003</v>
          </cell>
          <cell r="L38">
            <v>25981.297285330802</v>
          </cell>
          <cell r="M38">
            <v>18043.456388305003</v>
          </cell>
          <cell r="N38">
            <v>30634.027487749805</v>
          </cell>
          <cell r="O38">
            <v>51034719.695699006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3196.2795999999798</v>
          </cell>
          <cell r="H39">
            <v>2067319.7981064566</v>
          </cell>
          <cell r="I39">
            <v>23617451.856032267</v>
          </cell>
          <cell r="J39">
            <v>20285339.438500002</v>
          </cell>
          <cell r="K39">
            <v>859324.05840443308</v>
          </cell>
          <cell r="L39">
            <v>34277.529908420503</v>
          </cell>
          <cell r="M39">
            <v>22643.266532775004</v>
          </cell>
          <cell r="N39">
            <v>36616.439692596905</v>
          </cell>
          <cell r="O39">
            <v>48889990.66677694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66423.39999999998</v>
          </cell>
          <cell r="H40">
            <v>1450771.18526976</v>
          </cell>
          <cell r="I40">
            <v>19794089.792940769</v>
          </cell>
          <cell r="J40">
            <v>15539823.879368201</v>
          </cell>
          <cell r="K40">
            <v>565523.355995666</v>
          </cell>
          <cell r="L40">
            <v>17955.693686979801</v>
          </cell>
          <cell r="M40">
            <v>14992.311608953001</v>
          </cell>
          <cell r="N40">
            <v>26303.503264588002</v>
          </cell>
          <cell r="O40">
            <v>38054482.122134916</v>
          </cell>
        </row>
        <row r="41">
          <cell r="G41">
            <v>77049.248350000009</v>
          </cell>
          <cell r="H41">
            <v>1758035.1366674269</v>
          </cell>
          <cell r="I41">
            <v>26786538.325464815</v>
          </cell>
          <cell r="J41">
            <v>23108423.347146701</v>
          </cell>
          <cell r="K41">
            <v>1128698.0949041802</v>
          </cell>
          <cell r="L41">
            <v>68682.438938905601</v>
          </cell>
          <cell r="M41">
            <v>43760.798595197906</v>
          </cell>
          <cell r="N41">
            <v>63045.176212010803</v>
          </cell>
          <cell r="O41">
            <v>53034232.56627924</v>
          </cell>
        </row>
        <row r="72">
          <cell r="B72">
            <v>141933.41722129</v>
          </cell>
          <cell r="C72">
            <v>150685.56416661301</v>
          </cell>
          <cell r="D72">
            <v>14497.180170828602</v>
          </cell>
          <cell r="E72">
            <v>42263.042689414302</v>
          </cell>
          <cell r="F72">
            <v>426237.17219280504</v>
          </cell>
          <cell r="G72">
            <v>4790541.5381244905</v>
          </cell>
          <cell r="H72">
            <v>13178107.5496273</v>
          </cell>
          <cell r="I72">
            <v>14125969.672215901</v>
          </cell>
          <cell r="J72">
            <v>771318.45637540403</v>
          </cell>
          <cell r="K72">
            <v>34938.024590763904</v>
          </cell>
          <cell r="L72">
            <v>39331.883150444402</v>
          </cell>
          <cell r="M72">
            <v>26260.355458209204</v>
          </cell>
          <cell r="N72">
            <v>33742083.855983458</v>
          </cell>
        </row>
        <row r="73">
          <cell r="B73">
            <v>199341.87157356902</v>
          </cell>
          <cell r="C73">
            <v>212211.72579242304</v>
          </cell>
          <cell r="D73">
            <v>24396.160395006504</v>
          </cell>
          <cell r="E73">
            <v>41440.853411072807</v>
          </cell>
          <cell r="F73">
            <v>396145.67418346106</v>
          </cell>
          <cell r="G73">
            <v>6008671.2871038001</v>
          </cell>
          <cell r="H73">
            <v>16798107.549119402</v>
          </cell>
          <cell r="I73">
            <v>18013334.451733902</v>
          </cell>
          <cell r="J73">
            <v>944752.82094751205</v>
          </cell>
          <cell r="K73">
            <v>32018.356033870703</v>
          </cell>
          <cell r="L73">
            <v>53738.103859098708</v>
          </cell>
          <cell r="M73">
            <v>39216.265171516206</v>
          </cell>
          <cell r="N73">
            <v>42763375.119324632</v>
          </cell>
        </row>
        <row r="74">
          <cell r="B74">
            <v>114656.26069911601</v>
          </cell>
          <cell r="C74">
            <v>119998.78102003802</v>
          </cell>
          <cell r="D74">
            <v>14004.492526028402</v>
          </cell>
          <cell r="E74">
            <v>40111.001066035307</v>
          </cell>
          <cell r="F74">
            <v>373775.41525151505</v>
          </cell>
          <cell r="G74">
            <v>4122551.1804829002</v>
          </cell>
          <cell r="H74">
            <v>12358360.589715</v>
          </cell>
          <cell r="I74">
            <v>13268902.017115401</v>
          </cell>
          <cell r="J74">
            <v>683078.94320594007</v>
          </cell>
          <cell r="K74">
            <v>51017.711374455008</v>
          </cell>
          <cell r="L74">
            <v>35144.633280962706</v>
          </cell>
          <cell r="M74">
            <v>47037.662011091204</v>
          </cell>
          <cell r="N74">
            <v>31228638.687748484</v>
          </cell>
        </row>
        <row r="75">
          <cell r="B75">
            <v>129256.07745329301</v>
          </cell>
          <cell r="C75">
            <v>134797.344923169</v>
          </cell>
          <cell r="D75">
            <v>18055.661664777501</v>
          </cell>
          <cell r="E75">
            <v>47379.689484864008</v>
          </cell>
          <cell r="F75">
            <v>413356.66374859307</v>
          </cell>
          <cell r="G75">
            <v>4347143.6188449999</v>
          </cell>
          <cell r="H75">
            <v>12824357.126715502</v>
          </cell>
          <cell r="I75">
            <v>13780574.0896479</v>
          </cell>
          <cell r="J75">
            <v>745704.96285634104</v>
          </cell>
          <cell r="K75">
            <v>63179.788235184504</v>
          </cell>
          <cell r="L75">
            <v>42436.080323448201</v>
          </cell>
          <cell r="M75">
            <v>54904.824083640109</v>
          </cell>
          <cell r="N75">
            <v>32601145.927981712</v>
          </cell>
        </row>
        <row r="76">
          <cell r="B76">
            <v>102808.77818723401</v>
          </cell>
          <cell r="C76">
            <v>108451.42840553902</v>
          </cell>
          <cell r="D76">
            <v>11988.018192232501</v>
          </cell>
          <cell r="E76">
            <v>29670.720351275202</v>
          </cell>
          <cell r="F76">
            <v>320982.12555154203</v>
          </cell>
          <cell r="G76">
            <v>3183641.3483427204</v>
          </cell>
          <cell r="H76">
            <v>9755724.4239181206</v>
          </cell>
          <cell r="I76">
            <v>10477971.833963901</v>
          </cell>
          <cell r="J76">
            <v>502310.34373733803</v>
          </cell>
          <cell r="K76">
            <v>37545.999255666604</v>
          </cell>
          <cell r="L76">
            <v>30796.857929060305</v>
          </cell>
          <cell r="M76">
            <v>41796.331601393504</v>
          </cell>
          <cell r="N76">
            <v>24603688.209436025</v>
          </cell>
        </row>
        <row r="77">
          <cell r="B77">
            <v>192334.22553313003</v>
          </cell>
          <cell r="C77">
            <v>197981.68128022301</v>
          </cell>
          <cell r="D77">
            <v>36067.5804837713</v>
          </cell>
          <cell r="E77">
            <v>85923.788835431405</v>
          </cell>
          <cell r="F77">
            <v>578545.91791053209</v>
          </cell>
          <cell r="G77">
            <v>5184208.9949808503</v>
          </cell>
          <cell r="H77">
            <v>14751716.827443002</v>
          </cell>
          <cell r="I77">
            <v>15838511.725463701</v>
          </cell>
          <cell r="J77">
            <v>962012.05625839205</v>
          </cell>
          <cell r="K77">
            <v>113569.29154962701</v>
          </cell>
          <cell r="L77">
            <v>73209.884927073203</v>
          </cell>
          <cell r="M77">
            <v>87989.141706978902</v>
          </cell>
          <cell r="N77">
            <v>38102071.116372719</v>
          </cell>
        </row>
        <row r="103">
          <cell r="B103">
            <v>127259.90514270001</v>
          </cell>
          <cell r="C103">
            <v>130208.87959465501</v>
          </cell>
          <cell r="D103">
            <v>30317.546446443004</v>
          </cell>
          <cell r="E103">
            <v>80897.169504920006</v>
          </cell>
          <cell r="F103">
            <v>361667.39141027303</v>
          </cell>
          <cell r="G103">
            <v>3111310.2239580303</v>
          </cell>
          <cell r="H103">
            <v>9398318.8109030109</v>
          </cell>
          <cell r="I103">
            <v>9356609.0260606203</v>
          </cell>
          <cell r="J103">
            <v>942662.82233349211</v>
          </cell>
          <cell r="K103">
            <v>71842.030302003201</v>
          </cell>
          <cell r="L103">
            <v>64833.678975790906</v>
          </cell>
          <cell r="M103">
            <v>50192.981156318005</v>
          </cell>
          <cell r="N103">
            <v>23726120.46578826</v>
          </cell>
        </row>
        <row r="104">
          <cell r="B104">
            <v>183782.92794371501</v>
          </cell>
          <cell r="C104">
            <v>190726.82796518103</v>
          </cell>
          <cell r="D104">
            <v>47002.907359119607</v>
          </cell>
          <cell r="E104">
            <v>93283.74126644581</v>
          </cell>
          <cell r="F104">
            <v>388259.85500588105</v>
          </cell>
          <cell r="G104">
            <v>3886647.2001642501</v>
          </cell>
          <cell r="H104">
            <v>11981423.298393901</v>
          </cell>
          <cell r="I104">
            <v>11929624.452854201</v>
          </cell>
          <cell r="J104">
            <v>1178072.94242798</v>
          </cell>
          <cell r="K104">
            <v>72850.653714524611</v>
          </cell>
          <cell r="L104">
            <v>84108.807159237214</v>
          </cell>
          <cell r="M104">
            <v>68431.571908356709</v>
          </cell>
          <cell r="N104">
            <v>30104215.1861628</v>
          </cell>
        </row>
        <row r="105">
          <cell r="B105">
            <v>128253.00331183702</v>
          </cell>
          <cell r="C105">
            <v>126967.96340356402</v>
          </cell>
          <cell r="D105">
            <v>17791.480619264003</v>
          </cell>
          <cell r="E105">
            <v>55254.108467222803</v>
          </cell>
          <cell r="F105">
            <v>321453.02410620404</v>
          </cell>
          <cell r="G105">
            <v>2686337.6159454202</v>
          </cell>
          <cell r="H105">
            <v>8676992.6802740805</v>
          </cell>
          <cell r="I105">
            <v>8626484.5621649604</v>
          </cell>
          <cell r="J105">
            <v>797931.26161380706</v>
          </cell>
          <cell r="K105">
            <v>109995.13027355501</v>
          </cell>
          <cell r="L105">
            <v>68806.385681061205</v>
          </cell>
          <cell r="M105">
            <v>91014.762390315314</v>
          </cell>
          <cell r="N105">
            <v>21707281.978251297</v>
          </cell>
        </row>
        <row r="106">
          <cell r="B106">
            <v>142879.20152629301</v>
          </cell>
          <cell r="C106">
            <v>141097.30138410302</v>
          </cell>
          <cell r="D106">
            <v>22348.951707356704</v>
          </cell>
          <cell r="E106">
            <v>63776.100283302105</v>
          </cell>
          <cell r="F106">
            <v>349325.58140350302</v>
          </cell>
          <cell r="G106">
            <v>2825535.9295906601</v>
          </cell>
          <cell r="H106">
            <v>9009775.0237340312</v>
          </cell>
          <cell r="I106">
            <v>8961323.0048140101</v>
          </cell>
          <cell r="J106">
            <v>855277.62709634309</v>
          </cell>
          <cell r="K106">
            <v>127043.68513614201</v>
          </cell>
          <cell r="L106">
            <v>79775.152265937213</v>
          </cell>
          <cell r="M106">
            <v>102850.34230218001</v>
          </cell>
          <cell r="N106">
            <v>22681007.901243865</v>
          </cell>
        </row>
        <row r="107">
          <cell r="B107">
            <v>117189.58458812301</v>
          </cell>
          <cell r="C107">
            <v>116530.98560805402</v>
          </cell>
          <cell r="D107">
            <v>15537.094620032502</v>
          </cell>
          <cell r="E107">
            <v>42429.175120064305</v>
          </cell>
          <cell r="F107">
            <v>280762.43460473605</v>
          </cell>
          <cell r="G107">
            <v>2076045.6664924202</v>
          </cell>
          <cell r="H107">
            <v>6841769.1478593508</v>
          </cell>
          <cell r="I107">
            <v>6801386.745497901</v>
          </cell>
          <cell r="J107">
            <v>599452.49922700005</v>
          </cell>
          <cell r="K107">
            <v>87583.306361681403</v>
          </cell>
          <cell r="L107">
            <v>62214.982955532905</v>
          </cell>
          <cell r="M107">
            <v>83066.543416866014</v>
          </cell>
          <cell r="N107">
            <v>17123968.166351762</v>
          </cell>
        </row>
        <row r="108">
          <cell r="B108">
            <v>204904.02516260801</v>
          </cell>
          <cell r="C108">
            <v>200697.51244656701</v>
          </cell>
          <cell r="D108">
            <v>41788.671438000201</v>
          </cell>
          <cell r="E108">
            <v>107498.54567475501</v>
          </cell>
          <cell r="F108">
            <v>476230.38265389903</v>
          </cell>
          <cell r="G108">
            <v>3364051.2045547003</v>
          </cell>
          <cell r="H108">
            <v>10377817.6481435</v>
          </cell>
          <cell r="I108">
            <v>10322691.6267651</v>
          </cell>
          <cell r="J108">
            <v>1065683.8200993401</v>
          </cell>
          <cell r="K108">
            <v>200283.80503084001</v>
          </cell>
          <cell r="L108">
            <v>124230.80647928601</v>
          </cell>
          <cell r="M108">
            <v>151669.54570839403</v>
          </cell>
          <cell r="N108">
            <v>26637547.594156992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E5">
            <v>6.1796275602595999E-2</v>
          </cell>
          <cell r="F5">
            <v>6.7147564725519998E-2</v>
          </cell>
          <cell r="G5">
            <v>6.7805202725192498E-2</v>
          </cell>
          <cell r="H5">
            <v>6.8425734386241596E-2</v>
          </cell>
          <cell r="I5">
            <v>6.8878419183110703E-2</v>
          </cell>
          <cell r="J5">
            <v>6.9198067113662706E-2</v>
          </cell>
          <cell r="K5">
            <v>6.9472409023753304E-2</v>
          </cell>
          <cell r="L5">
            <v>6.9737901218510007E-2</v>
          </cell>
          <cell r="M5">
            <v>7.0009307791214101E-2</v>
          </cell>
          <cell r="N5">
            <v>7.0276066692785299E-2</v>
          </cell>
          <cell r="O5">
            <v>7.0517010237006503E-2</v>
          </cell>
          <cell r="P5">
            <v>7.0728988630152798E-2</v>
          </cell>
          <cell r="Q5">
            <v>7.0841279896371595E-2</v>
          </cell>
          <cell r="R5">
            <v>7.0957314209176003E-2</v>
          </cell>
          <cell r="S5">
            <v>7.1055981107652294E-2</v>
          </cell>
          <cell r="T5">
            <v>7.1132270935510902E-2</v>
          </cell>
          <cell r="U5">
            <v>7.1208560765292805E-2</v>
          </cell>
          <cell r="V5">
            <v>7.1271576944511597E-2</v>
          </cell>
          <cell r="W5">
            <v>7.1318966406647796E-2</v>
          </cell>
          <cell r="X5">
            <v>7.1364827177163595E-2</v>
          </cell>
          <cell r="Y5">
            <v>7.1412442295680098E-2</v>
          </cell>
          <cell r="Z5">
            <v>7.1460369860224804E-2</v>
          </cell>
          <cell r="AA5">
            <v>7.1503659274013906E-2</v>
          </cell>
          <cell r="AB5">
            <v>7.1533790755287097E-2</v>
          </cell>
          <cell r="AC5">
            <v>7.1536784352031396E-2</v>
          </cell>
          <cell r="AD5">
            <v>7.1539877735336904E-2</v>
          </cell>
          <cell r="AE5">
            <v>7.1541312795681197E-2</v>
          </cell>
          <cell r="AF5">
            <v>7.1540229527408405E-2</v>
          </cell>
          <cell r="AG5">
            <v>7.1539146259135905E-2</v>
          </cell>
          <cell r="AH5">
            <v>7.1535425122319501E-2</v>
          </cell>
          <cell r="AI5">
            <v>7.1527742256222396E-2</v>
          </cell>
          <cell r="AJ5">
            <v>7.1520307224534299E-2</v>
          </cell>
          <cell r="AK5">
            <v>7.1516810728903896E-2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132"/>
  <sheetViews>
    <sheetView tabSelected="1" zoomScale="75" zoomScaleNormal="75" workbookViewId="0"/>
  </sheetViews>
  <sheetFormatPr defaultColWidth="9.109375" defaultRowHeight="13.2"/>
  <cols>
    <col min="1" max="1" width="53.33203125" style="10" customWidth="1"/>
    <col min="2" max="2" width="21.33203125" style="10" bestFit="1" customWidth="1"/>
    <col min="3" max="3" width="19" style="10" customWidth="1"/>
    <col min="4" max="4" width="14.44140625" style="10" customWidth="1"/>
    <col min="5" max="5" width="16.6640625" style="10" customWidth="1"/>
    <col min="6" max="8" width="14.44140625" style="10" customWidth="1"/>
    <col min="9" max="9" width="13.6640625" style="10" customWidth="1"/>
    <col min="10" max="10" width="44.5546875" style="10" bestFit="1" customWidth="1"/>
    <col min="11" max="12" width="14.44140625" style="10" customWidth="1"/>
    <col min="13" max="14" width="13.88671875" style="10" customWidth="1"/>
    <col min="15" max="17" width="14.44140625" style="10" customWidth="1"/>
    <col min="18" max="18" width="12" style="10" customWidth="1"/>
    <col min="19" max="19" width="11.44140625" style="10" customWidth="1"/>
    <col min="20" max="20" width="22.44140625" style="10" customWidth="1"/>
    <col min="21" max="21" width="19" style="10" customWidth="1"/>
    <col min="22" max="22" width="10.33203125" style="10" customWidth="1"/>
    <col min="23" max="34" width="12.88671875" style="10" customWidth="1"/>
    <col min="35" max="42" width="12" style="10" customWidth="1"/>
    <col min="43" max="43" width="9.109375" style="10"/>
    <col min="44" max="46" width="10" style="10" customWidth="1"/>
    <col min="47" max="47" width="12" style="10" customWidth="1"/>
    <col min="48" max="48" width="17.5546875" style="10" customWidth="1"/>
    <col min="49" max="49" width="22.44140625" style="10" customWidth="1"/>
    <col min="50" max="50" width="19" style="10" customWidth="1"/>
    <col min="51" max="51" width="10.33203125" style="10" customWidth="1"/>
    <col min="52" max="71" width="13.109375" style="10" customWidth="1"/>
    <col min="72" max="72" width="9.109375" style="10"/>
    <col min="73" max="82" width="10" style="10" customWidth="1"/>
    <col min="83" max="83" width="9.109375" style="10"/>
    <col min="84" max="89" width="10" style="10" customWidth="1"/>
    <col min="90" max="90" width="9.109375" style="10"/>
    <col min="91" max="96" width="10" style="10" customWidth="1"/>
    <col min="97" max="16384" width="9.109375" style="10"/>
  </cols>
  <sheetData>
    <row r="1" spans="1:47" ht="13.5" customHeight="1">
      <c r="A1" s="171"/>
      <c r="R1" s="87"/>
      <c r="AU1" s="87"/>
    </row>
    <row r="2" spans="1:47" ht="20.399999999999999">
      <c r="A2" s="14" t="s">
        <v>67</v>
      </c>
      <c r="C2" s="4"/>
      <c r="D2" s="4"/>
    </row>
    <row r="3" spans="1:47">
      <c r="C3" s="4"/>
      <c r="D3" s="4"/>
    </row>
    <row r="4" spans="1:47" ht="20.399999999999999">
      <c r="A4" s="158" t="s">
        <v>232</v>
      </c>
      <c r="B4" s="158" t="s">
        <v>233</v>
      </c>
      <c r="C4" s="292">
        <v>36696</v>
      </c>
    </row>
    <row r="5" spans="1:47" ht="13.8" thickBot="1">
      <c r="C5" s="168"/>
      <c r="I5" s="82"/>
    </row>
    <row r="6" spans="1:47" ht="15.6">
      <c r="A6" s="94" t="s">
        <v>227</v>
      </c>
      <c r="B6" s="95"/>
      <c r="C6" s="95"/>
      <c r="D6" s="95"/>
      <c r="E6" s="16"/>
      <c r="F6" s="16"/>
      <c r="G6" s="16"/>
      <c r="H6" s="17"/>
      <c r="I6" s="82"/>
      <c r="J6" s="94" t="s">
        <v>53</v>
      </c>
      <c r="K6" s="110"/>
      <c r="L6" s="110"/>
      <c r="M6" s="110"/>
      <c r="N6" s="110"/>
      <c r="O6" s="110"/>
      <c r="P6" s="110"/>
      <c r="Q6" s="323"/>
      <c r="R6" s="166"/>
    </row>
    <row r="7" spans="1:47" ht="15.6">
      <c r="A7" s="96"/>
      <c r="B7" s="373"/>
      <c r="C7" s="373"/>
      <c r="D7" s="373"/>
      <c r="E7" s="373"/>
      <c r="F7" s="373"/>
      <c r="G7" s="373"/>
      <c r="H7" s="375"/>
      <c r="I7" s="82"/>
      <c r="J7" s="19"/>
      <c r="K7" s="97">
        <v>2000</v>
      </c>
      <c r="L7" s="97">
        <v>2001</v>
      </c>
      <c r="M7" s="97">
        <v>2002</v>
      </c>
      <c r="N7" s="97"/>
      <c r="O7" s="97"/>
      <c r="P7" s="98"/>
      <c r="Q7" s="102"/>
      <c r="R7" s="166"/>
    </row>
    <row r="8" spans="1:47" ht="15.6">
      <c r="A8" s="371" t="s">
        <v>51</v>
      </c>
      <c r="B8" s="374"/>
      <c r="C8" s="11"/>
      <c r="D8" s="372" t="s">
        <v>52</v>
      </c>
      <c r="E8" s="373"/>
      <c r="F8" s="11"/>
      <c r="G8" s="11"/>
      <c r="H8" s="376"/>
      <c r="I8"/>
      <c r="J8" s="101" t="s">
        <v>54</v>
      </c>
      <c r="K8" s="109">
        <f>Consolidated!C22</f>
        <v>282872.80291814951</v>
      </c>
      <c r="L8" s="109">
        <f>Consolidated!D22</f>
        <v>197149.24359213223</v>
      </c>
      <c r="M8" s="109">
        <f>Consolidated!E22</f>
        <v>140995.43326213508</v>
      </c>
      <c r="N8" s="109"/>
      <c r="O8" s="109"/>
      <c r="P8" s="98"/>
      <c r="Q8" s="102"/>
      <c r="R8" s="166"/>
    </row>
    <row r="9" spans="1:47" ht="15.6">
      <c r="A9" s="99" t="s">
        <v>228</v>
      </c>
      <c r="B9" s="154">
        <f>Depreciation!B64</f>
        <v>431600.16100000008</v>
      </c>
      <c r="C9" s="100"/>
      <c r="D9" s="100" t="s">
        <v>230</v>
      </c>
      <c r="E9" s="373"/>
      <c r="F9" s="373"/>
      <c r="G9" s="11"/>
      <c r="H9" s="377">
        <f>Depreciation!B65</f>
        <v>592398.8060186489</v>
      </c>
      <c r="I9"/>
      <c r="J9" s="101"/>
      <c r="K9" s="169"/>
      <c r="L9" s="108"/>
      <c r="M9" s="156"/>
      <c r="N9" s="98"/>
      <c r="O9" s="98"/>
      <c r="P9" s="98"/>
      <c r="Q9" s="102"/>
      <c r="R9" s="166"/>
    </row>
    <row r="10" spans="1:47" ht="16.2">
      <c r="A10" s="101" t="str">
        <f>CONCATENATE("$/kW @ ISO MW of ",SUM(Assumptions!B9:D9)," MW")</f>
        <v>$/kW @ ISO MW of 1381 MW</v>
      </c>
      <c r="B10" s="154">
        <f>B9/SUM(Assumptions!B9:D9)</f>
        <v>312.5272708182477</v>
      </c>
      <c r="C10" s="100"/>
      <c r="D10" s="98" t="str">
        <f>CONCATENATE("$/kW @ ISO MW of ",SUM(Assumptions!F9:H9)," MW")</f>
        <v>$/kW @ ISO MW of 1686 MW</v>
      </c>
      <c r="E10" s="373"/>
      <c r="F10" s="373"/>
      <c r="G10" s="11"/>
      <c r="H10" s="377">
        <f>H9/SUM(Assumptions!F9:H9)</f>
        <v>351.36346738947145</v>
      </c>
      <c r="I10"/>
      <c r="J10" s="101"/>
      <c r="K10" s="176" t="s">
        <v>3</v>
      </c>
      <c r="L10" s="176" t="s">
        <v>4</v>
      </c>
      <c r="M10" s="176" t="s">
        <v>5</v>
      </c>
      <c r="N10" s="176" t="s">
        <v>34</v>
      </c>
      <c r="O10" s="176" t="s">
        <v>6</v>
      </c>
      <c r="P10" s="176" t="s">
        <v>7</v>
      </c>
      <c r="Q10" s="177" t="s">
        <v>43</v>
      </c>
      <c r="R10" s="166"/>
    </row>
    <row r="11" spans="1:47" ht="15.6">
      <c r="A11" s="99" t="s">
        <v>231</v>
      </c>
      <c r="B11" s="154">
        <f>Depreciation!D64</f>
        <v>418679.36493577005</v>
      </c>
      <c r="C11" s="373"/>
      <c r="D11" s="98" t="s">
        <v>304</v>
      </c>
      <c r="E11" s="11"/>
      <c r="F11" s="11"/>
      <c r="G11" s="11"/>
      <c r="H11" s="402">
        <f>SUM([3]Wilton!$BL$200,[3]Gleason!$BN$225,[3]Wheatland!$BL$200)/1000</f>
        <v>531348.42028151499</v>
      </c>
      <c r="I11"/>
      <c r="J11" s="385" t="s">
        <v>45</v>
      </c>
      <c r="K11" s="109">
        <f>Brownsville!B32</f>
        <v>79080.515880272302</v>
      </c>
      <c r="L11" s="109">
        <f>Caledonia!B32</f>
        <v>78349.689724854077</v>
      </c>
      <c r="M11" s="109">
        <f>'New Albany'!B32</f>
        <v>57829.636406521429</v>
      </c>
      <c r="N11" s="109">
        <f>Gleason!B32</f>
        <v>90158.133715199336</v>
      </c>
      <c r="O11" s="109">
        <f>Wheatland!B32</f>
        <v>82832.133970170107</v>
      </c>
      <c r="P11" s="109">
        <f>Wilton!B32</f>
        <v>102718.77141791787</v>
      </c>
      <c r="Q11" s="384">
        <f>Consolidated!B32</f>
        <v>490968.88111493509</v>
      </c>
      <c r="R11" s="166"/>
    </row>
    <row r="12" spans="1:47" ht="15.6">
      <c r="A12" s="99"/>
      <c r="B12" s="373"/>
      <c r="C12" s="100"/>
      <c r="D12" s="378"/>
      <c r="E12" s="373"/>
      <c r="F12" s="373"/>
      <c r="G12" s="11"/>
      <c r="H12" s="375"/>
      <c r="I12"/>
      <c r="J12" s="385" t="s">
        <v>44</v>
      </c>
      <c r="K12" s="109">
        <f>Brownsville!B40</f>
        <v>178673.88036354279</v>
      </c>
      <c r="L12" s="109">
        <f>Caledonia!B40</f>
        <v>179157.60743353033</v>
      </c>
      <c r="M12" s="109">
        <f>'New Albany'!B40</f>
        <v>136978.02159546202</v>
      </c>
      <c r="N12" s="109">
        <f>Gleason!B40</f>
        <v>198050.9452387424</v>
      </c>
      <c r="O12" s="109">
        <f>Wheatland!B40</f>
        <v>184652.17936668446</v>
      </c>
      <c r="P12" s="109">
        <f>Wilton!B40</f>
        <v>234295.37083687278</v>
      </c>
      <c r="Q12" s="384">
        <f>Consolidated!B40</f>
        <v>1111808.0048348345</v>
      </c>
      <c r="R12" s="166"/>
    </row>
    <row r="13" spans="1:47" ht="15.6">
      <c r="A13" s="371" t="s">
        <v>229</v>
      </c>
      <c r="B13" s="154">
        <f>SUM(B9,H9)</f>
        <v>1023998.967018649</v>
      </c>
      <c r="C13" s="100"/>
      <c r="D13" s="100"/>
      <c r="E13" s="373"/>
      <c r="F13" s="373"/>
      <c r="G13" s="373"/>
      <c r="H13" s="375"/>
      <c r="I13" s="82"/>
      <c r="J13" s="19"/>
      <c r="K13" s="11"/>
      <c r="L13" s="11"/>
      <c r="M13" s="11"/>
      <c r="N13" s="11"/>
      <c r="O13" s="11"/>
      <c r="P13" s="11"/>
      <c r="Q13" s="18"/>
      <c r="R13" s="166"/>
    </row>
    <row r="14" spans="1:47" ht="16.2" thickBot="1">
      <c r="A14" s="103" t="str">
        <f>CONCATENATE("$/kW @ ISO MW of ",Assumptions!J9," MW")</f>
        <v>$/kW @ ISO MW of 3067 MW</v>
      </c>
      <c r="B14" s="155">
        <f>B13/Assumptions!J9</f>
        <v>333.87641572176358</v>
      </c>
      <c r="C14" s="379"/>
      <c r="D14" s="379"/>
      <c r="E14" s="380"/>
      <c r="F14" s="380"/>
      <c r="G14" s="380"/>
      <c r="H14" s="381"/>
      <c r="I14" s="82"/>
      <c r="J14" s="101" t="s">
        <v>180</v>
      </c>
      <c r="K14" s="333">
        <f t="array" ref="K14:K16">TRANSPOSE(B104:D104)</f>
        <v>10.740153461397195</v>
      </c>
      <c r="L14" s="333">
        <f t="array" ref="L14:L16">TRANSPOSE(B105:D105)</f>
        <v>11.122998273908639</v>
      </c>
      <c r="M14" s="333">
        <f t="array" ref="M14:M16">TRANSPOSE(B106:D106)</f>
        <v>10.05758321274252</v>
      </c>
      <c r="N14" s="333">
        <f t="array" ref="N14:N16">TRANSPOSE(B102:D102)</f>
        <v>18.230121170124022</v>
      </c>
      <c r="O14" s="333">
        <f t="array" ref="O14:O16">TRANSPOSE(B101:D101)</f>
        <v>16.443980831419545</v>
      </c>
      <c r="P14" s="333">
        <f t="array" ref="P14:P16">TRANSPOSE(B103:D103)</f>
        <v>14.995907802442648</v>
      </c>
      <c r="Q14" s="334">
        <f t="array" ref="Q14:Q16">TRANSPOSE(B107:D107)</f>
        <v>13.192592388827517</v>
      </c>
      <c r="R14" s="166"/>
    </row>
    <row r="15" spans="1:47" ht="15.6">
      <c r="A15" s="100"/>
      <c r="B15" s="154"/>
      <c r="C15" s="11"/>
      <c r="D15" s="11"/>
      <c r="E15" s="11"/>
      <c r="F15" s="11"/>
      <c r="G15" s="11"/>
      <c r="H15" s="11"/>
      <c r="I15" s="82"/>
      <c r="J15" s="101" t="s">
        <v>181</v>
      </c>
      <c r="K15" s="333">
        <v>7.6779916077314345</v>
      </c>
      <c r="L15" s="333">
        <v>7.3025556827963714</v>
      </c>
      <c r="M15" s="333">
        <v>6.9686619690633487</v>
      </c>
      <c r="N15" s="333">
        <v>8.1445784606413003</v>
      </c>
      <c r="O15" s="333">
        <v>7.7013975195013371</v>
      </c>
      <c r="P15" s="333">
        <v>7.5071509367741669</v>
      </c>
      <c r="Q15" s="334">
        <v>7.5736225796780205</v>
      </c>
      <c r="R15" s="166"/>
    </row>
    <row r="16" spans="1:47" ht="16.2" thickBot="1">
      <c r="I16" s="82"/>
      <c r="J16" s="103" t="s">
        <v>182</v>
      </c>
      <c r="K16" s="335">
        <v>5.7264785114401988</v>
      </c>
      <c r="L16" s="335">
        <v>5.4416993986312887</v>
      </c>
      <c r="M16" s="335">
        <v>5.1993915171838347</v>
      </c>
      <c r="N16" s="335">
        <v>6.1042460134484413</v>
      </c>
      <c r="O16" s="335">
        <v>5.8055293902611025</v>
      </c>
      <c r="P16" s="335">
        <v>5.6654060156040726</v>
      </c>
      <c r="Q16" s="336">
        <v>5.6774905401985567</v>
      </c>
      <c r="R16" s="166"/>
    </row>
    <row r="17" spans="1:22" ht="15.6">
      <c r="A17" s="94" t="s">
        <v>55</v>
      </c>
      <c r="B17" s="270"/>
      <c r="C17" s="16"/>
      <c r="D17" s="90"/>
      <c r="E17" s="16"/>
      <c r="F17" s="16"/>
      <c r="G17" s="16"/>
      <c r="H17" s="174"/>
      <c r="I17" s="82"/>
      <c r="K17" s="165"/>
      <c r="L17" s="165"/>
      <c r="M17" s="165"/>
      <c r="N17" s="253"/>
      <c r="O17" s="253"/>
      <c r="P17" s="253"/>
      <c r="Q17" s="253"/>
      <c r="R17" s="166"/>
    </row>
    <row r="18" spans="1:22" ht="16.2">
      <c r="A18" s="19"/>
      <c r="B18" s="176" t="s">
        <v>40</v>
      </c>
      <c r="C18" s="11"/>
      <c r="D18" s="176" t="s">
        <v>41</v>
      </c>
      <c r="E18" s="11"/>
      <c r="F18" s="176" t="s">
        <v>11</v>
      </c>
      <c r="G18" s="21"/>
      <c r="H18" s="170"/>
      <c r="I18" s="82"/>
      <c r="R18" s="166"/>
    </row>
    <row r="19" spans="1:22" ht="15.6">
      <c r="A19" s="105" t="s">
        <v>56</v>
      </c>
      <c r="B19" s="181">
        <v>0.5</v>
      </c>
      <c r="C19" s="11"/>
      <c r="D19" s="182">
        <f>1-B19</f>
        <v>0.5</v>
      </c>
      <c r="E19" s="11"/>
      <c r="F19" s="182">
        <f>SUM(B19:D19)</f>
        <v>1</v>
      </c>
      <c r="G19" s="11"/>
      <c r="H19" s="18"/>
      <c r="I19" s="82"/>
      <c r="R19" s="166"/>
    </row>
    <row r="20" spans="1:22" ht="15.6">
      <c r="A20" s="105" t="s">
        <v>13</v>
      </c>
      <c r="B20" s="106">
        <f>B19*B13</f>
        <v>511999.48350932449</v>
      </c>
      <c r="C20" s="11"/>
      <c r="D20" s="106">
        <f>D19*B13</f>
        <v>511999.48350932449</v>
      </c>
      <c r="E20" s="11"/>
      <c r="F20" s="106">
        <f>SUM(B20:D20)</f>
        <v>1023998.967018649</v>
      </c>
      <c r="G20" s="91"/>
      <c r="H20" s="175"/>
      <c r="I20" s="82"/>
      <c r="R20" s="166"/>
    </row>
    <row r="21" spans="1:22" ht="15.6">
      <c r="A21" s="19"/>
      <c r="B21" s="11"/>
      <c r="C21" s="11"/>
      <c r="D21" s="11"/>
      <c r="E21" s="11"/>
      <c r="F21" s="11"/>
      <c r="G21" s="11"/>
      <c r="H21" s="170"/>
      <c r="I21" s="82"/>
      <c r="R21" s="166"/>
    </row>
    <row r="22" spans="1:22" ht="15.6">
      <c r="A22" s="104" t="s">
        <v>57</v>
      </c>
      <c r="B22" s="11"/>
      <c r="C22" s="11"/>
      <c r="D22" s="11"/>
      <c r="E22" s="11"/>
      <c r="F22" s="11"/>
      <c r="G22" s="11"/>
      <c r="H22" s="18"/>
      <c r="I22" s="82"/>
      <c r="R22" s="166"/>
    </row>
    <row r="23" spans="1:22" ht="15.6">
      <c r="A23" s="101" t="s">
        <v>58</v>
      </c>
      <c r="B23" s="293">
        <v>5.9900000000000002E-2</v>
      </c>
      <c r="C23" s="300" t="s">
        <v>311</v>
      </c>
      <c r="D23" s="5"/>
      <c r="E23" s="152"/>
      <c r="F23" s="11"/>
      <c r="G23" s="11"/>
      <c r="H23" s="18"/>
      <c r="I23" s="82"/>
      <c r="R23" s="166"/>
      <c r="S23" s="22"/>
      <c r="T23" s="22"/>
      <c r="U23" s="22"/>
      <c r="V23" s="22"/>
    </row>
    <row r="24" spans="1:22" ht="15.6">
      <c r="A24" s="101" t="s">
        <v>14</v>
      </c>
      <c r="B24" s="294">
        <f>AVERAGE(3.8927%, 1.8834%, 3.5739%)</f>
        <v>3.1166666666666665E-2</v>
      </c>
      <c r="C24" s="300" t="s">
        <v>311</v>
      </c>
      <c r="D24" s="5"/>
      <c r="E24" s="153"/>
      <c r="F24" s="11"/>
      <c r="G24" s="11"/>
      <c r="H24" s="18"/>
      <c r="I24" s="82"/>
      <c r="R24" s="166"/>
    </row>
    <row r="25" spans="1:22" ht="15.6">
      <c r="A25" s="105" t="s">
        <v>15</v>
      </c>
      <c r="B25" s="107">
        <f>SUM(B23:B24)</f>
        <v>9.1066666666666671E-2</v>
      </c>
      <c r="C25" s="11"/>
      <c r="D25" s="173">
        <v>0.2</v>
      </c>
      <c r="E25" s="11"/>
      <c r="F25" s="382">
        <f>SUMPRODUCT(B25:D25,B20:D20)/B13</f>
        <v>0.14553333333333332</v>
      </c>
      <c r="G25" s="383" t="s">
        <v>42</v>
      </c>
      <c r="H25" s="18"/>
      <c r="I25" s="82"/>
      <c r="R25" s="166"/>
    </row>
    <row r="26" spans="1:22" ht="15.6">
      <c r="A26" s="19"/>
      <c r="B26" s="106"/>
      <c r="C26" s="11"/>
      <c r="D26" s="11"/>
      <c r="E26" s="11"/>
      <c r="F26" s="11"/>
      <c r="G26" s="11"/>
      <c r="H26" s="18"/>
      <c r="I26" s="82"/>
      <c r="R26" s="166"/>
    </row>
    <row r="27" spans="1:22" ht="15.6">
      <c r="A27" s="101" t="s">
        <v>212</v>
      </c>
      <c r="B27" s="106">
        <f>Depreciation!G66</f>
        <v>933259.17961511575</v>
      </c>
      <c r="C27" s="11"/>
      <c r="D27" s="11"/>
      <c r="E27" s="11"/>
      <c r="F27" s="11"/>
      <c r="G27" s="11"/>
      <c r="H27" s="18"/>
      <c r="I27" s="82"/>
      <c r="R27" s="166"/>
    </row>
    <row r="28" spans="1:22" ht="16.2" thickBot="1">
      <c r="A28" s="172" t="s">
        <v>68</v>
      </c>
      <c r="B28" s="249">
        <f>B27/Assumptions!J9</f>
        <v>304.29057046466113</v>
      </c>
      <c r="C28" s="322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8"/>
      <c r="I28" s="82"/>
      <c r="R28" s="166"/>
    </row>
    <row r="29" spans="1:22" ht="15.6">
      <c r="I29" s="82"/>
      <c r="R29" s="166"/>
    </row>
    <row r="30" spans="1:22" ht="15.6">
      <c r="I30" s="82"/>
      <c r="R30" s="166"/>
    </row>
    <row r="31" spans="1:22" ht="15.6">
      <c r="I31" s="82"/>
      <c r="R31" s="166"/>
    </row>
    <row r="32" spans="1:22" ht="15.6">
      <c r="I32" s="82"/>
      <c r="R32" s="166"/>
    </row>
    <row r="33" spans="6:18" ht="15.6">
      <c r="I33" s="82"/>
      <c r="R33" s="166"/>
    </row>
    <row r="34" spans="6:18" ht="15.6">
      <c r="I34" s="82"/>
      <c r="R34" s="166"/>
    </row>
    <row r="35" spans="6:18" ht="15.6">
      <c r="I35" s="82"/>
      <c r="R35" s="166"/>
    </row>
    <row r="36" spans="6:18" ht="15.6">
      <c r="I36" s="82"/>
      <c r="R36" s="166"/>
    </row>
    <row r="37" spans="6:18" ht="15.6">
      <c r="I37" s="82"/>
      <c r="R37" s="166"/>
    </row>
    <row r="38" spans="6:18" ht="15.6">
      <c r="I38" s="82"/>
      <c r="R38" s="166"/>
    </row>
    <row r="39" spans="6:18" ht="15.6">
      <c r="I39" s="82"/>
      <c r="R39" s="166"/>
    </row>
    <row r="40" spans="6:18" ht="15.6">
      <c r="I40" s="82"/>
      <c r="R40" s="166"/>
    </row>
    <row r="41" spans="6:18" ht="15.6">
      <c r="I41" s="82"/>
      <c r="R41" s="166"/>
    </row>
    <row r="42" spans="6:18" ht="15.6">
      <c r="I42" s="82"/>
      <c r="R42" s="166"/>
    </row>
    <row r="43" spans="6:18" ht="15.6">
      <c r="I43" s="82"/>
      <c r="R43" s="166"/>
    </row>
    <row r="44" spans="6:18" ht="15.6">
      <c r="F44" s="82"/>
      <c r="G44" s="82"/>
      <c r="I44" s="82"/>
      <c r="R44" s="166"/>
    </row>
    <row r="45" spans="6:18" ht="15.6">
      <c r="I45" s="82"/>
      <c r="R45" s="166"/>
    </row>
    <row r="46" spans="6:18" ht="15.6">
      <c r="I46" s="82"/>
      <c r="R46" s="166"/>
    </row>
    <row r="47" spans="6:18" ht="15.6">
      <c r="I47" s="82"/>
      <c r="R47" s="166"/>
    </row>
    <row r="48" spans="6:18" ht="15.6">
      <c r="I48" s="82"/>
      <c r="R48" s="166"/>
    </row>
    <row r="49" spans="1:19" ht="15.6">
      <c r="A49" s="11"/>
      <c r="B49" s="11"/>
      <c r="C49" s="11"/>
      <c r="D49" s="11"/>
      <c r="E49" s="11"/>
      <c r="F49" s="11"/>
      <c r="G49" s="11"/>
      <c r="H49" s="11"/>
      <c r="I49" s="82"/>
      <c r="R49" s="166"/>
    </row>
    <row r="50" spans="1:19" ht="15.6">
      <c r="A50" s="11"/>
      <c r="B50" s="11"/>
      <c r="C50" s="11"/>
      <c r="D50" s="11"/>
      <c r="E50" s="11"/>
      <c r="F50" s="11"/>
      <c r="G50" s="11"/>
      <c r="H50" s="11"/>
      <c r="I50" s="82"/>
      <c r="R50" s="166"/>
    </row>
    <row r="51" spans="1:19" ht="15.6">
      <c r="I51" s="82"/>
      <c r="R51" s="166"/>
    </row>
    <row r="52" spans="1:19" ht="15.6">
      <c r="I52" s="82"/>
      <c r="R52" s="166"/>
    </row>
    <row r="53" spans="1:19" ht="15.6">
      <c r="I53" s="82"/>
      <c r="R53" s="166"/>
    </row>
    <row r="54" spans="1:19" ht="15.6">
      <c r="I54" s="82"/>
      <c r="R54" s="166"/>
    </row>
    <row r="55" spans="1:19" ht="15.6">
      <c r="I55" s="82"/>
      <c r="R55" s="166"/>
    </row>
    <row r="56" spans="1:19" ht="15.6">
      <c r="I56" s="82"/>
      <c r="R56" s="166"/>
    </row>
    <row r="57" spans="1:19" ht="15.6">
      <c r="I57" s="82"/>
      <c r="R57" s="166"/>
    </row>
    <row r="58" spans="1:19" ht="15.6">
      <c r="I58" s="82"/>
      <c r="R58" s="166"/>
    </row>
    <row r="59" spans="1:19" ht="15.6">
      <c r="I59" s="82"/>
      <c r="R59" s="166"/>
    </row>
    <row r="60" spans="1:19" ht="15.6">
      <c r="I60" s="82"/>
      <c r="R60" s="166"/>
      <c r="S60" s="12"/>
    </row>
    <row r="61" spans="1:19" ht="15.6">
      <c r="I61" s="82"/>
      <c r="R61" s="166"/>
      <c r="S61" s="12"/>
    </row>
    <row r="62" spans="1:19" ht="15.6">
      <c r="I62" s="82"/>
      <c r="R62" s="166"/>
      <c r="S62" s="12"/>
    </row>
    <row r="63" spans="1:19" ht="15.6">
      <c r="I63" s="82"/>
      <c r="R63" s="166"/>
      <c r="S63" s="12"/>
    </row>
    <row r="64" spans="1:19" ht="15.6">
      <c r="I64" s="82"/>
      <c r="R64" s="166"/>
      <c r="S64" s="12"/>
    </row>
    <row r="65" spans="1:19" ht="15.6">
      <c r="I65" s="82"/>
      <c r="R65" s="166"/>
      <c r="S65" s="12"/>
    </row>
    <row r="66" spans="1:19" ht="15.6">
      <c r="I66" s="82"/>
      <c r="R66" s="166"/>
      <c r="S66" s="12"/>
    </row>
    <row r="67" spans="1:19" ht="15.6">
      <c r="I67" s="82"/>
      <c r="R67" s="166"/>
      <c r="S67" s="12"/>
    </row>
    <row r="68" spans="1:19" ht="15.6">
      <c r="I68" s="82"/>
      <c r="R68" s="166"/>
      <c r="S68" s="12"/>
    </row>
    <row r="69" spans="1:19">
      <c r="I69" s="82"/>
      <c r="S69" s="12"/>
    </row>
    <row r="70" spans="1:19">
      <c r="I70" s="82"/>
      <c r="S70" s="12"/>
    </row>
    <row r="71" spans="1:19" ht="15.6">
      <c r="I71" s="82"/>
      <c r="R71" s="166"/>
      <c r="S71" s="12"/>
    </row>
    <row r="72" spans="1:19" ht="15.6">
      <c r="I72" s="82"/>
      <c r="R72" s="166"/>
      <c r="S72" s="12"/>
    </row>
    <row r="73" spans="1:19" ht="15.6">
      <c r="I73" s="82"/>
      <c r="R73" s="166"/>
      <c r="S73" s="12"/>
    </row>
    <row r="74" spans="1:19" ht="15.6">
      <c r="I74" s="82"/>
      <c r="R74" s="166"/>
      <c r="S74" s="12"/>
    </row>
    <row r="75" spans="1:19" ht="15.6">
      <c r="I75" s="82"/>
      <c r="R75" s="166"/>
      <c r="S75" s="12"/>
    </row>
    <row r="76" spans="1:19" ht="15.6">
      <c r="I76" s="82"/>
      <c r="R76" s="166"/>
      <c r="S76" s="12"/>
    </row>
    <row r="77" spans="1:19" ht="15.6">
      <c r="R77" s="166"/>
      <c r="S77" s="12"/>
    </row>
    <row r="78" spans="1:19" ht="15.6">
      <c r="R78" s="166"/>
      <c r="S78" s="12"/>
    </row>
    <row r="79" spans="1:19" ht="15.6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66"/>
      <c r="S79" s="165"/>
    </row>
    <row r="80" spans="1:19" ht="15.6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66"/>
      <c r="S80" s="165"/>
    </row>
    <row r="81" spans="1:19" ht="15.6">
      <c r="A81" s="277" t="s">
        <v>63</v>
      </c>
      <c r="C81" s="253"/>
      <c r="D81" s="253"/>
      <c r="E81" s="253"/>
      <c r="F81" s="253"/>
      <c r="G81" s="253"/>
      <c r="H81" s="253"/>
      <c r="M81" s="11"/>
      <c r="N81" s="11"/>
      <c r="O81" s="11"/>
      <c r="P81" s="11"/>
      <c r="Q81" s="11"/>
      <c r="R81" s="166"/>
      <c r="S81" s="165"/>
    </row>
    <row r="82" spans="1:19" ht="15.6">
      <c r="A82" s="22" t="s">
        <v>61</v>
      </c>
      <c r="B82" s="386">
        <f>C4</f>
        <v>36696</v>
      </c>
      <c r="C82" s="386">
        <v>36689</v>
      </c>
      <c r="D82" s="386">
        <v>36682</v>
      </c>
      <c r="E82" s="386">
        <v>36675</v>
      </c>
      <c r="F82" s="386">
        <v>36668</v>
      </c>
      <c r="G82" s="386">
        <v>36661</v>
      </c>
      <c r="H82" s="386">
        <v>36654</v>
      </c>
      <c r="I82" s="386">
        <v>36647</v>
      </c>
      <c r="J82" s="386">
        <v>36640</v>
      </c>
      <c r="K82" s="386">
        <v>36633</v>
      </c>
      <c r="R82" s="166"/>
      <c r="S82" s="165"/>
    </row>
    <row r="83" spans="1:19" ht="15.6">
      <c r="A83" s="22" t="s">
        <v>46</v>
      </c>
      <c r="B83" s="387">
        <f>B23</f>
        <v>5.9900000000000002E-2</v>
      </c>
      <c r="C83" s="387">
        <v>6.1280000000000001E-2</v>
      </c>
      <c r="D83" s="387">
        <v>6.1499999999999999E-2</v>
      </c>
      <c r="E83" s="387">
        <v>6.3299999999999995E-2</v>
      </c>
      <c r="F83" s="387">
        <v>6.5100000000000005E-2</v>
      </c>
      <c r="G83" s="387">
        <v>6.5000000000000002E-2</v>
      </c>
      <c r="H83" s="387">
        <v>6.5199999999999994E-2</v>
      </c>
      <c r="I83" s="387">
        <v>6.2199999999999998E-2</v>
      </c>
      <c r="J83" s="387">
        <v>5.9799999999999999E-2</v>
      </c>
      <c r="K83" s="387">
        <v>5.8700000000000002E-2</v>
      </c>
      <c r="M83" s="11"/>
      <c r="N83" s="11"/>
      <c r="O83" s="11"/>
      <c r="P83" s="11"/>
      <c r="Q83" s="11"/>
      <c r="R83" s="166"/>
      <c r="S83" s="165"/>
    </row>
    <row r="84" spans="1:19" ht="15.6">
      <c r="A84" s="22" t="s">
        <v>47</v>
      </c>
      <c r="B84" s="387">
        <f>B24</f>
        <v>3.1166666666666665E-2</v>
      </c>
      <c r="C84" s="387">
        <v>3.0071666666666667E-2</v>
      </c>
      <c r="D84" s="387">
        <v>3.1106999999999996E-2</v>
      </c>
      <c r="E84" s="387">
        <v>3.0154333333333335E-2</v>
      </c>
      <c r="F84" s="387">
        <v>2.7839333333333337E-2</v>
      </c>
      <c r="G84" s="387">
        <v>2.6443333333333336E-2</v>
      </c>
      <c r="H84" s="387">
        <v>2.5873333333333332E-2</v>
      </c>
      <c r="I84" s="387">
        <v>2.7396666666666666E-2</v>
      </c>
      <c r="J84" s="387">
        <v>3.2199999999999999E-2</v>
      </c>
      <c r="K84" s="387">
        <v>3.2399999999999998E-2</v>
      </c>
      <c r="R84" s="166"/>
      <c r="S84" s="165"/>
    </row>
    <row r="85" spans="1:19" ht="15.6">
      <c r="A85" s="22" t="s">
        <v>294</v>
      </c>
      <c r="B85" s="387">
        <f>B25</f>
        <v>9.1066666666666671E-2</v>
      </c>
      <c r="C85" s="387">
        <v>9.1351666666666664E-2</v>
      </c>
      <c r="D85" s="387">
        <v>9.2606999999999995E-2</v>
      </c>
      <c r="E85" s="387">
        <v>9.3454333333333334E-2</v>
      </c>
      <c r="F85" s="387">
        <v>9.2939333333333346E-2</v>
      </c>
      <c r="G85" s="387">
        <v>9.1443333333333335E-2</v>
      </c>
      <c r="H85" s="387">
        <v>9.1073333333333326E-2</v>
      </c>
      <c r="I85" s="387">
        <v>8.9596666666666658E-2</v>
      </c>
      <c r="J85" s="387">
        <v>9.1999999999999998E-2</v>
      </c>
      <c r="K85" s="387">
        <v>9.11E-2</v>
      </c>
      <c r="M85" s="11"/>
      <c r="N85" s="11"/>
      <c r="O85" s="11"/>
      <c r="P85" s="11"/>
      <c r="Q85" s="11"/>
      <c r="R85" s="166"/>
      <c r="S85" s="165"/>
    </row>
    <row r="86" spans="1:19" ht="15.6">
      <c r="R86" s="166"/>
      <c r="S86" s="165"/>
    </row>
    <row r="87" spans="1:19" ht="15.6">
      <c r="A87" s="277" t="s">
        <v>64</v>
      </c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1"/>
      <c r="M87" s="11"/>
      <c r="N87" s="11"/>
      <c r="O87" s="11"/>
      <c r="P87" s="11"/>
      <c r="Q87" s="11"/>
      <c r="R87" s="166"/>
      <c r="S87" s="165"/>
    </row>
    <row r="88" spans="1:19" ht="15.6">
      <c r="A88" s="22" t="s">
        <v>61</v>
      </c>
      <c r="B88" s="386">
        <f>C4</f>
        <v>36696</v>
      </c>
      <c r="C88" s="386">
        <v>36689</v>
      </c>
      <c r="D88" s="386">
        <v>36682</v>
      </c>
      <c r="E88" s="386">
        <v>36675</v>
      </c>
      <c r="F88" s="386">
        <v>36668</v>
      </c>
      <c r="G88" s="386">
        <v>36661</v>
      </c>
      <c r="H88" s="386">
        <v>36654</v>
      </c>
      <c r="I88" s="386">
        <v>36647</v>
      </c>
      <c r="J88" s="386">
        <v>36640</v>
      </c>
      <c r="K88" s="386">
        <v>36633</v>
      </c>
      <c r="L88" s="11"/>
      <c r="M88" s="11"/>
      <c r="N88" s="11"/>
      <c r="O88" s="11"/>
      <c r="P88" s="11"/>
      <c r="Q88" s="11"/>
      <c r="R88" s="166"/>
      <c r="S88" s="165"/>
    </row>
    <row r="89" spans="1:19" ht="15.6">
      <c r="A89" s="22" t="s">
        <v>7</v>
      </c>
      <c r="B89" s="388">
        <f>P12</f>
        <v>234295.37083687278</v>
      </c>
      <c r="C89" s="388">
        <v>240916.42057437511</v>
      </c>
      <c r="D89" s="388">
        <v>250615.97698018816</v>
      </c>
      <c r="E89" s="388">
        <v>243613.06895956944</v>
      </c>
      <c r="F89" s="388">
        <v>235379.95786348748</v>
      </c>
      <c r="G89" s="388">
        <v>222284.66713668182</v>
      </c>
      <c r="H89" s="388">
        <v>217247.12252526963</v>
      </c>
      <c r="I89" s="388">
        <v>213822.07909476728</v>
      </c>
      <c r="J89" s="388">
        <v>215319.33144318039</v>
      </c>
      <c r="K89" s="388">
        <v>213935.00635889388</v>
      </c>
      <c r="L89" s="11"/>
      <c r="M89" s="11"/>
      <c r="N89" s="11"/>
      <c r="O89" s="11"/>
      <c r="P89" s="11"/>
      <c r="Q89" s="11"/>
      <c r="R89" s="166"/>
      <c r="S89" s="165"/>
    </row>
    <row r="90" spans="1:19" ht="15.6">
      <c r="A90" s="22" t="s">
        <v>34</v>
      </c>
      <c r="B90" s="388">
        <f>N12</f>
        <v>198050.9452387424</v>
      </c>
      <c r="C90" s="388">
        <v>207269.19914473977</v>
      </c>
      <c r="D90" s="388">
        <v>215888.18728003302</v>
      </c>
      <c r="E90" s="388">
        <v>204375.36800743896</v>
      </c>
      <c r="F90" s="388">
        <v>193727.51031515663</v>
      </c>
      <c r="G90" s="388">
        <v>185886.00141889311</v>
      </c>
      <c r="H90" s="388">
        <v>180460.87637381896</v>
      </c>
      <c r="I90" s="388">
        <v>177406.92206029431</v>
      </c>
      <c r="J90" s="388">
        <v>179089.63823087004</v>
      </c>
      <c r="K90" s="388">
        <v>177569.55574976042</v>
      </c>
      <c r="L90" s="11"/>
      <c r="M90" s="11"/>
      <c r="N90" s="11"/>
      <c r="O90" s="11"/>
      <c r="P90" s="11"/>
      <c r="Q90" s="11"/>
      <c r="S90" s="165"/>
    </row>
    <row r="91" spans="1:19" ht="15.6">
      <c r="A91" s="22" t="s">
        <v>3</v>
      </c>
      <c r="B91" s="388">
        <f>K12</f>
        <v>178673.88036354279</v>
      </c>
      <c r="C91" s="388">
        <v>187786.94295369182</v>
      </c>
      <c r="D91" s="388">
        <v>197429.37955809233</v>
      </c>
      <c r="E91" s="388">
        <v>201606.09475914267</v>
      </c>
      <c r="F91" s="388">
        <v>189524.1624953417</v>
      </c>
      <c r="G91" s="388">
        <v>181011.79552091483</v>
      </c>
      <c r="H91" s="388">
        <v>175266.83781754322</v>
      </c>
      <c r="I91" s="388">
        <v>172032.94544761907</v>
      </c>
      <c r="J91" s="388">
        <v>174377.915537505</v>
      </c>
      <c r="K91" s="388">
        <v>172632.82600085958</v>
      </c>
      <c r="L91" s="11"/>
      <c r="M91" s="11"/>
      <c r="N91" s="11"/>
      <c r="O91" s="11"/>
      <c r="P91" s="11"/>
      <c r="Q91" s="11"/>
      <c r="S91" s="165"/>
    </row>
    <row r="92" spans="1:19" ht="15.6">
      <c r="A92" s="22" t="s">
        <v>4</v>
      </c>
      <c r="B92" s="388">
        <f>L12</f>
        <v>179157.60743353033</v>
      </c>
      <c r="C92" s="388">
        <v>188009.03997793648</v>
      </c>
      <c r="D92" s="388">
        <v>197105.29561194309</v>
      </c>
      <c r="E92" s="388">
        <v>200803.17470337939</v>
      </c>
      <c r="F92" s="388">
        <v>187998.66022073338</v>
      </c>
      <c r="G92" s="388">
        <v>179521.90240414569</v>
      </c>
      <c r="H92" s="388">
        <v>172423.08646487113</v>
      </c>
      <c r="I92" s="388">
        <v>169764.8272071096</v>
      </c>
      <c r="J92" s="388">
        <v>171872.68712357953</v>
      </c>
      <c r="K92" s="388">
        <v>170181.36824365932</v>
      </c>
      <c r="L92" s="11"/>
      <c r="M92" s="11"/>
      <c r="N92" s="11"/>
      <c r="O92" s="11"/>
      <c r="P92" s="11"/>
      <c r="Q92" s="11"/>
      <c r="S92" s="165"/>
    </row>
    <row r="93" spans="1:19" ht="15.6">
      <c r="A93" s="22" t="s">
        <v>6</v>
      </c>
      <c r="B93" s="388">
        <f>O12</f>
        <v>184652.17936668446</v>
      </c>
      <c r="C93" s="388">
        <v>189688.74754188702</v>
      </c>
      <c r="D93" s="388">
        <v>198752.47793702735</v>
      </c>
      <c r="E93" s="388">
        <v>196380.65941361466</v>
      </c>
      <c r="F93" s="388">
        <v>186630.94126528173</v>
      </c>
      <c r="G93" s="388">
        <v>175928.48510472605</v>
      </c>
      <c r="H93" s="388">
        <v>171980.45438270213</v>
      </c>
      <c r="I93" s="388">
        <v>168718.76494003495</v>
      </c>
      <c r="J93" s="388">
        <v>169921.94092956468</v>
      </c>
      <c r="K93" s="388">
        <v>168753.21305194651</v>
      </c>
      <c r="L93" s="11"/>
      <c r="S93" s="165"/>
    </row>
    <row r="94" spans="1:19" ht="15.6">
      <c r="A94" s="22" t="s">
        <v>5</v>
      </c>
      <c r="B94" s="388">
        <f>M12</f>
        <v>136978.02159546202</v>
      </c>
      <c r="C94" s="388">
        <v>144111.11906677642</v>
      </c>
      <c r="D94" s="388">
        <v>151882.61254204018</v>
      </c>
      <c r="E94" s="388">
        <v>155354.12607333128</v>
      </c>
      <c r="F94" s="388">
        <v>145308.96648612589</v>
      </c>
      <c r="G94" s="388">
        <v>139184.78122034873</v>
      </c>
      <c r="H94" s="388">
        <v>133943.72028169112</v>
      </c>
      <c r="I94" s="388">
        <v>132084.66262194072</v>
      </c>
      <c r="J94" s="388">
        <v>133447.30043412131</v>
      </c>
      <c r="K94" s="388">
        <v>132085.07831623402</v>
      </c>
      <c r="R94" s="167"/>
    </row>
    <row r="95" spans="1:19" ht="15.6">
      <c r="L95" s="11"/>
      <c r="R95" s="163"/>
    </row>
    <row r="96" spans="1:19" ht="15.6">
      <c r="A96" s="277" t="s">
        <v>64</v>
      </c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1"/>
      <c r="R96" s="163"/>
    </row>
    <row r="97" spans="1:34" ht="15.6">
      <c r="A97" s="22" t="s">
        <v>61</v>
      </c>
      <c r="B97" s="386">
        <f>B88</f>
        <v>36696</v>
      </c>
      <c r="C97" s="386">
        <v>36689</v>
      </c>
      <c r="D97" s="386">
        <v>36682</v>
      </c>
      <c r="E97" s="386">
        <v>36675</v>
      </c>
      <c r="F97" s="386">
        <v>36668</v>
      </c>
      <c r="G97" s="386">
        <v>36661</v>
      </c>
      <c r="H97" s="386">
        <v>36654</v>
      </c>
      <c r="I97" s="386">
        <v>36647</v>
      </c>
      <c r="J97" s="386">
        <v>36640</v>
      </c>
      <c r="K97" s="386">
        <v>36633</v>
      </c>
      <c r="L97" s="11"/>
      <c r="R97" s="11"/>
    </row>
    <row r="98" spans="1:34" ht="15.6">
      <c r="A98" s="22" t="s">
        <v>43</v>
      </c>
      <c r="B98" s="388">
        <f>Q12</f>
        <v>1111808.0048348345</v>
      </c>
      <c r="C98" s="388">
        <v>1157781.4692594067</v>
      </c>
      <c r="D98" s="388">
        <v>1211673.9299093243</v>
      </c>
      <c r="E98" s="388">
        <v>1202132.4919164763</v>
      </c>
      <c r="F98" s="388">
        <v>1138570.1986461268</v>
      </c>
      <c r="G98" s="388">
        <v>1083817.6328057102</v>
      </c>
      <c r="H98" s="388">
        <v>1051322.0978458961</v>
      </c>
      <c r="I98" s="388">
        <v>1033830.2013717659</v>
      </c>
      <c r="J98" s="388">
        <v>1044028.8136988209</v>
      </c>
      <c r="K98" s="388">
        <v>1035157.0477213537</v>
      </c>
      <c r="L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5.6">
      <c r="B99" s="199"/>
      <c r="C99" s="4"/>
      <c r="D99" s="4"/>
      <c r="E99" s="4"/>
      <c r="F99" s="4"/>
      <c r="G99" s="297"/>
      <c r="H99" s="296"/>
      <c r="R99" s="167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5.6">
      <c r="A100" s="277" t="s">
        <v>65</v>
      </c>
      <c r="B100" s="389">
        <v>2000</v>
      </c>
      <c r="C100" s="389">
        <v>2001</v>
      </c>
      <c r="D100" s="389">
        <v>2002</v>
      </c>
      <c r="E100" s="194"/>
      <c r="F100" s="194"/>
      <c r="G100" s="297"/>
      <c r="H100" s="297"/>
      <c r="I100" s="22"/>
      <c r="R100" s="162"/>
      <c r="S100" s="11"/>
      <c r="T100" s="11"/>
      <c r="U100" s="161"/>
      <c r="V100" s="160"/>
      <c r="W100" s="160"/>
      <c r="X100" s="160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5.6">
      <c r="A101" s="22" t="s">
        <v>6</v>
      </c>
      <c r="B101" s="390">
        <f>Wheatland!C6</f>
        <v>16.443980831419545</v>
      </c>
      <c r="C101" s="390">
        <f>Wheatland!D6</f>
        <v>7.7013975195013371</v>
      </c>
      <c r="D101" s="390">
        <f>Wheatland!E6</f>
        <v>5.8055293902611025</v>
      </c>
      <c r="E101" s="196"/>
      <c r="F101" s="295"/>
      <c r="G101" s="22"/>
      <c r="H101" s="22"/>
      <c r="I101" s="22"/>
      <c r="R101" s="160"/>
      <c r="S101" s="11"/>
      <c r="T101" s="11"/>
      <c r="U101" s="8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5.6">
      <c r="A102" s="22" t="s">
        <v>34</v>
      </c>
      <c r="B102" s="390">
        <f>Gleason!C6</f>
        <v>18.230121170124022</v>
      </c>
      <c r="C102" s="390">
        <f>Gleason!D6</f>
        <v>8.1445784606413003</v>
      </c>
      <c r="D102" s="390">
        <f>Gleason!E6</f>
        <v>6.1042460134484413</v>
      </c>
      <c r="E102" s="196"/>
      <c r="F102" s="295"/>
      <c r="G102" s="22"/>
      <c r="H102" s="22"/>
      <c r="I102" s="22"/>
      <c r="R102" s="162"/>
      <c r="S102" s="160"/>
      <c r="T102" s="160"/>
      <c r="U102" s="159"/>
      <c r="V102" s="162"/>
      <c r="W102" s="162"/>
      <c r="X102" s="162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.6">
      <c r="A103" s="22" t="s">
        <v>7</v>
      </c>
      <c r="B103" s="390">
        <f>Wilton!C6</f>
        <v>14.995907802442648</v>
      </c>
      <c r="C103" s="390">
        <f>Wilton!D6</f>
        <v>7.5071509367741669</v>
      </c>
      <c r="D103" s="390">
        <f>Wilton!E6</f>
        <v>5.6654060156040726</v>
      </c>
      <c r="E103" s="196"/>
      <c r="F103" s="295"/>
      <c r="G103" s="22"/>
      <c r="H103" s="22"/>
      <c r="I103" s="22"/>
      <c r="R103" s="11"/>
      <c r="S103" s="167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5.6">
      <c r="A104" s="22" t="s">
        <v>3</v>
      </c>
      <c r="B104" s="390">
        <f>Brownsville!C6</f>
        <v>10.740153461397195</v>
      </c>
      <c r="C104" s="390">
        <f>Brownsville!D6</f>
        <v>7.6779916077314345</v>
      </c>
      <c r="D104" s="390">
        <f>Brownsville!E6</f>
        <v>5.7264785114401988</v>
      </c>
      <c r="E104" s="196"/>
      <c r="F104" s="295"/>
      <c r="G104" s="297"/>
      <c r="H104" s="297"/>
      <c r="I104" s="22"/>
      <c r="R104" s="11"/>
      <c r="S104" s="11"/>
      <c r="T104" s="11"/>
      <c r="U104" s="8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.6">
      <c r="A105" s="22" t="s">
        <v>4</v>
      </c>
      <c r="B105" s="390">
        <f>Caledonia!C6</f>
        <v>11.122998273908639</v>
      </c>
      <c r="C105" s="390">
        <f>Caledonia!D6</f>
        <v>7.3025556827963714</v>
      </c>
      <c r="D105" s="390">
        <f>Caledonia!E6</f>
        <v>5.4416993986312887</v>
      </c>
      <c r="E105" s="196"/>
      <c r="F105" s="295"/>
      <c r="G105" s="297"/>
      <c r="H105" s="297"/>
      <c r="I105" s="22"/>
      <c r="R105" s="160"/>
      <c r="S105" s="11"/>
      <c r="T105" s="11"/>
      <c r="U105" s="8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5.6">
      <c r="A106" s="22" t="s">
        <v>5</v>
      </c>
      <c r="B106" s="391">
        <f>'New Albany'!C6</f>
        <v>10.05758321274252</v>
      </c>
      <c r="C106" s="391">
        <f>'New Albany'!D6</f>
        <v>6.9686619690633487</v>
      </c>
      <c r="D106" s="391">
        <f>'New Albany'!E6</f>
        <v>5.1993915171838347</v>
      </c>
      <c r="E106" s="196"/>
      <c r="F106" s="295"/>
      <c r="G106" s="297"/>
      <c r="H106" s="297"/>
      <c r="I106" s="22"/>
      <c r="R106" s="163"/>
      <c r="S106" s="162"/>
      <c r="T106" s="162"/>
      <c r="U106" s="164"/>
      <c r="V106" s="163"/>
      <c r="W106" s="163"/>
      <c r="X106" s="16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5.6">
      <c r="A107" s="22" t="s">
        <v>43</v>
      </c>
      <c r="B107" s="390">
        <f>Consolidated!C6</f>
        <v>13.192592388827517</v>
      </c>
      <c r="C107" s="390">
        <f>Consolidated!D6</f>
        <v>7.5736225796780205</v>
      </c>
      <c r="D107" s="390">
        <f>Consolidated!E6</f>
        <v>5.6774905401985567</v>
      </c>
      <c r="E107" s="196"/>
      <c r="F107" s="295"/>
      <c r="G107" s="22"/>
      <c r="H107" s="22"/>
      <c r="I107" s="22"/>
      <c r="R107" s="93"/>
      <c r="S107" s="163"/>
      <c r="T107" s="163"/>
      <c r="U107" s="164"/>
      <c r="V107" s="163"/>
      <c r="W107" s="163"/>
      <c r="X107" s="16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6">
      <c r="B108" s="298"/>
      <c r="C108"/>
      <c r="D108"/>
      <c r="E108"/>
      <c r="F108" s="295"/>
      <c r="G108" s="22"/>
      <c r="H108" s="22"/>
      <c r="I108" s="22"/>
      <c r="R108" s="163"/>
      <c r="S108" s="163"/>
      <c r="T108" s="163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6">
      <c r="G109" s="22"/>
      <c r="H109" s="22"/>
      <c r="I109" s="22"/>
      <c r="R109" s="163"/>
      <c r="S109" s="11"/>
      <c r="T109" s="11"/>
    </row>
    <row r="110" spans="1:34" ht="15.6">
      <c r="G110" s="22"/>
      <c r="H110" s="22"/>
      <c r="I110" s="22"/>
    </row>
    <row r="111" spans="1:34" ht="15.6">
      <c r="B111" s="288" t="s">
        <v>168</v>
      </c>
      <c r="G111" s="22"/>
      <c r="H111" s="22"/>
      <c r="I111" s="22"/>
      <c r="S111" s="167"/>
    </row>
    <row r="112" spans="1:34" ht="15.6">
      <c r="A112" s="11"/>
      <c r="B112" s="10" t="s">
        <v>169</v>
      </c>
      <c r="C112" s="4"/>
      <c r="I112" s="22"/>
      <c r="S112" s="11"/>
    </row>
    <row r="113" spans="1:19" ht="15.6">
      <c r="A113" s="11"/>
      <c r="I113" s="22"/>
      <c r="S113" s="11"/>
    </row>
    <row r="114" spans="1:19" ht="15.6">
      <c r="A114" s="11"/>
      <c r="B114" s="289" t="s">
        <v>170</v>
      </c>
      <c r="G114" s="22"/>
      <c r="H114" s="22"/>
      <c r="I114" s="22"/>
      <c r="S114" s="11"/>
    </row>
    <row r="115" spans="1:19" ht="15.6">
      <c r="A115" s="11">
        <v>1</v>
      </c>
      <c r="B115" s="10" t="s">
        <v>171</v>
      </c>
      <c r="G115" s="22"/>
      <c r="H115" s="22"/>
      <c r="I115" s="22"/>
      <c r="S115" s="11"/>
    </row>
    <row r="116" spans="1:19" ht="15.6">
      <c r="A116" s="11">
        <v>2</v>
      </c>
      <c r="B116" s="10" t="s">
        <v>172</v>
      </c>
      <c r="G116" s="22"/>
      <c r="H116" s="22"/>
      <c r="I116" s="22"/>
      <c r="S116" s="11"/>
    </row>
    <row r="117" spans="1:19" ht="15.6">
      <c r="A117" s="10">
        <v>3</v>
      </c>
      <c r="B117" s="11" t="s">
        <v>173</v>
      </c>
      <c r="C117" s="11"/>
      <c r="G117" s="22"/>
      <c r="H117" s="22"/>
      <c r="I117" s="22"/>
      <c r="S117" s="11"/>
    </row>
    <row r="118" spans="1:19" ht="15.6">
      <c r="A118" s="10">
        <v>4</v>
      </c>
      <c r="B118" s="11" t="s">
        <v>177</v>
      </c>
      <c r="C118" s="11"/>
      <c r="G118" s="22"/>
      <c r="H118" s="22"/>
      <c r="I118" s="22"/>
      <c r="S118" s="160"/>
    </row>
    <row r="119" spans="1:19" ht="15.6">
      <c r="B119" s="290" t="s">
        <v>174</v>
      </c>
      <c r="C119" s="11"/>
      <c r="G119" s="22"/>
      <c r="H119" s="22"/>
      <c r="I119" s="22"/>
      <c r="S119" s="162"/>
    </row>
    <row r="120" spans="1:19" ht="15.6">
      <c r="A120" s="10">
        <v>1</v>
      </c>
      <c r="B120" s="11" t="s">
        <v>175</v>
      </c>
      <c r="C120" s="11"/>
      <c r="G120" s="22"/>
      <c r="H120" s="22"/>
      <c r="I120" s="22"/>
      <c r="S120" s="163"/>
    </row>
    <row r="121" spans="1:19" ht="15.6">
      <c r="A121" s="10">
        <v>2</v>
      </c>
      <c r="B121" s="11" t="s">
        <v>176</v>
      </c>
      <c r="C121" s="11"/>
      <c r="G121" s="22"/>
      <c r="H121" s="22"/>
      <c r="I121" s="22"/>
      <c r="S121" s="163"/>
    </row>
    <row r="122" spans="1:19" ht="15.6">
      <c r="B122" s="11"/>
      <c r="C122" s="11"/>
      <c r="G122" s="22"/>
      <c r="H122" s="22"/>
      <c r="I122" s="22"/>
    </row>
    <row r="123" spans="1:19" ht="15.6">
      <c r="G123" s="22"/>
      <c r="H123" s="22"/>
      <c r="I123" s="22"/>
    </row>
    <row r="124" spans="1:19" ht="15.6">
      <c r="A124" s="22"/>
      <c r="B124" s="11"/>
      <c r="C124" s="11"/>
      <c r="G124" s="22"/>
      <c r="H124" s="22"/>
      <c r="I124" s="22"/>
    </row>
    <row r="125" spans="1:19" ht="15.6">
      <c r="A125" s="22"/>
      <c r="B125" s="11"/>
      <c r="C125" s="11"/>
      <c r="G125" s="22"/>
      <c r="H125" s="22"/>
      <c r="I125" s="22"/>
    </row>
    <row r="126" spans="1:19" ht="15.6">
      <c r="A126" s="22"/>
      <c r="B126" s="11"/>
      <c r="C126" s="11"/>
      <c r="G126" s="22"/>
      <c r="H126" s="22"/>
      <c r="I126" s="22"/>
    </row>
    <row r="127" spans="1:19" ht="15.6">
      <c r="A127" s="22"/>
      <c r="B127" s="11"/>
      <c r="C127" s="11"/>
      <c r="G127" s="22"/>
      <c r="H127" s="22"/>
    </row>
    <row r="128" spans="1:19" ht="15.6">
      <c r="A128" s="22"/>
      <c r="G128" s="22"/>
      <c r="H128" s="22"/>
    </row>
    <row r="129" spans="7:8" ht="15.6">
      <c r="G129" s="22"/>
      <c r="H129" s="22"/>
    </row>
    <row r="130" spans="7:8" ht="15.6">
      <c r="G130" s="22"/>
      <c r="H130" s="22"/>
    </row>
    <row r="131" spans="7:8" ht="15.6">
      <c r="G131" s="22"/>
      <c r="H131" s="22"/>
    </row>
    <row r="132" spans="7:8" ht="15.6">
      <c r="G132" s="22"/>
      <c r="H132" s="22"/>
    </row>
  </sheetData>
  <pageMargins left="0.5" right="0.5" top="0.75" bottom="0.75" header="0.17" footer="0.21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O109"/>
  <sheetViews>
    <sheetView zoomScale="75" zoomScaleNormal="75" workbookViewId="0"/>
  </sheetViews>
  <sheetFormatPr defaultColWidth="15.6640625" defaultRowHeight="13.2"/>
  <cols>
    <col min="1" max="1" width="17.88671875" style="10" customWidth="1"/>
    <col min="2" max="16384" width="15.6640625" style="10"/>
  </cols>
  <sheetData>
    <row r="2" spans="1:13" ht="20.399999999999999">
      <c r="A2" s="14" t="s">
        <v>66</v>
      </c>
      <c r="B2" s="15"/>
      <c r="C2" s="15"/>
    </row>
    <row r="3" spans="1:13" ht="20.399999999999999">
      <c r="A3" s="158"/>
      <c r="B3" s="4"/>
      <c r="C3" s="4"/>
    </row>
    <row r="4" spans="1:13" ht="20.399999999999999">
      <c r="A4" s="414" t="s">
        <v>51</v>
      </c>
      <c r="B4" s="414"/>
      <c r="C4" s="414"/>
      <c r="D4" s="414"/>
      <c r="E4" s="414"/>
      <c r="F4" s="414"/>
      <c r="G4" s="414" t="s">
        <v>52</v>
      </c>
      <c r="H4" s="414"/>
      <c r="I4" s="414"/>
      <c r="J4" s="414"/>
      <c r="K4" s="414"/>
      <c r="L4" s="414"/>
      <c r="M4" s="414"/>
    </row>
    <row r="69" spans="1:11">
      <c r="A69" s="291" t="s">
        <v>3</v>
      </c>
      <c r="B69" s="184"/>
    </row>
    <row r="70" spans="1:11">
      <c r="A70" s="1" t="s">
        <v>65</v>
      </c>
    </row>
    <row r="71" spans="1:11" ht="15.6">
      <c r="A71" s="22" t="s">
        <v>61</v>
      </c>
      <c r="B71" s="194">
        <f>Summary!$C$4</f>
        <v>36696</v>
      </c>
      <c r="C71" s="194">
        <v>36689</v>
      </c>
      <c r="D71" s="194">
        <v>36682</v>
      </c>
      <c r="E71" s="194">
        <v>36675</v>
      </c>
      <c r="F71" s="194">
        <v>36668</v>
      </c>
      <c r="G71" s="194">
        <v>36661</v>
      </c>
      <c r="H71" s="194">
        <v>36654</v>
      </c>
      <c r="I71" s="194">
        <v>36647</v>
      </c>
      <c r="J71" s="194">
        <v>36640</v>
      </c>
      <c r="K71" s="194">
        <v>36633</v>
      </c>
    </row>
    <row r="72" spans="1:11" ht="15.6">
      <c r="A72" s="22">
        <v>2000</v>
      </c>
      <c r="B72" s="195">
        <f>Brownsville!C6</f>
        <v>10.740153461397195</v>
      </c>
      <c r="C72" s="195">
        <v>12.220945789601638</v>
      </c>
      <c r="D72" s="195">
        <v>14.131785378969273</v>
      </c>
      <c r="E72" s="195">
        <v>15.333167405956006</v>
      </c>
      <c r="F72" s="195">
        <v>12.867376427981775</v>
      </c>
      <c r="G72" s="195">
        <v>11.092679165758334</v>
      </c>
      <c r="H72" s="195">
        <v>10.261896153656346</v>
      </c>
      <c r="I72" s="195">
        <v>8.9075618144106503</v>
      </c>
      <c r="J72" s="195">
        <v>9.5096705795471106</v>
      </c>
      <c r="K72" s="195">
        <v>9.0522939418220574</v>
      </c>
    </row>
    <row r="73" spans="1:11" ht="15.6">
      <c r="A73" s="22">
        <v>2001</v>
      </c>
      <c r="B73" s="195">
        <f>Brownsville!D6</f>
        <v>7.6779916077314345</v>
      </c>
      <c r="C73" s="195">
        <v>8.2400979123254832</v>
      </c>
      <c r="D73" s="195">
        <v>8.6767973601842172</v>
      </c>
      <c r="E73" s="195">
        <v>8.6188167363720503</v>
      </c>
      <c r="F73" s="195">
        <v>7.9863746196465897</v>
      </c>
      <c r="G73" s="195">
        <v>7.6532328363079829</v>
      </c>
      <c r="H73" s="195">
        <v>7.2054727925628503</v>
      </c>
      <c r="I73" s="195">
        <v>7.1840474038475106</v>
      </c>
      <c r="J73" s="195">
        <v>7.2107717359660457</v>
      </c>
      <c r="K73" s="195">
        <v>7.2092986376749035</v>
      </c>
    </row>
    <row r="74" spans="1:11" ht="15.6">
      <c r="A74" s="22">
        <v>2002</v>
      </c>
      <c r="B74" s="195">
        <f>Brownsville!E6</f>
        <v>5.7264785114401988</v>
      </c>
      <c r="C74" s="195">
        <v>6.1246754757395196</v>
      </c>
      <c r="D74" s="195">
        <v>6.3478082665387907</v>
      </c>
      <c r="E74" s="195">
        <v>6.2549864707509029</v>
      </c>
      <c r="F74" s="195">
        <v>6.2594367412735732</v>
      </c>
      <c r="G74" s="195">
        <v>6.1140715106243029</v>
      </c>
      <c r="H74" s="195">
        <v>5.8311326799135319</v>
      </c>
      <c r="I74" s="195">
        <v>5.7295722684754722</v>
      </c>
      <c r="J74" s="195">
        <v>5.7445069629412471</v>
      </c>
      <c r="K74" s="195">
        <v>5.725616210069294</v>
      </c>
    </row>
    <row r="76" spans="1:11">
      <c r="A76" s="291" t="s">
        <v>4</v>
      </c>
      <c r="B76" s="184"/>
      <c r="C76" s="184"/>
      <c r="D76" s="184"/>
      <c r="E76" s="184"/>
      <c r="F76" s="184"/>
      <c r="G76" s="184"/>
      <c r="H76" s="184"/>
      <c r="I76" s="184"/>
      <c r="J76" s="184"/>
      <c r="K76" s="184"/>
    </row>
    <row r="77" spans="1:11">
      <c r="A77" s="1" t="s">
        <v>65</v>
      </c>
    </row>
    <row r="78" spans="1:11" ht="15.6">
      <c r="A78" s="22" t="s">
        <v>61</v>
      </c>
      <c r="B78" s="194">
        <f>Summary!$C$4</f>
        <v>36696</v>
      </c>
      <c r="C78" s="194">
        <v>36689</v>
      </c>
      <c r="D78" s="194">
        <v>36682</v>
      </c>
      <c r="E78" s="194">
        <v>36675</v>
      </c>
      <c r="F78" s="194">
        <v>36668</v>
      </c>
      <c r="G78" s="194">
        <v>36661</v>
      </c>
      <c r="H78" s="194">
        <v>36654</v>
      </c>
      <c r="I78" s="194">
        <v>36647</v>
      </c>
      <c r="J78" s="194">
        <v>36640</v>
      </c>
      <c r="K78" s="194">
        <v>36633</v>
      </c>
    </row>
    <row r="79" spans="1:11" ht="15.6">
      <c r="A79" s="22">
        <v>2000</v>
      </c>
      <c r="B79" s="195">
        <f>Caledonia!C6</f>
        <v>11.122998273908639</v>
      </c>
      <c r="C79" s="195">
        <v>12.547386992278458</v>
      </c>
      <c r="D79" s="195">
        <v>14.269711017045958</v>
      </c>
      <c r="E79" s="195">
        <v>15.33798761162349</v>
      </c>
      <c r="F79" s="195">
        <v>12.696970911258315</v>
      </c>
      <c r="G79" s="195">
        <v>10.927975537094682</v>
      </c>
      <c r="H79" s="195">
        <v>9.8089540622641067</v>
      </c>
      <c r="I79" s="195">
        <v>8.5458874948083352</v>
      </c>
      <c r="J79" s="195">
        <v>9.1092684504228423</v>
      </c>
      <c r="K79" s="195">
        <v>8.6656877402369084</v>
      </c>
    </row>
    <row r="80" spans="1:11" ht="15.6">
      <c r="A80" s="22">
        <v>2001</v>
      </c>
      <c r="B80" s="195">
        <f>Caledonia!D6</f>
        <v>7.3025556827963714</v>
      </c>
      <c r="C80" s="195">
        <v>7.8504517087197003</v>
      </c>
      <c r="D80" s="195">
        <v>8.3122904547780703</v>
      </c>
      <c r="E80" s="195">
        <v>8.253630577829016</v>
      </c>
      <c r="F80" s="195">
        <v>7.6493570394325996</v>
      </c>
      <c r="G80" s="195">
        <v>7.3307047115925323</v>
      </c>
      <c r="H80" s="195">
        <v>6.8613279436853247</v>
      </c>
      <c r="I80" s="195">
        <v>6.8751947044635546</v>
      </c>
      <c r="J80" s="195">
        <v>6.9016890969477531</v>
      </c>
      <c r="K80" s="195">
        <v>6.9019984283683931</v>
      </c>
    </row>
    <row r="81" spans="1:15" ht="15.6">
      <c r="A81" s="22">
        <v>2002</v>
      </c>
      <c r="B81" s="195">
        <f>Caledonia!E6</f>
        <v>5.4416993986312887</v>
      </c>
      <c r="C81" s="195">
        <v>5.8247919642277015</v>
      </c>
      <c r="D81" s="195">
        <v>6.0676809186706588</v>
      </c>
      <c r="E81" s="195">
        <v>5.9858328980154853</v>
      </c>
      <c r="F81" s="195">
        <v>5.9833797898945651</v>
      </c>
      <c r="G81" s="195">
        <v>5.8462047507292594</v>
      </c>
      <c r="H81" s="195">
        <v>5.543851607261213</v>
      </c>
      <c r="I81" s="195">
        <v>5.4723081695688895</v>
      </c>
      <c r="J81" s="195">
        <v>5.4873914529788834</v>
      </c>
      <c r="K81" s="195">
        <v>5.4704732742964444</v>
      </c>
    </row>
    <row r="83" spans="1:15">
      <c r="A83" s="291" t="s">
        <v>5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</row>
    <row r="84" spans="1:15">
      <c r="A84" s="1" t="s">
        <v>65</v>
      </c>
    </row>
    <row r="85" spans="1:15" ht="15.6">
      <c r="A85" s="193" t="s">
        <v>61</v>
      </c>
      <c r="B85" s="194">
        <f>Summary!$C$4</f>
        <v>36696</v>
      </c>
      <c r="C85" s="194">
        <v>36689</v>
      </c>
      <c r="D85" s="194">
        <v>36682</v>
      </c>
      <c r="E85" s="194">
        <v>36675</v>
      </c>
      <c r="F85" s="194">
        <v>36668</v>
      </c>
      <c r="G85" s="194">
        <v>36661</v>
      </c>
      <c r="H85" s="194">
        <v>36654</v>
      </c>
      <c r="I85" s="194">
        <v>36647</v>
      </c>
      <c r="J85" s="194">
        <v>36640</v>
      </c>
      <c r="K85" s="194">
        <v>36633</v>
      </c>
    </row>
    <row r="86" spans="1:15" ht="15.6">
      <c r="A86" s="193">
        <v>2000</v>
      </c>
      <c r="B86" s="195">
        <f>'New Albany'!C6</f>
        <v>10.05758321274252</v>
      </c>
      <c r="C86" s="195">
        <v>11.438109313831978</v>
      </c>
      <c r="D86" s="195">
        <v>13.171544536497636</v>
      </c>
      <c r="E86" s="195">
        <v>14.358022153110792</v>
      </c>
      <c r="F86" s="195">
        <v>11.851942559285739</v>
      </c>
      <c r="G86" s="195">
        <v>10.325186218236475</v>
      </c>
      <c r="H86" s="195">
        <v>9.4212847996127582</v>
      </c>
      <c r="I86" s="195">
        <v>8.232334505697942</v>
      </c>
      <c r="J86" s="195">
        <v>8.7832817152342084</v>
      </c>
      <c r="K86" s="195">
        <v>8.353060588834909</v>
      </c>
    </row>
    <row r="87" spans="1:15" ht="15.6">
      <c r="A87" s="193">
        <v>2001</v>
      </c>
      <c r="B87" s="195">
        <f>'New Albany'!D6</f>
        <v>6.9686619690633487</v>
      </c>
      <c r="C87" s="195">
        <v>7.5119413326359616</v>
      </c>
      <c r="D87" s="195">
        <v>8.0172495225766607</v>
      </c>
      <c r="E87" s="195">
        <v>7.9620967498528339</v>
      </c>
      <c r="F87" s="195">
        <v>7.3753952671497611</v>
      </c>
      <c r="G87" s="195">
        <v>7.0737817806098304</v>
      </c>
      <c r="H87" s="195">
        <v>6.5851780501706498</v>
      </c>
      <c r="I87" s="195">
        <v>6.6375051629894326</v>
      </c>
      <c r="J87" s="195">
        <v>6.6636765760410945</v>
      </c>
      <c r="K87" s="195">
        <v>6.663489780050023</v>
      </c>
    </row>
    <row r="88" spans="1:15" ht="15.6">
      <c r="A88" s="193">
        <v>2002</v>
      </c>
      <c r="B88" s="195">
        <f>'New Albany'!E6</f>
        <v>5.1993915171838347</v>
      </c>
      <c r="C88" s="195">
        <v>5.5755928632074223</v>
      </c>
      <c r="D88" s="195">
        <v>5.8503731314402687</v>
      </c>
      <c r="E88" s="195">
        <v>5.7692836104652585</v>
      </c>
      <c r="F88" s="195">
        <v>5.7769083915981199</v>
      </c>
      <c r="G88" s="195">
        <v>5.6487685377770296</v>
      </c>
      <c r="H88" s="195">
        <v>5.3290944785652794</v>
      </c>
      <c r="I88" s="195">
        <v>5.2896940261156224</v>
      </c>
      <c r="J88" s="195">
        <v>5.3048171662952734</v>
      </c>
      <c r="K88" s="195">
        <v>5.2873399602246041</v>
      </c>
    </row>
    <row r="89" spans="1:15">
      <c r="L89" s="4"/>
      <c r="M89" s="4"/>
      <c r="N89" s="4"/>
      <c r="O89" s="4"/>
    </row>
    <row r="90" spans="1:15">
      <c r="A90" s="291" t="s">
        <v>34</v>
      </c>
      <c r="B90" s="184"/>
      <c r="C90" s="184"/>
      <c r="D90" s="184"/>
      <c r="E90" s="184"/>
      <c r="F90" s="184"/>
      <c r="L90" s="4"/>
      <c r="M90" s="4"/>
      <c r="N90" s="4"/>
      <c r="O90" s="4"/>
    </row>
    <row r="91" spans="1:15">
      <c r="A91" s="1" t="s">
        <v>65</v>
      </c>
    </row>
    <row r="92" spans="1:15" ht="15.6">
      <c r="A92" s="22" t="s">
        <v>61</v>
      </c>
      <c r="B92" s="194">
        <f>Summary!$C$4</f>
        <v>36696</v>
      </c>
      <c r="C92" s="194">
        <v>36689</v>
      </c>
      <c r="D92" s="194">
        <v>36682</v>
      </c>
      <c r="E92" s="194">
        <v>36675</v>
      </c>
      <c r="F92" s="194">
        <v>36668</v>
      </c>
      <c r="G92" s="194">
        <v>36661</v>
      </c>
      <c r="H92" s="194">
        <v>36654</v>
      </c>
      <c r="I92" s="194">
        <v>36647</v>
      </c>
      <c r="J92" s="194">
        <v>36640</v>
      </c>
      <c r="K92" s="194">
        <v>36633</v>
      </c>
    </row>
    <row r="93" spans="1:15" ht="15.6">
      <c r="A93" s="22">
        <v>2000</v>
      </c>
      <c r="B93" s="195">
        <f>Gleason!C6</f>
        <v>18.230121170124022</v>
      </c>
      <c r="C93" s="195">
        <v>20.433376908327567</v>
      </c>
      <c r="D93" s="195">
        <v>23.179414778407363</v>
      </c>
      <c r="E93" s="195">
        <v>24.040091299033289</v>
      </c>
      <c r="F93" s="195">
        <v>20.259714523220779</v>
      </c>
      <c r="G93" s="195">
        <v>17.643376426922313</v>
      </c>
      <c r="H93" s="195">
        <v>16.609255439668846</v>
      </c>
      <c r="I93" s="195">
        <v>14.639569576084959</v>
      </c>
      <c r="J93" s="195">
        <v>15.579844035932394</v>
      </c>
      <c r="K93" s="195">
        <v>14.88468909159957</v>
      </c>
    </row>
    <row r="94" spans="1:15" ht="15.6">
      <c r="A94" s="22">
        <v>2001</v>
      </c>
      <c r="B94" s="195">
        <f>Gleason!D6</f>
        <v>8.1445784606413003</v>
      </c>
      <c r="C94" s="195">
        <v>8.7181548388686902</v>
      </c>
      <c r="D94" s="195">
        <v>9.0578048167870495</v>
      </c>
      <c r="E94" s="195">
        <v>7.0594807761027765</v>
      </c>
      <c r="F94" s="195">
        <v>6.8016217047249814</v>
      </c>
      <c r="G94" s="195">
        <v>6.5242009596919468</v>
      </c>
      <c r="H94" s="195">
        <v>6.0847671028614814</v>
      </c>
      <c r="I94" s="195">
        <v>6.0023109586561727</v>
      </c>
      <c r="J94" s="195">
        <v>6.0267832684193925</v>
      </c>
      <c r="K94" s="195">
        <v>6.0417124275991805</v>
      </c>
    </row>
    <row r="95" spans="1:15" ht="15.6">
      <c r="A95" s="22">
        <v>2002</v>
      </c>
      <c r="B95" s="195">
        <f>Gleason!E6</f>
        <v>6.1042460134484413</v>
      </c>
      <c r="C95" s="195">
        <v>6.5117691979282215</v>
      </c>
      <c r="D95" s="195">
        <v>6.6708280083264455</v>
      </c>
      <c r="E95" s="195">
        <v>4.9668941352007332</v>
      </c>
      <c r="F95" s="195">
        <v>4.974129288454999</v>
      </c>
      <c r="G95" s="195">
        <v>4.8878684052919903</v>
      </c>
      <c r="H95" s="195">
        <v>4.5606156973558081</v>
      </c>
      <c r="I95" s="195">
        <v>4.420327806163189</v>
      </c>
      <c r="J95" s="195">
        <v>4.4385520634175659</v>
      </c>
      <c r="K95" s="195">
        <v>4.4522081431737064</v>
      </c>
    </row>
    <row r="96" spans="1:15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291" t="s">
        <v>6</v>
      </c>
      <c r="B97" s="188"/>
      <c r="C97" s="188"/>
      <c r="D97" s="188"/>
      <c r="E97" s="188"/>
      <c r="F97" s="188"/>
      <c r="G97" s="188"/>
      <c r="H97" s="188"/>
      <c r="I97" s="188"/>
      <c r="J97" s="188"/>
      <c r="K97" s="188"/>
    </row>
    <row r="98" spans="1:11">
      <c r="A98" s="1" t="s">
        <v>65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6">
      <c r="A99" s="22" t="s">
        <v>61</v>
      </c>
      <c r="B99" s="194">
        <f>Summary!$C$4</f>
        <v>36696</v>
      </c>
      <c r="C99" s="194">
        <v>36689</v>
      </c>
      <c r="D99" s="194">
        <v>36682</v>
      </c>
      <c r="E99" s="194">
        <v>36675</v>
      </c>
      <c r="F99" s="194">
        <v>36668</v>
      </c>
      <c r="G99" s="194">
        <v>36661</v>
      </c>
      <c r="H99" s="194">
        <v>36654</v>
      </c>
      <c r="I99" s="194">
        <v>36647</v>
      </c>
      <c r="J99" s="194">
        <v>36640</v>
      </c>
      <c r="K99" s="194">
        <v>36633</v>
      </c>
    </row>
    <row r="100" spans="1:11" ht="15.6">
      <c r="A100" s="22">
        <v>2000</v>
      </c>
      <c r="B100" s="195">
        <f>Wheatland!C6</f>
        <v>16.443980831419545</v>
      </c>
      <c r="C100" s="195">
        <v>17.428972910509057</v>
      </c>
      <c r="D100" s="195">
        <v>20.226001949836526</v>
      </c>
      <c r="E100" s="195">
        <v>23.860104186037052</v>
      </c>
      <c r="F100" s="195">
        <v>20.421029319018231</v>
      </c>
      <c r="G100" s="195">
        <v>17.261968192531384</v>
      </c>
      <c r="H100" s="195">
        <v>16.534110256963999</v>
      </c>
      <c r="I100" s="195">
        <v>14.34635173427581</v>
      </c>
      <c r="J100" s="195">
        <v>15.019438890621794</v>
      </c>
      <c r="K100" s="195">
        <v>14.396113835782701</v>
      </c>
    </row>
    <row r="101" spans="1:11" ht="15.6">
      <c r="A101" s="22">
        <v>2001</v>
      </c>
      <c r="B101" s="195">
        <f>Wheatland!D6</f>
        <v>7.7013975195013371</v>
      </c>
      <c r="C101" s="195">
        <v>8.1581422106798485</v>
      </c>
      <c r="D101" s="195">
        <v>8.4645647534415343</v>
      </c>
      <c r="E101" s="195">
        <v>7.7629531779679377</v>
      </c>
      <c r="F101" s="195">
        <v>7.483511139896013</v>
      </c>
      <c r="G101" s="195">
        <v>6.9368428398905726</v>
      </c>
      <c r="H101" s="195">
        <v>6.5541896415731173</v>
      </c>
      <c r="I101" s="195">
        <v>6.3768308944482248</v>
      </c>
      <c r="J101" s="195">
        <v>6.4341778482795942</v>
      </c>
      <c r="K101" s="195">
        <v>6.4979771179354051</v>
      </c>
    </row>
    <row r="102" spans="1:11" ht="15.6">
      <c r="A102" s="22">
        <v>2002</v>
      </c>
      <c r="B102" s="195">
        <f>Wheatland!E6</f>
        <v>5.8055293902611025</v>
      </c>
      <c r="C102" s="195">
        <v>6.0159239365939472</v>
      </c>
      <c r="D102" s="195">
        <v>6.1199220381444333</v>
      </c>
      <c r="E102" s="195">
        <v>5.2755609057261079</v>
      </c>
      <c r="F102" s="195">
        <v>5.2359180973269801</v>
      </c>
      <c r="G102" s="195">
        <v>4.9231652422128995</v>
      </c>
      <c r="H102" s="195">
        <v>4.6786129565289363</v>
      </c>
      <c r="I102" s="195">
        <v>4.7558041911673623</v>
      </c>
      <c r="J102" s="195">
        <v>4.7738469245399431</v>
      </c>
      <c r="K102" s="195">
        <v>4.7777662393014486</v>
      </c>
    </row>
    <row r="103" spans="1:11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291" t="s">
        <v>7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</row>
    <row r="105" spans="1:11">
      <c r="A105" s="1" t="s">
        <v>65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6">
      <c r="A106" s="22" t="s">
        <v>61</v>
      </c>
      <c r="B106" s="194">
        <f>Summary!$C$4</f>
        <v>36696</v>
      </c>
      <c r="C106" s="194">
        <v>36689</v>
      </c>
      <c r="D106" s="194">
        <v>36682</v>
      </c>
      <c r="E106" s="194">
        <v>36675</v>
      </c>
      <c r="F106" s="194">
        <v>36668</v>
      </c>
      <c r="G106" s="194">
        <v>36661</v>
      </c>
      <c r="H106" s="194">
        <v>36654</v>
      </c>
      <c r="I106" s="194">
        <v>36647</v>
      </c>
      <c r="J106" s="194">
        <v>36640</v>
      </c>
      <c r="K106" s="194">
        <v>36633</v>
      </c>
    </row>
    <row r="107" spans="1:11" ht="15.6">
      <c r="A107" s="22">
        <v>2000</v>
      </c>
      <c r="B107" s="195">
        <f>Wilton!C6</f>
        <v>14.995907802442648</v>
      </c>
      <c r="C107" s="195">
        <v>15.998028722808341</v>
      </c>
      <c r="D107" s="195">
        <v>18.196601682737874</v>
      </c>
      <c r="E107" s="195">
        <v>22.513754956774083</v>
      </c>
      <c r="F107" s="195">
        <v>19.861181347334941</v>
      </c>
      <c r="G107" s="195">
        <v>16.825607817425123</v>
      </c>
      <c r="H107" s="195">
        <v>16.115738429468511</v>
      </c>
      <c r="I107" s="195">
        <v>14.017000220740053</v>
      </c>
      <c r="J107" s="195">
        <v>14.680961067148013</v>
      </c>
      <c r="K107" s="195">
        <v>14.069061367999321</v>
      </c>
    </row>
    <row r="108" spans="1:11" ht="15.6">
      <c r="A108" s="22">
        <v>2001</v>
      </c>
      <c r="B108" s="195">
        <f>Wilton!D6</f>
        <v>7.5071509367741669</v>
      </c>
      <c r="C108" s="195">
        <v>7.9680357116362526</v>
      </c>
      <c r="D108" s="195">
        <v>8.283965037907377</v>
      </c>
      <c r="E108" s="195">
        <v>6.6331111662212558</v>
      </c>
      <c r="F108" s="195">
        <v>6.6073184001522316</v>
      </c>
      <c r="G108" s="195">
        <v>6.1400900138732819</v>
      </c>
      <c r="H108" s="195">
        <v>5.760202675967637</v>
      </c>
      <c r="I108" s="195">
        <v>5.671678769729664</v>
      </c>
      <c r="J108" s="195">
        <v>5.7331229592360229</v>
      </c>
      <c r="K108" s="195">
        <v>5.8076455522430335</v>
      </c>
    </row>
    <row r="109" spans="1:11" ht="15.6">
      <c r="A109" s="22">
        <v>2002</v>
      </c>
      <c r="B109" s="195">
        <f>Wilton!E6</f>
        <v>5.6654060156040726</v>
      </c>
      <c r="C109" s="195">
        <v>5.8758000979863398</v>
      </c>
      <c r="D109" s="195">
        <v>6.0035157169671063</v>
      </c>
      <c r="E109" s="195">
        <v>4.5520041308729757</v>
      </c>
      <c r="F109" s="195">
        <v>4.6666395321446306</v>
      </c>
      <c r="G109" s="195">
        <v>4.3591001484312146</v>
      </c>
      <c r="H109" s="195">
        <v>4.1192955431084233</v>
      </c>
      <c r="I109" s="195">
        <v>4.223440614060924</v>
      </c>
      <c r="J109" s="195">
        <v>4.2425300307755931</v>
      </c>
      <c r="K109" s="195">
        <v>4.2577912164395553</v>
      </c>
    </row>
  </sheetData>
  <mergeCells count="2">
    <mergeCell ref="A4:F4"/>
    <mergeCell ref="G4:M4"/>
  </mergeCells>
  <pageMargins left="0.5" right="0.5" top="0.75" bottom="0.75" header="0.17" footer="0.21"/>
  <pageSetup scale="61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>
      <selection activeCell="F8" sqref="F8"/>
    </sheetView>
  </sheetViews>
  <sheetFormatPr defaultColWidth="9.109375" defaultRowHeight="13.2"/>
  <cols>
    <col min="1" max="1" width="56.33203125" style="10" bestFit="1" customWidth="1"/>
    <col min="2" max="4" width="14.44140625" style="10" customWidth="1"/>
    <col min="5" max="5" width="7.5546875" style="10" customWidth="1"/>
    <col min="6" max="8" width="14.44140625" style="10" customWidth="1"/>
    <col min="9" max="9" width="7.5546875" style="10" customWidth="1"/>
    <col min="10" max="10" width="14.44140625" style="10" customWidth="1"/>
    <col min="11" max="11" width="5.6640625" style="10" customWidth="1"/>
    <col min="12" max="12" width="17.88671875" style="10" customWidth="1"/>
    <col min="13" max="14" width="14.44140625" style="10" customWidth="1"/>
    <col min="15" max="15" width="13.88671875" style="10" customWidth="1"/>
    <col min="16" max="16" width="3.6640625" style="10" customWidth="1"/>
    <col min="17" max="19" width="14.44140625" style="10" customWidth="1"/>
    <col min="20" max="20" width="9" style="10" customWidth="1"/>
    <col min="21" max="21" width="12" style="10" customWidth="1"/>
    <col min="22" max="22" width="11.44140625" style="10" customWidth="1"/>
    <col min="23" max="23" width="22.44140625" style="10" customWidth="1"/>
    <col min="24" max="24" width="19" style="10" customWidth="1"/>
    <col min="25" max="25" width="10.33203125" style="10" customWidth="1"/>
    <col min="26" max="37" width="12.88671875" style="10" customWidth="1"/>
    <col min="38" max="45" width="12" style="10" customWidth="1"/>
    <col min="46" max="46" width="9.109375" style="10"/>
    <col min="47" max="49" width="10" style="10" customWidth="1"/>
    <col min="50" max="50" width="12" style="10" customWidth="1"/>
    <col min="51" max="51" width="17.5546875" style="10" customWidth="1"/>
    <col min="52" max="52" width="22.44140625" style="10" customWidth="1"/>
    <col min="53" max="53" width="19" style="10" customWidth="1"/>
    <col min="54" max="54" width="10.33203125" style="10" customWidth="1"/>
    <col min="55" max="74" width="13.109375" style="10" customWidth="1"/>
    <col min="75" max="75" width="9.109375" style="10"/>
    <col min="76" max="85" width="10" style="10" customWidth="1"/>
    <col min="86" max="86" width="9.109375" style="10"/>
    <col min="87" max="92" width="10" style="10" customWidth="1"/>
    <col min="93" max="93" width="9.109375" style="10"/>
    <col min="94" max="99" width="10" style="10" customWidth="1"/>
    <col min="100" max="16384" width="9.109375" style="10"/>
  </cols>
  <sheetData>
    <row r="2" spans="1:10" ht="20.399999999999999">
      <c r="A2" s="14" t="s">
        <v>62</v>
      </c>
      <c r="B2" s="4"/>
      <c r="C2" s="4"/>
    </row>
    <row r="3" spans="1:10" ht="13.8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210" t="s">
        <v>0</v>
      </c>
      <c r="B4" s="211" t="s">
        <v>1</v>
      </c>
      <c r="C4" s="211"/>
      <c r="D4" s="211"/>
      <c r="E4" s="16"/>
      <c r="F4" s="211" t="s">
        <v>2</v>
      </c>
      <c r="G4" s="211"/>
      <c r="H4" s="211"/>
      <c r="I4" s="16"/>
      <c r="J4" s="212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8">
      <c r="A6" s="19"/>
      <c r="B6" s="213" t="s">
        <v>3</v>
      </c>
      <c r="C6" s="213" t="s">
        <v>4</v>
      </c>
      <c r="D6" s="213" t="s">
        <v>5</v>
      </c>
      <c r="E6" s="178"/>
      <c r="F6" s="213" t="s">
        <v>34</v>
      </c>
      <c r="G6" s="213" t="s">
        <v>6</v>
      </c>
      <c r="H6" s="213" t="s">
        <v>7</v>
      </c>
      <c r="I6" s="178"/>
      <c r="J6" s="214"/>
    </row>
    <row r="7" spans="1:10">
      <c r="A7" s="19" t="s">
        <v>8</v>
      </c>
      <c r="B7" s="358">
        <v>4</v>
      </c>
      <c r="C7" s="358">
        <v>6</v>
      </c>
      <c r="D7" s="358">
        <v>6</v>
      </c>
      <c r="E7" s="358"/>
      <c r="F7" s="358">
        <v>3</v>
      </c>
      <c r="G7" s="358">
        <v>4</v>
      </c>
      <c r="H7" s="358">
        <v>8</v>
      </c>
      <c r="I7" s="359"/>
      <c r="J7" s="360">
        <f>SUM(B7:H7)</f>
        <v>31</v>
      </c>
    </row>
    <row r="8" spans="1:10">
      <c r="A8" s="19" t="s">
        <v>163</v>
      </c>
      <c r="B8" s="340">
        <v>36326</v>
      </c>
      <c r="C8" s="340">
        <v>36326</v>
      </c>
      <c r="D8" s="340">
        <v>36342</v>
      </c>
      <c r="E8" s="340"/>
      <c r="F8" s="341">
        <v>36678</v>
      </c>
      <c r="G8" s="341">
        <v>36678</v>
      </c>
      <c r="H8" s="341">
        <v>36678</v>
      </c>
      <c r="I8" s="340"/>
      <c r="J8" s="342"/>
    </row>
    <row r="9" spans="1:10">
      <c r="A9" s="19" t="s">
        <v>178</v>
      </c>
      <c r="B9" s="361">
        <v>492</v>
      </c>
      <c r="C9" s="361">
        <v>498</v>
      </c>
      <c r="D9" s="361">
        <v>391</v>
      </c>
      <c r="E9" s="361"/>
      <c r="F9" s="361">
        <v>533</v>
      </c>
      <c r="G9" s="361">
        <v>503</v>
      </c>
      <c r="H9" s="361">
        <v>650</v>
      </c>
      <c r="I9" s="362"/>
      <c r="J9" s="363">
        <f>SUM(B9:H9)</f>
        <v>3067</v>
      </c>
    </row>
    <row r="10" spans="1:10">
      <c r="A10" s="19"/>
      <c r="B10" s="337"/>
      <c r="C10" s="337"/>
      <c r="D10" s="337"/>
      <c r="E10" s="337"/>
      <c r="F10" s="337"/>
      <c r="G10" s="337"/>
      <c r="H10" s="337"/>
      <c r="I10" s="337"/>
      <c r="J10" s="339"/>
    </row>
    <row r="11" spans="1:10">
      <c r="A11" s="19" t="s">
        <v>253</v>
      </c>
      <c r="B11" s="361">
        <v>450</v>
      </c>
      <c r="C11" s="361">
        <v>440</v>
      </c>
      <c r="D11" s="361">
        <v>355</v>
      </c>
      <c r="E11" s="361"/>
      <c r="F11" s="361">
        <v>500</v>
      </c>
      <c r="G11" s="361">
        <v>465</v>
      </c>
      <c r="H11" s="361">
        <v>600</v>
      </c>
      <c r="I11" s="362"/>
      <c r="J11" s="363">
        <f>SUM(B11:H11)</f>
        <v>2810</v>
      </c>
    </row>
    <row r="12" spans="1:10">
      <c r="A12" s="19" t="s">
        <v>250</v>
      </c>
      <c r="B12" s="343">
        <v>0.95</v>
      </c>
      <c r="C12" s="343">
        <v>0.95</v>
      </c>
      <c r="D12" s="343">
        <v>0.95</v>
      </c>
      <c r="E12" s="337"/>
      <c r="F12" s="343">
        <v>0.95</v>
      </c>
      <c r="G12" s="343">
        <v>0.95</v>
      </c>
      <c r="H12" s="343">
        <v>0.95</v>
      </c>
      <c r="I12" s="338"/>
      <c r="J12" s="344">
        <f>B12</f>
        <v>0.95</v>
      </c>
    </row>
    <row r="13" spans="1:10">
      <c r="A13" s="19" t="s">
        <v>218</v>
      </c>
      <c r="B13" s="361">
        <f>B11*B12</f>
        <v>427.5</v>
      </c>
      <c r="C13" s="361">
        <f>C11*C12</f>
        <v>418</v>
      </c>
      <c r="D13" s="361">
        <f>D11*D12</f>
        <v>337.25</v>
      </c>
      <c r="E13" s="361"/>
      <c r="F13" s="361">
        <f>F11*F12</f>
        <v>475</v>
      </c>
      <c r="G13" s="361">
        <f>G11*G12</f>
        <v>441.75</v>
      </c>
      <c r="H13" s="361">
        <f>H11*H12</f>
        <v>570</v>
      </c>
      <c r="I13" s="362"/>
      <c r="J13" s="363">
        <f>SUM(B13:H13)</f>
        <v>2669.5</v>
      </c>
    </row>
    <row r="14" spans="1:10">
      <c r="A14" s="19"/>
      <c r="B14" s="358"/>
      <c r="C14" s="358"/>
      <c r="D14" s="358"/>
      <c r="E14" s="358"/>
      <c r="F14" s="358"/>
      <c r="G14" s="358"/>
      <c r="H14" s="358"/>
      <c r="I14" s="359"/>
      <c r="J14" s="360"/>
    </row>
    <row r="15" spans="1:10">
      <c r="A15" s="19" t="s">
        <v>252</v>
      </c>
      <c r="B15" s="361">
        <v>450</v>
      </c>
      <c r="C15" s="361">
        <v>440</v>
      </c>
      <c r="D15" s="361">
        <v>355</v>
      </c>
      <c r="E15" s="361"/>
      <c r="F15" s="361">
        <v>500</v>
      </c>
      <c r="G15" s="361">
        <v>465</v>
      </c>
      <c r="H15" s="361">
        <v>600</v>
      </c>
      <c r="I15" s="362"/>
      <c r="J15" s="363">
        <f>SUM(B15:H15)</f>
        <v>2810</v>
      </c>
    </row>
    <row r="16" spans="1:10">
      <c r="A16" s="19" t="s">
        <v>251</v>
      </c>
      <c r="B16" s="343">
        <v>0.75</v>
      </c>
      <c r="C16" s="343">
        <v>0.75</v>
      </c>
      <c r="D16" s="343">
        <v>0.75</v>
      </c>
      <c r="E16" s="337"/>
      <c r="F16" s="343">
        <v>0.75</v>
      </c>
      <c r="G16" s="343">
        <v>0.75</v>
      </c>
      <c r="H16" s="343">
        <v>0.75</v>
      </c>
      <c r="I16" s="338"/>
      <c r="J16" s="344">
        <f>B16</f>
        <v>0.75</v>
      </c>
    </row>
    <row r="17" spans="1:10">
      <c r="A17" s="19" t="s">
        <v>218</v>
      </c>
      <c r="B17" s="361">
        <f>B15*B16</f>
        <v>337.5</v>
      </c>
      <c r="C17" s="361">
        <f>C15*C16</f>
        <v>330</v>
      </c>
      <c r="D17" s="361">
        <f>D15*D16</f>
        <v>266.25</v>
      </c>
      <c r="E17" s="361"/>
      <c r="F17" s="361">
        <f>F15*F16</f>
        <v>375</v>
      </c>
      <c r="G17" s="361">
        <f>G15*G16</f>
        <v>348.75</v>
      </c>
      <c r="H17" s="361">
        <f>H15*H16</f>
        <v>450</v>
      </c>
      <c r="I17" s="362"/>
      <c r="J17" s="363">
        <f>SUM(B17:H17)</f>
        <v>2107.5</v>
      </c>
    </row>
    <row r="18" spans="1:10">
      <c r="A18" s="19"/>
      <c r="B18" s="358"/>
      <c r="C18" s="358"/>
      <c r="D18" s="358"/>
      <c r="E18" s="358"/>
      <c r="F18" s="358"/>
      <c r="G18" s="358"/>
      <c r="H18" s="358"/>
      <c r="I18" s="359"/>
      <c r="J18" s="360"/>
    </row>
    <row r="19" spans="1:10">
      <c r="A19" s="19" t="s">
        <v>254</v>
      </c>
      <c r="B19" s="361">
        <v>510</v>
      </c>
      <c r="C19" s="361">
        <v>535</v>
      </c>
      <c r="D19" s="361">
        <v>455</v>
      </c>
      <c r="E19" s="361"/>
      <c r="F19" s="361">
        <v>555</v>
      </c>
      <c r="G19" s="361">
        <v>525</v>
      </c>
      <c r="H19" s="361">
        <v>690</v>
      </c>
      <c r="I19" s="362"/>
      <c r="J19" s="363">
        <f>SUM(B19:H19)</f>
        <v>3270</v>
      </c>
    </row>
    <row r="20" spans="1:10">
      <c r="A20" s="19" t="s">
        <v>219</v>
      </c>
      <c r="B20" s="343">
        <v>0.75</v>
      </c>
      <c r="C20" s="343">
        <v>0.75</v>
      </c>
      <c r="D20" s="343">
        <v>0.75</v>
      </c>
      <c r="E20" s="345"/>
      <c r="F20" s="343">
        <v>0.75</v>
      </c>
      <c r="G20" s="343">
        <v>0.75</v>
      </c>
      <c r="H20" s="343">
        <v>0.75</v>
      </c>
      <c r="I20" s="338"/>
      <c r="J20" s="344">
        <f>B20</f>
        <v>0.75</v>
      </c>
    </row>
    <row r="21" spans="1:10">
      <c r="A21" s="19" t="s">
        <v>220</v>
      </c>
      <c r="B21" s="361">
        <f>B19*B20</f>
        <v>382.5</v>
      </c>
      <c r="C21" s="361">
        <f>C19*C20</f>
        <v>401.25</v>
      </c>
      <c r="D21" s="361">
        <f>D19*D20</f>
        <v>341.25</v>
      </c>
      <c r="E21" s="361"/>
      <c r="F21" s="361">
        <f>F19*F20</f>
        <v>416.25</v>
      </c>
      <c r="G21" s="361">
        <f>G19*G20</f>
        <v>393.75</v>
      </c>
      <c r="H21" s="361">
        <f>H19*H20</f>
        <v>517.5</v>
      </c>
      <c r="I21" s="362"/>
      <c r="J21" s="363">
        <f>SUM(B21:H21)</f>
        <v>2452.5</v>
      </c>
    </row>
    <row r="22" spans="1:10">
      <c r="A22" s="19"/>
      <c r="B22" s="361"/>
      <c r="C22" s="361"/>
      <c r="D22" s="361"/>
      <c r="E22" s="361"/>
      <c r="F22" s="361"/>
      <c r="G22" s="361"/>
      <c r="H22" s="361"/>
      <c r="I22" s="362"/>
      <c r="J22" s="363"/>
    </row>
    <row r="23" spans="1:10">
      <c r="A23" s="19" t="s">
        <v>221</v>
      </c>
      <c r="B23" s="361">
        <f>(B13*4+B17*3+B21*5)/12</f>
        <v>386.25</v>
      </c>
      <c r="C23" s="361">
        <f>(C13*4+C17*3+C21*5)/12</f>
        <v>389.02083333333331</v>
      </c>
      <c r="D23" s="361">
        <f>(D13*4+D17*3+D21*5)/12</f>
        <v>321.16666666666669</v>
      </c>
      <c r="E23" s="361"/>
      <c r="F23" s="361">
        <f>(F13*4+F17*3+F21*5)/12</f>
        <v>425.52083333333331</v>
      </c>
      <c r="G23" s="361">
        <f>(G13*4+G17*3+G21*5)/12</f>
        <v>398.5</v>
      </c>
      <c r="H23" s="361">
        <f>(H13*4+H17*3+H21*5)/12</f>
        <v>518.125</v>
      </c>
      <c r="I23" s="362"/>
      <c r="J23" s="363">
        <f>SUM(B23:H23)</f>
        <v>2438.583333333333</v>
      </c>
    </row>
    <row r="24" spans="1:10">
      <c r="A24" s="19"/>
      <c r="B24" s="361"/>
      <c r="C24" s="361"/>
      <c r="D24" s="361"/>
      <c r="E24" s="361"/>
      <c r="F24" s="361"/>
      <c r="G24" s="361"/>
      <c r="H24" s="361"/>
      <c r="I24" s="362"/>
      <c r="J24" s="363"/>
    </row>
    <row r="25" spans="1:10">
      <c r="A25" s="19" t="s">
        <v>69</v>
      </c>
      <c r="B25" s="361">
        <v>11800</v>
      </c>
      <c r="C25" s="361">
        <v>12200</v>
      </c>
      <c r="D25" s="361">
        <v>12200</v>
      </c>
      <c r="E25" s="361"/>
      <c r="F25" s="361">
        <v>10600</v>
      </c>
      <c r="G25" s="361">
        <v>11700</v>
      </c>
      <c r="H25" s="361">
        <v>12200</v>
      </c>
      <c r="I25" s="362"/>
      <c r="J25" s="363">
        <f>SUMPRODUCT(B25:H25,$B$23:$H$23)/$J$23</f>
        <v>11775.744113727233</v>
      </c>
    </row>
    <row r="26" spans="1:10">
      <c r="A26" s="19" t="s">
        <v>9</v>
      </c>
      <c r="B26" s="361">
        <v>1365</v>
      </c>
      <c r="C26" s="361">
        <v>1685</v>
      </c>
      <c r="D26" s="361">
        <v>1086</v>
      </c>
      <c r="E26" s="361"/>
      <c r="F26" s="361">
        <v>915</v>
      </c>
      <c r="G26" s="361">
        <v>902</v>
      </c>
      <c r="H26" s="361">
        <v>3250</v>
      </c>
      <c r="I26" s="362"/>
      <c r="J26" s="363">
        <f>SUM(B26:H26)</f>
        <v>9203</v>
      </c>
    </row>
    <row r="27" spans="1:10">
      <c r="A27" s="19" t="s">
        <v>10</v>
      </c>
      <c r="B27" s="361">
        <f>B23*B26</f>
        <v>527231.25</v>
      </c>
      <c r="C27" s="361">
        <f>C23*C26</f>
        <v>655500.10416666663</v>
      </c>
      <c r="D27" s="361">
        <f>D23*D26</f>
        <v>348787</v>
      </c>
      <c r="E27" s="361"/>
      <c r="F27" s="361">
        <f>F23*F26</f>
        <v>389351.5625</v>
      </c>
      <c r="G27" s="361">
        <f>G23*G26</f>
        <v>359447</v>
      </c>
      <c r="H27" s="361">
        <f>H23*H26</f>
        <v>1683906.25</v>
      </c>
      <c r="I27" s="362"/>
      <c r="J27" s="363">
        <f>SUM(B27:H27)</f>
        <v>3964223.1666666665</v>
      </c>
    </row>
    <row r="28" spans="1:10" ht="13.8" thickBot="1">
      <c r="A28" s="215" t="s">
        <v>12</v>
      </c>
      <c r="B28" s="364">
        <v>75</v>
      </c>
      <c r="C28" s="364">
        <v>75</v>
      </c>
      <c r="D28" s="364">
        <v>75</v>
      </c>
      <c r="E28" s="364"/>
      <c r="F28" s="364">
        <v>75</v>
      </c>
      <c r="G28" s="364">
        <v>75</v>
      </c>
      <c r="H28" s="364">
        <v>75</v>
      </c>
      <c r="I28" s="365"/>
      <c r="J28" s="366">
        <v>75</v>
      </c>
    </row>
    <row r="29" spans="1:10">
      <c r="A29" s="11"/>
      <c r="B29" s="348"/>
      <c r="C29" s="337"/>
      <c r="D29" s="337"/>
      <c r="E29" s="337"/>
      <c r="F29" s="348"/>
      <c r="G29" s="348"/>
      <c r="H29" s="348"/>
      <c r="I29" s="338"/>
      <c r="J29" s="348"/>
    </row>
    <row r="30" spans="1:10" ht="13.8" thickBot="1">
      <c r="A30" s="11"/>
      <c r="B30" s="349"/>
      <c r="C30" s="349"/>
      <c r="D30" s="349"/>
      <c r="E30" s="349"/>
      <c r="F30" s="349"/>
      <c r="G30" s="349"/>
      <c r="H30" s="349"/>
      <c r="I30" s="350"/>
      <c r="J30" s="349"/>
    </row>
    <row r="31" spans="1:10" ht="13.8">
      <c r="A31" s="216" t="s">
        <v>179</v>
      </c>
      <c r="B31" s="225" t="s">
        <v>3</v>
      </c>
      <c r="C31" s="225" t="s">
        <v>4</v>
      </c>
      <c r="D31" s="225" t="s">
        <v>5</v>
      </c>
      <c r="E31" s="351"/>
      <c r="F31" s="225" t="s">
        <v>34</v>
      </c>
      <c r="G31" s="225" t="s">
        <v>6</v>
      </c>
      <c r="H31" s="225" t="s">
        <v>7</v>
      </c>
      <c r="I31" s="351"/>
      <c r="J31" s="226"/>
    </row>
    <row r="32" spans="1:10">
      <c r="A32" s="19"/>
      <c r="B32" s="350"/>
      <c r="C32" s="350"/>
      <c r="D32" s="350"/>
      <c r="E32" s="350"/>
      <c r="F32" s="350"/>
      <c r="G32" s="350"/>
      <c r="H32" s="350"/>
      <c r="I32" s="350"/>
      <c r="J32" s="352"/>
    </row>
    <row r="33" spans="1:15">
      <c r="A33" s="19" t="s">
        <v>70</v>
      </c>
      <c r="B33" s="353">
        <v>0.03</v>
      </c>
      <c r="C33" s="353">
        <f>B33</f>
        <v>0.03</v>
      </c>
      <c r="D33" s="353">
        <f>B33</f>
        <v>0.03</v>
      </c>
      <c r="E33" s="353"/>
      <c r="F33" s="353">
        <f>B33</f>
        <v>0.03</v>
      </c>
      <c r="G33" s="353">
        <f>B33</f>
        <v>0.03</v>
      </c>
      <c r="H33" s="353">
        <f>B33</f>
        <v>0.03</v>
      </c>
      <c r="I33" s="353"/>
      <c r="J33" s="354">
        <f>H33</f>
        <v>0.03</v>
      </c>
      <c r="O33" s="12"/>
    </row>
    <row r="34" spans="1:15">
      <c r="A34" s="217"/>
      <c r="B34" s="338"/>
      <c r="C34" s="338"/>
      <c r="D34" s="338"/>
      <c r="E34" s="338"/>
      <c r="F34" s="338"/>
      <c r="G34" s="338"/>
      <c r="H34" s="338"/>
      <c r="I34" s="338"/>
      <c r="J34" s="339"/>
      <c r="L34" s="12"/>
      <c r="N34" s="243"/>
    </row>
    <row r="35" spans="1:15">
      <c r="A35" s="19" t="s">
        <v>72</v>
      </c>
      <c r="B35" s="361">
        <f>'99 Acct Sumry'!C11/1000</f>
        <v>0</v>
      </c>
      <c r="C35" s="361">
        <f>'99 Acct Sumry'!D11/1000</f>
        <v>0</v>
      </c>
      <c r="D35" s="361">
        <f>'99 Acct Sumry'!E11/1000</f>
        <v>0</v>
      </c>
      <c r="E35" s="361"/>
      <c r="F35" s="361">
        <f>'00 Acct Sumry'!C11/1000/7*12</f>
        <v>1448.6417142857144</v>
      </c>
      <c r="G35" s="361">
        <f>'00 Acct Sumry'!D11/1000/7*12</f>
        <v>1580.424</v>
      </c>
      <c r="H35" s="361">
        <f>'00 Acct Sumry'!E11/1000/7*12</f>
        <v>1471.68</v>
      </c>
      <c r="I35" s="362"/>
      <c r="J35" s="363">
        <f>SUMPRODUCT(B35:H35,$B$23:$H$23)/$J$23</f>
        <v>823.73251961765482</v>
      </c>
      <c r="L35" s="12"/>
      <c r="N35" s="243"/>
    </row>
    <row r="36" spans="1:15">
      <c r="A36" s="218" t="s">
        <v>112</v>
      </c>
      <c r="B36" s="361">
        <f>SUMIF('99 Acct Sumry'!$B$15:$B$51,"Fixed",'99 Acct Sumry'!C$15:C$51)/1000</f>
        <v>1563.6314700000003</v>
      </c>
      <c r="C36" s="361">
        <f>SUMIF('99 Acct Sumry'!$B$15:$B$51,"Fixed",'99 Acct Sumry'!D$15:D$51)/1000</f>
        <v>1721.30196</v>
      </c>
      <c r="D36" s="361">
        <f>SUMIF('99 Acct Sumry'!$B$15:$B$51,"Fixed",'99 Acct Sumry'!E$15:E$51)/1000</f>
        <v>1878.0665900000001</v>
      </c>
      <c r="E36" s="361"/>
      <c r="F36" s="361">
        <f>SUMIF('00 Acct Sumry'!$B$15:$B$48,"Fixed",'00 Acct Sumry'!C$15:C$48)/1000/7*12</f>
        <v>1242.4817142857141</v>
      </c>
      <c r="G36" s="361">
        <f>SUMIF('00 Acct Sumry'!$B$15:$B$48,"Fixed",'00 Acct Sumry'!D$15:D$48)/1000/7*12</f>
        <v>1515.7902857142858</v>
      </c>
      <c r="H36" s="361">
        <f>SUMIF('00 Acct Sumry'!$B$15:$B$48,"Fixed",'00 Acct Sumry'!E$15:E$48)/1000/7*12</f>
        <v>1448.5405714285714</v>
      </c>
      <c r="I36" s="362"/>
      <c r="J36" s="363">
        <f t="shared" ref="J36:J42" si="0">SUMPRODUCT(B36:H36,$B$23:$H$23)/$J$23</f>
        <v>1541.8856842700438</v>
      </c>
      <c r="L36" s="12"/>
    </row>
    <row r="37" spans="1:15">
      <c r="A37" s="218" t="s">
        <v>113</v>
      </c>
      <c r="B37" s="361">
        <f>SUMIF('99 Acct Sumry'!$B$15:$B$51,"Variable",'99 Acct Sumry'!C$15:C$51)/1000</f>
        <v>426.36309</v>
      </c>
      <c r="C37" s="361">
        <f>SUMIF('99 Acct Sumry'!$B$15:$B$51,"Variable",'99 Acct Sumry'!D$15:D$51)/1000</f>
        <v>249.32882999999998</v>
      </c>
      <c r="D37" s="361">
        <f>SUMIF('99 Acct Sumry'!$B$15:$B$51,"Variable",'99 Acct Sumry'!E$15:E$51)/1000</f>
        <v>224.73814999999999</v>
      </c>
      <c r="E37" s="361"/>
      <c r="F37" s="361">
        <f>SUMIF('00 Acct Sumry'!$B$15:$B$48,"Variable",'00 Acct Sumry'!C$15:C$48)/1000/7*12</f>
        <v>375.12</v>
      </c>
      <c r="G37" s="361">
        <f>SUMIF('00 Acct Sumry'!$B$15:$B$48,"Variable",'00 Acct Sumry'!D$15:D$48)/1000/7*12</f>
        <v>446.15999999999997</v>
      </c>
      <c r="H37" s="361">
        <f>SUMIF('00 Acct Sumry'!$B$15:$B$48,"Variable",'00 Acct Sumry'!E$15:E$48)/1000/7*12</f>
        <v>528</v>
      </c>
      <c r="I37" s="362"/>
      <c r="J37" s="363">
        <f t="shared" si="0"/>
        <v>387.45503478445482</v>
      </c>
      <c r="L37" s="12"/>
      <c r="N37" s="243"/>
    </row>
    <row r="38" spans="1:15">
      <c r="A38" s="19" t="s">
        <v>16</v>
      </c>
      <c r="B38" s="361">
        <f>'99 Acct Sumry'!C40/1000</f>
        <v>1000</v>
      </c>
      <c r="C38" s="361">
        <f>'99 Acct Sumry'!D40/1000</f>
        <v>1006</v>
      </c>
      <c r="D38" s="361">
        <f>'99 Acct Sumry'!E40/1000</f>
        <v>1000</v>
      </c>
      <c r="E38" s="361"/>
      <c r="F38" s="361">
        <f>'00 Acct Sumry'!C37/1000/7*12</f>
        <v>1028.5714285714284</v>
      </c>
      <c r="G38" s="361">
        <f>'00 Acct Sumry'!D37/1000/7*12</f>
        <v>1028.5714285714284</v>
      </c>
      <c r="H38" s="361">
        <f>'00 Acct Sumry'!E37/1000/7*12</f>
        <v>1028.5714285714284</v>
      </c>
      <c r="I38" s="362"/>
      <c r="J38" s="363">
        <f t="shared" si="0"/>
        <v>1016.682287725602</v>
      </c>
      <c r="L38" s="12"/>
      <c r="M38" s="243"/>
      <c r="N38" s="243"/>
    </row>
    <row r="39" spans="1:15">
      <c r="A39" s="19" t="s">
        <v>96</v>
      </c>
      <c r="B39" s="361">
        <f>'99 Acct Sumry'!C38/1000</f>
        <v>207.01900000000001</v>
      </c>
      <c r="C39" s="361">
        <f>'99 Acct Sumry'!D38/1000</f>
        <v>207.01900000000001</v>
      </c>
      <c r="D39" s="361">
        <f>'99 Acct Sumry'!E38/1000</f>
        <v>207.01900000000001</v>
      </c>
      <c r="E39" s="361"/>
      <c r="F39" s="361">
        <f>'00 Acct Sumry'!C35/1000/7*12</f>
        <v>342.85714285714289</v>
      </c>
      <c r="G39" s="361">
        <f>'00 Acct Sumry'!D35/1000/7*12</f>
        <v>342.85714285714289</v>
      </c>
      <c r="H39" s="361">
        <f>'00 Acct Sumry'!E35/1000/7*12</f>
        <v>342.85714285714289</v>
      </c>
      <c r="I39" s="362"/>
      <c r="J39" s="363">
        <f t="shared" si="0"/>
        <v>281.7815045047135</v>
      </c>
      <c r="L39" s="12"/>
      <c r="M39" s="243"/>
      <c r="N39" s="243"/>
    </row>
    <row r="40" spans="1:15" s="11" customFormat="1">
      <c r="A40" s="19" t="s">
        <v>114</v>
      </c>
      <c r="B40" s="361">
        <f>SUMIF('99 Acct Sumry'!$B$15:$B$51,"Owners",'99 Acct Sumry'!C$15:C$51)/1000</f>
        <v>431.78516666666667</v>
      </c>
      <c r="C40" s="361">
        <f>SUMIF('99 Acct Sumry'!$B$15:$B$51,"Owners",'99 Acct Sumry'!D$15:D$51)/1000</f>
        <v>410.9306666666667</v>
      </c>
      <c r="D40" s="361">
        <f>SUMIF('99 Acct Sumry'!$B$15:$B$51,"Owners",'99 Acct Sumry'!E$15:E$51)/1000</f>
        <v>362.67216666666667</v>
      </c>
      <c r="E40" s="361"/>
      <c r="F40" s="361">
        <f>SUMIF('00 Acct Sumry'!$B$15:$B$48,"Owners",'00 Acct Sumry'!C$15:C$48)/1000/7*12</f>
        <v>322.2511428571429</v>
      </c>
      <c r="G40" s="361">
        <f>SUMIF('00 Acct Sumry'!$B$15:$B$48,"Owners",'00 Acct Sumry'!D$15:D$48)/1000/7*12</f>
        <v>306.26771428571425</v>
      </c>
      <c r="H40" s="361">
        <f>SUMIF('00 Acct Sumry'!$B$15:$B$48,"Owners",'00 Acct Sumry'!E$15:E$48)/1000/7*12</f>
        <v>400.64714285714285</v>
      </c>
      <c r="I40" s="362"/>
      <c r="J40" s="363">
        <f t="shared" si="0"/>
        <v>373.11555825249832</v>
      </c>
      <c r="L40" s="12"/>
    </row>
    <row r="41" spans="1:15" s="11" customFormat="1">
      <c r="A41" s="19" t="s">
        <v>140</v>
      </c>
      <c r="B41" s="361">
        <f>'99 Acct Sumry'!C46/1000</f>
        <v>250</v>
      </c>
      <c r="C41" s="361">
        <f>'99 Acct Sumry'!D46/1000</f>
        <v>591.20000000000005</v>
      </c>
      <c r="D41" s="361">
        <f>'99 Acct Sumry'!E46/1000</f>
        <v>488.8</v>
      </c>
      <c r="E41" s="361"/>
      <c r="F41" s="361">
        <f>'00 Acct Sumry'!C43/1000/7*12</f>
        <v>158.1</v>
      </c>
      <c r="G41" s="361">
        <f>'00 Acct Sumry'!D43/1000/7*12</f>
        <v>174.23485714285715</v>
      </c>
      <c r="H41" s="361">
        <f>'00 Acct Sumry'!E43/1000/7*12</f>
        <v>572.05714285714282</v>
      </c>
      <c r="I41" s="362"/>
      <c r="J41" s="363">
        <f t="shared" si="0"/>
        <v>375.8913678560445</v>
      </c>
      <c r="L41" s="242"/>
      <c r="M41" s="242"/>
      <c r="N41" s="242"/>
    </row>
    <row r="42" spans="1:15" ht="13.8" thickBot="1">
      <c r="A42" s="271" t="s">
        <v>151</v>
      </c>
      <c r="B42" s="367">
        <f>SUM(B35:B41)</f>
        <v>3878.7987266666669</v>
      </c>
      <c r="C42" s="367">
        <f>SUM(C35:C41)</f>
        <v>4185.7804566666673</v>
      </c>
      <c r="D42" s="367">
        <f>SUM(D35:D41)</f>
        <v>4161.2959066666663</v>
      </c>
      <c r="E42" s="367"/>
      <c r="F42" s="367">
        <f>SUM(F35:F41)</f>
        <v>4918.0231428571424</v>
      </c>
      <c r="G42" s="367">
        <f>SUM(G35:G41)</f>
        <v>5394.3054285714288</v>
      </c>
      <c r="H42" s="367">
        <f>SUM(H35:H41)</f>
        <v>5792.3534285714286</v>
      </c>
      <c r="I42" s="368"/>
      <c r="J42" s="369">
        <f t="shared" si="0"/>
        <v>4800.5439570110111</v>
      </c>
      <c r="N42" s="243"/>
    </row>
    <row r="43" spans="1:15" ht="14.4" thickTop="1" thickBot="1">
      <c r="A43" s="215"/>
      <c r="B43" s="346"/>
      <c r="C43" s="346"/>
      <c r="D43" s="346"/>
      <c r="E43" s="355"/>
      <c r="F43" s="346"/>
      <c r="G43" s="346"/>
      <c r="H43" s="346"/>
      <c r="I43" s="355"/>
      <c r="J43" s="347"/>
    </row>
    <row r="44" spans="1:15">
      <c r="B44" s="356"/>
      <c r="C44" s="356"/>
      <c r="D44" s="356"/>
      <c r="E44" s="356"/>
      <c r="F44" s="356"/>
      <c r="G44" s="356"/>
      <c r="H44" s="356"/>
      <c r="I44" s="356"/>
      <c r="J44" s="357"/>
    </row>
    <row r="45" spans="1:15">
      <c r="A45" s="11"/>
      <c r="B45" s="338"/>
      <c r="C45" s="338"/>
      <c r="D45" s="338"/>
      <c r="E45" s="338"/>
      <c r="F45" s="338"/>
      <c r="G45" s="338"/>
      <c r="H45" s="338"/>
      <c r="I45" s="350"/>
      <c r="J45" s="349"/>
    </row>
    <row r="46" spans="1:15">
      <c r="A46" s="11"/>
      <c r="B46" s="350"/>
      <c r="C46" s="350"/>
      <c r="D46" s="350"/>
      <c r="E46" s="350"/>
      <c r="F46" s="350"/>
      <c r="G46" s="350"/>
      <c r="H46" s="350"/>
      <c r="I46" s="350"/>
      <c r="J46" s="349"/>
    </row>
    <row r="47" spans="1:15">
      <c r="A47" s="11"/>
      <c r="B47" s="350"/>
      <c r="C47" s="350"/>
      <c r="D47" s="350"/>
      <c r="E47" s="350"/>
      <c r="F47" s="350"/>
      <c r="G47" s="350"/>
      <c r="H47" s="350"/>
      <c r="I47" s="350"/>
      <c r="J47" s="349"/>
    </row>
    <row r="48" spans="1:15">
      <c r="A48" s="11"/>
      <c r="B48" s="350"/>
      <c r="C48" s="350"/>
      <c r="D48" s="350"/>
      <c r="E48" s="350"/>
      <c r="F48" s="350"/>
      <c r="G48" s="350"/>
      <c r="H48" s="350"/>
      <c r="I48" s="350"/>
      <c r="J48" s="349"/>
    </row>
    <row r="49" spans="1:10">
      <c r="B49" s="356"/>
      <c r="C49" s="356"/>
      <c r="D49" s="356"/>
      <c r="E49" s="356"/>
      <c r="F49" s="356"/>
      <c r="G49" s="356"/>
      <c r="H49" s="356"/>
      <c r="I49" s="356"/>
      <c r="J49" s="357"/>
    </row>
    <row r="50" spans="1:10">
      <c r="A50" s="11"/>
      <c r="B50" s="350"/>
      <c r="C50" s="350"/>
      <c r="D50" s="350"/>
      <c r="E50" s="350"/>
      <c r="F50" s="350"/>
      <c r="G50" s="350"/>
      <c r="H50" s="350"/>
      <c r="I50" s="350"/>
      <c r="J50" s="349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5" right="0.5" top="0.75" bottom="0.75" header="0.17" footer="0.21"/>
  <pageSetup scale="74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AW760"/>
  <sheetViews>
    <sheetView zoomScale="75" zoomScaleNormal="75" workbookViewId="0"/>
  </sheetViews>
  <sheetFormatPr defaultColWidth="9.109375" defaultRowHeight="13.2"/>
  <cols>
    <col min="1" max="1" width="87.554687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49" ht="20.399999999999999">
      <c r="A2" s="14" t="s">
        <v>153</v>
      </c>
    </row>
    <row r="4" spans="1:49">
      <c r="A4" s="1" t="s">
        <v>138</v>
      </c>
    </row>
    <row r="5" spans="1:49">
      <c r="A5" s="1"/>
      <c r="B5" s="15"/>
      <c r="C5" s="15"/>
      <c r="D5" s="15"/>
      <c r="E5" s="408"/>
      <c r="F5" s="413"/>
      <c r="G5" s="301" t="s">
        <v>61</v>
      </c>
    </row>
    <row r="6" spans="1:49" ht="13.8" thickBot="1">
      <c r="A6" s="5"/>
      <c r="B6" s="273">
        <v>36556</v>
      </c>
      <c r="C6" s="273">
        <v>36585</v>
      </c>
      <c r="D6" s="273">
        <v>36616</v>
      </c>
      <c r="E6" s="273">
        <v>36646</v>
      </c>
      <c r="F6" s="273">
        <v>36677</v>
      </c>
      <c r="G6" s="302">
        <v>36693</v>
      </c>
      <c r="H6" s="157">
        <v>36707</v>
      </c>
      <c r="I6" s="157">
        <v>36738</v>
      </c>
      <c r="J6" s="157">
        <v>36769</v>
      </c>
      <c r="K6" s="157">
        <v>36799</v>
      </c>
      <c r="L6" s="157">
        <v>36830</v>
      </c>
      <c r="M6" s="157">
        <v>36860</v>
      </c>
      <c r="N6" s="157">
        <v>36891</v>
      </c>
      <c r="O6" s="157">
        <v>36922</v>
      </c>
      <c r="P6" s="157">
        <v>36950</v>
      </c>
      <c r="Q6" s="157">
        <v>36981</v>
      </c>
      <c r="R6" s="157">
        <v>37011</v>
      </c>
      <c r="S6" s="157">
        <v>37042</v>
      </c>
      <c r="T6" s="157">
        <v>37072</v>
      </c>
      <c r="U6" s="157">
        <v>37103</v>
      </c>
      <c r="V6" s="157">
        <v>37134</v>
      </c>
      <c r="W6" s="157">
        <v>37164</v>
      </c>
      <c r="X6" s="157">
        <v>37195</v>
      </c>
      <c r="Y6" s="157">
        <v>37225</v>
      </c>
      <c r="Z6" s="157">
        <v>37256</v>
      </c>
      <c r="AA6" s="157">
        <v>37287</v>
      </c>
      <c r="AB6" s="157">
        <v>37315</v>
      </c>
      <c r="AC6" s="157">
        <v>37346</v>
      </c>
      <c r="AD6" s="157">
        <v>37376</v>
      </c>
      <c r="AE6" s="157">
        <v>37407</v>
      </c>
      <c r="AF6" s="157">
        <v>37437</v>
      </c>
      <c r="AG6" s="157">
        <v>37468</v>
      </c>
      <c r="AH6" s="157">
        <v>37499</v>
      </c>
      <c r="AI6" s="157">
        <v>37529</v>
      </c>
      <c r="AJ6" s="157">
        <v>37560</v>
      </c>
      <c r="AK6" s="157">
        <v>37590</v>
      </c>
      <c r="AL6" s="157">
        <v>37621</v>
      </c>
    </row>
    <row r="7" spans="1:49">
      <c r="A7" s="2"/>
      <c r="B7" s="274">
        <f>YEAR(B6)</f>
        <v>2000</v>
      </c>
      <c r="C7" s="274">
        <f t="shared" ref="C7:AL7" si="0">YEAR(C6)</f>
        <v>2000</v>
      </c>
      <c r="D7" s="274">
        <f t="shared" si="0"/>
        <v>2000</v>
      </c>
      <c r="E7" s="274">
        <f t="shared" si="0"/>
        <v>2000</v>
      </c>
      <c r="F7" s="274">
        <f t="shared" si="0"/>
        <v>2000</v>
      </c>
      <c r="G7" s="303">
        <f t="shared" si="0"/>
        <v>2000</v>
      </c>
      <c r="H7" s="29">
        <f t="shared" si="0"/>
        <v>2000</v>
      </c>
      <c r="I7" s="29">
        <f t="shared" si="0"/>
        <v>2000</v>
      </c>
      <c r="J7" s="29">
        <f t="shared" si="0"/>
        <v>2000</v>
      </c>
      <c r="K7" s="29">
        <f t="shared" si="0"/>
        <v>2000</v>
      </c>
      <c r="L7" s="29">
        <f t="shared" si="0"/>
        <v>2000</v>
      </c>
      <c r="M7" s="29">
        <f t="shared" si="0"/>
        <v>2000</v>
      </c>
      <c r="N7" s="29">
        <f t="shared" si="0"/>
        <v>2000</v>
      </c>
      <c r="O7" s="29">
        <f t="shared" si="0"/>
        <v>2001</v>
      </c>
      <c r="P7" s="29">
        <f t="shared" si="0"/>
        <v>2001</v>
      </c>
      <c r="Q7" s="29">
        <f t="shared" si="0"/>
        <v>2001</v>
      </c>
      <c r="R7" s="29">
        <f t="shared" si="0"/>
        <v>2001</v>
      </c>
      <c r="S7" s="29">
        <f t="shared" si="0"/>
        <v>2001</v>
      </c>
      <c r="T7" s="29">
        <f t="shared" si="0"/>
        <v>2001</v>
      </c>
      <c r="U7" s="29">
        <f t="shared" si="0"/>
        <v>2001</v>
      </c>
      <c r="V7" s="29">
        <f t="shared" si="0"/>
        <v>2001</v>
      </c>
      <c r="W7" s="29">
        <f t="shared" si="0"/>
        <v>2001</v>
      </c>
      <c r="X7" s="29">
        <f t="shared" si="0"/>
        <v>2001</v>
      </c>
      <c r="Y7" s="29">
        <f t="shared" si="0"/>
        <v>2001</v>
      </c>
      <c r="Z7" s="29">
        <f t="shared" si="0"/>
        <v>2001</v>
      </c>
      <c r="AA7" s="29">
        <f t="shared" si="0"/>
        <v>2002</v>
      </c>
      <c r="AB7" s="29">
        <f t="shared" si="0"/>
        <v>2002</v>
      </c>
      <c r="AC7" s="29">
        <f t="shared" si="0"/>
        <v>2002</v>
      </c>
      <c r="AD7" s="29">
        <f t="shared" si="0"/>
        <v>2002</v>
      </c>
      <c r="AE7" s="29">
        <f t="shared" si="0"/>
        <v>2002</v>
      </c>
      <c r="AF7" s="29">
        <f t="shared" si="0"/>
        <v>2002</v>
      </c>
      <c r="AG7" s="29">
        <f t="shared" si="0"/>
        <v>2002</v>
      </c>
      <c r="AH7" s="29">
        <f t="shared" si="0"/>
        <v>2002</v>
      </c>
      <c r="AI7" s="29">
        <f t="shared" si="0"/>
        <v>2002</v>
      </c>
      <c r="AJ7" s="29">
        <f t="shared" si="0"/>
        <v>2002</v>
      </c>
      <c r="AK7" s="29">
        <f t="shared" si="0"/>
        <v>2002</v>
      </c>
      <c r="AL7" s="29">
        <f t="shared" si="0"/>
        <v>2002</v>
      </c>
    </row>
    <row r="8" spans="1:49">
      <c r="A8" s="2"/>
      <c r="B8" s="275"/>
      <c r="C8" s="275"/>
      <c r="D8" s="275"/>
      <c r="E8" s="275"/>
      <c r="F8" s="413"/>
      <c r="G8" s="406"/>
    </row>
    <row r="9" spans="1:49">
      <c r="A9" s="2" t="s">
        <v>295</v>
      </c>
      <c r="B9" s="275"/>
      <c r="C9" s="275"/>
      <c r="D9" s="275"/>
      <c r="E9" s="409"/>
      <c r="F9" s="409">
        <f>[5]Data!E5</f>
        <v>6.1796275602595999E-2</v>
      </c>
      <c r="G9" s="304">
        <f>[5]Data!F5</f>
        <v>6.7147564725519998E-2</v>
      </c>
      <c r="H9" s="197">
        <f>[5]Data!G5</f>
        <v>6.7805202725192498E-2</v>
      </c>
      <c r="I9" s="197">
        <f>[5]Data!H5</f>
        <v>6.8425734386241596E-2</v>
      </c>
      <c r="J9" s="197">
        <f>[5]Data!I5</f>
        <v>6.8878419183110703E-2</v>
      </c>
      <c r="K9" s="197">
        <f>[5]Data!J5</f>
        <v>6.9198067113662706E-2</v>
      </c>
      <c r="L9" s="197">
        <f>[5]Data!K5</f>
        <v>6.9472409023753304E-2</v>
      </c>
      <c r="M9" s="197">
        <f>[5]Data!L5</f>
        <v>6.9737901218510007E-2</v>
      </c>
      <c r="N9" s="197">
        <f>[5]Data!M5</f>
        <v>7.0009307791214101E-2</v>
      </c>
      <c r="O9" s="197">
        <f>[5]Data!N5</f>
        <v>7.0276066692785299E-2</v>
      </c>
      <c r="P9" s="197">
        <f>[5]Data!O5</f>
        <v>7.0517010237006503E-2</v>
      </c>
      <c r="Q9" s="197">
        <f>[5]Data!P5</f>
        <v>7.0728988630152798E-2</v>
      </c>
      <c r="R9" s="197">
        <f>[5]Data!Q5</f>
        <v>7.0841279896371595E-2</v>
      </c>
      <c r="S9" s="197">
        <f>[5]Data!R5</f>
        <v>7.0957314209176003E-2</v>
      </c>
      <c r="T9" s="197">
        <f>[5]Data!S5</f>
        <v>7.1055981107652294E-2</v>
      </c>
      <c r="U9" s="197">
        <f>[5]Data!T5</f>
        <v>7.1132270935510902E-2</v>
      </c>
      <c r="V9" s="197">
        <f>[5]Data!U5</f>
        <v>7.1208560765292805E-2</v>
      </c>
      <c r="W9" s="197">
        <f>[5]Data!V5</f>
        <v>7.1271576944511597E-2</v>
      </c>
      <c r="X9" s="197">
        <f>[5]Data!W5</f>
        <v>7.1318966406647796E-2</v>
      </c>
      <c r="Y9" s="197">
        <f>[5]Data!X5</f>
        <v>7.1364827177163595E-2</v>
      </c>
      <c r="Z9" s="197">
        <f>[5]Data!Y5</f>
        <v>7.1412442295680098E-2</v>
      </c>
      <c r="AA9" s="197">
        <f>[5]Data!Z5</f>
        <v>7.1460369860224804E-2</v>
      </c>
      <c r="AB9" s="197">
        <f>[5]Data!AA5</f>
        <v>7.1503659274013906E-2</v>
      </c>
      <c r="AC9" s="197">
        <f>[5]Data!AB5</f>
        <v>7.1533790755287097E-2</v>
      </c>
      <c r="AD9" s="197">
        <f>[5]Data!AC5</f>
        <v>7.1536784352031396E-2</v>
      </c>
      <c r="AE9" s="197">
        <f>[5]Data!AD5</f>
        <v>7.1539877735336904E-2</v>
      </c>
      <c r="AF9" s="197">
        <f>[5]Data!AE5</f>
        <v>7.1541312795681197E-2</v>
      </c>
      <c r="AG9" s="197">
        <f>[5]Data!AF5</f>
        <v>7.1540229527408405E-2</v>
      </c>
      <c r="AH9" s="197">
        <f>[5]Data!AG5</f>
        <v>7.1539146259135905E-2</v>
      </c>
      <c r="AI9" s="197">
        <f>[5]Data!AH5</f>
        <v>7.1535425122319501E-2</v>
      </c>
      <c r="AJ9" s="197">
        <f>[5]Data!AI5</f>
        <v>7.1527742256222396E-2</v>
      </c>
      <c r="AK9" s="197">
        <f>[5]Data!AJ5</f>
        <v>7.1520307224534299E-2</v>
      </c>
      <c r="AL9" s="197">
        <f>[5]Data!AK5</f>
        <v>7.1516810728903896E-2</v>
      </c>
    </row>
    <row r="10" spans="1:49">
      <c r="A10" s="2"/>
      <c r="B10" s="275"/>
      <c r="C10" s="275"/>
      <c r="D10" s="275"/>
      <c r="E10" s="275"/>
      <c r="F10" s="413"/>
      <c r="G10" s="406"/>
    </row>
    <row r="11" spans="1:49">
      <c r="A11" s="2" t="s">
        <v>167</v>
      </c>
      <c r="B11" s="275"/>
      <c r="C11" s="275"/>
      <c r="D11" s="275"/>
      <c r="E11" s="275"/>
      <c r="F11" s="413"/>
      <c r="G11" s="406"/>
    </row>
    <row r="12" spans="1:49">
      <c r="A12" s="5" t="s">
        <v>3</v>
      </c>
      <c r="B12" s="276">
        <f>[4]Sheet1!B39/1000</f>
        <v>119.526</v>
      </c>
      <c r="C12" s="276">
        <f>[4]Sheet1!C39/1000</f>
        <v>73.677000000000007</v>
      </c>
      <c r="D12" s="276">
        <f>[4]Sheet1!D39/1000</f>
        <v>-30.044</v>
      </c>
      <c r="E12" s="276">
        <f>[4]Sheet1!$E$39/1000</f>
        <v>-34.523000000000003</v>
      </c>
      <c r="F12" s="276">
        <f>[4]Sheet1!F39/1000</f>
        <v>1835.1859999999999</v>
      </c>
      <c r="G12" s="305">
        <f>[4]Sheet1!G39/1000</f>
        <v>3.19627959999998</v>
      </c>
      <c r="H12" s="198">
        <f>[4]Sheet1!H39/1000</f>
        <v>2067.3197981064568</v>
      </c>
      <c r="I12" s="198">
        <f>[4]Sheet1!I39/1000</f>
        <v>23617.451856032269</v>
      </c>
      <c r="J12" s="198">
        <f>[4]Sheet1!J39/1000</f>
        <v>20285.339438500003</v>
      </c>
      <c r="K12" s="198">
        <f>[4]Sheet1!K39/1000</f>
        <v>859.32405840443312</v>
      </c>
      <c r="L12" s="198">
        <f>[4]Sheet1!L39/1000</f>
        <v>34.277529908420505</v>
      </c>
      <c r="M12" s="198">
        <f>[4]Sheet1!M39/1000</f>
        <v>22.643266532775005</v>
      </c>
      <c r="N12" s="198">
        <f>[4]Sheet1!N39/1000</f>
        <v>36.616439692596906</v>
      </c>
      <c r="O12" s="198">
        <f>[4]Sheet1!B75/1000</f>
        <v>129.25607745329302</v>
      </c>
      <c r="P12" s="198">
        <f>[4]Sheet1!C75/1000</f>
        <v>134.79734492316899</v>
      </c>
      <c r="Q12" s="198">
        <f>[4]Sheet1!D75/1000</f>
        <v>18.055661664777499</v>
      </c>
      <c r="R12" s="198">
        <f>[4]Sheet1!E75/1000</f>
        <v>47.379689484864009</v>
      </c>
      <c r="S12" s="198">
        <f>[4]Sheet1!F75/1000</f>
        <v>413.35666374859306</v>
      </c>
      <c r="T12" s="198">
        <f>[4]Sheet1!G75/1000</f>
        <v>4347.1436188449998</v>
      </c>
      <c r="U12" s="198">
        <f>[4]Sheet1!H75/1000</f>
        <v>12824.357126715502</v>
      </c>
      <c r="V12" s="198">
        <f>[4]Sheet1!I75/1000</f>
        <v>13780.5740896479</v>
      </c>
      <c r="W12" s="198">
        <f>[4]Sheet1!J75/1000</f>
        <v>745.70496285634101</v>
      </c>
      <c r="X12" s="198">
        <f>[4]Sheet1!K75/1000</f>
        <v>63.179788235184503</v>
      </c>
      <c r="Y12" s="198">
        <f>[4]Sheet1!L75/1000</f>
        <v>42.436080323448202</v>
      </c>
      <c r="Z12" s="198">
        <f>[4]Sheet1!M75/1000</f>
        <v>54.904824083640108</v>
      </c>
      <c r="AA12" s="198">
        <f>[4]Sheet1!B106/1000</f>
        <v>142.879201526293</v>
      </c>
      <c r="AB12" s="198">
        <f>[4]Sheet1!C106/1000</f>
        <v>141.09730138410302</v>
      </c>
      <c r="AC12" s="198">
        <f>[4]Sheet1!D106/1000</f>
        <v>22.348951707356704</v>
      </c>
      <c r="AD12" s="198">
        <f>[4]Sheet1!E106/1000</f>
        <v>63.776100283302107</v>
      </c>
      <c r="AE12" s="198">
        <f>[4]Sheet1!F106/1000</f>
        <v>349.32558140350301</v>
      </c>
      <c r="AF12" s="198">
        <f>[4]Sheet1!G106/1000</f>
        <v>2825.5359295906601</v>
      </c>
      <c r="AG12" s="198">
        <f>[4]Sheet1!H106/1000</f>
        <v>9009.7750237340315</v>
      </c>
      <c r="AH12" s="198">
        <f>[4]Sheet1!I106/1000</f>
        <v>8961.3230048140103</v>
      </c>
      <c r="AI12" s="198">
        <f>[4]Sheet1!J106/1000</f>
        <v>855.27762709634305</v>
      </c>
      <c r="AJ12" s="198">
        <f>[4]Sheet1!K106/1000</f>
        <v>127.04368513614202</v>
      </c>
      <c r="AK12" s="198">
        <f>[4]Sheet1!L106/1000</f>
        <v>79.775152265937209</v>
      </c>
      <c r="AL12" s="198">
        <f>[4]Sheet1!M106/1000</f>
        <v>102.85034230218001</v>
      </c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49">
      <c r="A13" s="5" t="s">
        <v>4</v>
      </c>
      <c r="B13" s="276">
        <f>[4]Sheet1!B38/1000</f>
        <v>213.762</v>
      </c>
      <c r="C13" s="276">
        <f>[4]Sheet1!C38/1000</f>
        <v>140.60599999999999</v>
      </c>
      <c r="D13" s="276">
        <f>[4]Sheet1!D38/1000</f>
        <v>-308.827</v>
      </c>
      <c r="E13" s="276">
        <f>[4]Sheet1!E38/1000</f>
        <v>-3.246</v>
      </c>
      <c r="F13" s="276">
        <f>[4]Sheet1!F38/1000</f>
        <v>3390.3020000000001</v>
      </c>
      <c r="G13" s="305">
        <f>[4]Sheet1!G38/1000</f>
        <v>500.09305150000006</v>
      </c>
      <c r="H13" s="198">
        <f>[4]Sheet1!H38/1000</f>
        <v>1914.5548233097345</v>
      </c>
      <c r="I13" s="198">
        <f>[4]Sheet1!I38/1000</f>
        <v>24767.767154646244</v>
      </c>
      <c r="J13" s="198">
        <f>[4]Sheet1!J38/1000</f>
        <v>19567.469932419001</v>
      </c>
      <c r="K13" s="198">
        <f>[4]Sheet1!K38/1000</f>
        <v>777.57895266265007</v>
      </c>
      <c r="L13" s="198">
        <f>[4]Sheet1!L38/1000</f>
        <v>25.9812972853308</v>
      </c>
      <c r="M13" s="198">
        <f>[4]Sheet1!M38/1000</f>
        <v>18.043456388305003</v>
      </c>
      <c r="N13" s="198">
        <f>[4]Sheet1!N38/1000</f>
        <v>30.634027487749805</v>
      </c>
      <c r="O13" s="198">
        <f>[4]Sheet1!B74/1000</f>
        <v>114.65626069911602</v>
      </c>
      <c r="P13" s="198">
        <f>[4]Sheet1!C74/1000</f>
        <v>119.99878102003802</v>
      </c>
      <c r="Q13" s="198">
        <f>[4]Sheet1!D74/1000</f>
        <v>14.004492526028402</v>
      </c>
      <c r="R13" s="198">
        <f>[4]Sheet1!E74/1000</f>
        <v>40.111001066035307</v>
      </c>
      <c r="S13" s="198">
        <f>[4]Sheet1!F74/1000</f>
        <v>373.77541525151503</v>
      </c>
      <c r="T13" s="198">
        <f>[4]Sheet1!G74/1000</f>
        <v>4122.5511804829002</v>
      </c>
      <c r="U13" s="198">
        <f>[4]Sheet1!H74/1000</f>
        <v>12358.360589715001</v>
      </c>
      <c r="V13" s="198">
        <f>[4]Sheet1!I74/1000</f>
        <v>13268.902017115401</v>
      </c>
      <c r="W13" s="198">
        <f>[4]Sheet1!J74/1000</f>
        <v>683.07894320594005</v>
      </c>
      <c r="X13" s="198">
        <f>[4]Sheet1!K74/1000</f>
        <v>51.017711374455011</v>
      </c>
      <c r="Y13" s="198">
        <f>[4]Sheet1!L74/1000</f>
        <v>35.144633280962708</v>
      </c>
      <c r="Z13" s="198">
        <f>[4]Sheet1!M74/1000</f>
        <v>47.037662011091207</v>
      </c>
      <c r="AA13" s="198">
        <f>[4]Sheet1!B105/1000</f>
        <v>128.25300331183701</v>
      </c>
      <c r="AB13" s="198">
        <f>[4]Sheet1!C105/1000</f>
        <v>126.96796340356401</v>
      </c>
      <c r="AC13" s="198">
        <f>[4]Sheet1!D105/1000</f>
        <v>17.791480619264004</v>
      </c>
      <c r="AD13" s="198">
        <f>[4]Sheet1!E105/1000</f>
        <v>55.2541084672228</v>
      </c>
      <c r="AE13" s="198">
        <f>[4]Sheet1!F105/1000</f>
        <v>321.45302410620405</v>
      </c>
      <c r="AF13" s="198">
        <f>[4]Sheet1!G105/1000</f>
        <v>2686.3376159454201</v>
      </c>
      <c r="AG13" s="198">
        <f>[4]Sheet1!H105/1000</f>
        <v>8676.9926802740811</v>
      </c>
      <c r="AH13" s="198">
        <f>[4]Sheet1!I105/1000</f>
        <v>8626.4845621649602</v>
      </c>
      <c r="AI13" s="198">
        <f>[4]Sheet1!J105/1000</f>
        <v>797.93126161380701</v>
      </c>
      <c r="AJ13" s="198">
        <f>[4]Sheet1!K105/1000</f>
        <v>109.99513027355501</v>
      </c>
      <c r="AK13" s="198">
        <f>[4]Sheet1!L105/1000</f>
        <v>68.806385681061201</v>
      </c>
      <c r="AL13" s="198">
        <f>[4]Sheet1!M105/1000</f>
        <v>91.014762390315312</v>
      </c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>
      <c r="A14" s="5" t="s">
        <v>5</v>
      </c>
      <c r="B14" s="276">
        <f>[4]Sheet1!B40/1000</f>
        <v>-12.977</v>
      </c>
      <c r="C14" s="276">
        <f>[4]Sheet1!C40/1000</f>
        <v>7.0039999999999996</v>
      </c>
      <c r="D14" s="276">
        <f>[4]Sheet1!D40/1000</f>
        <v>-1.605</v>
      </c>
      <c r="E14" s="276">
        <f>[4]Sheet1!E40/1000</f>
        <v>-108.792</v>
      </c>
      <c r="F14" s="276">
        <f>[4]Sheet1!F40/1000</f>
        <v>694.96900000000005</v>
      </c>
      <c r="G14" s="305">
        <f>[4]Sheet1!G40/1000</f>
        <v>66.423399999999987</v>
      </c>
      <c r="H14" s="198">
        <f>[4]Sheet1!H40/1000</f>
        <v>1450.7711852697601</v>
      </c>
      <c r="I14" s="198">
        <f>[4]Sheet1!I40/1000</f>
        <v>19794.089792940769</v>
      </c>
      <c r="J14" s="198">
        <f>[4]Sheet1!J40/1000</f>
        <v>15539.823879368201</v>
      </c>
      <c r="K14" s="198">
        <f>[4]Sheet1!K40/1000</f>
        <v>565.52335599566595</v>
      </c>
      <c r="L14" s="198">
        <f>[4]Sheet1!L40/1000</f>
        <v>17.955693686979799</v>
      </c>
      <c r="M14" s="198">
        <f>[4]Sheet1!M40/1000</f>
        <v>14.992311608953001</v>
      </c>
      <c r="N14" s="198">
        <f>[4]Sheet1!N40/1000</f>
        <v>26.303503264588002</v>
      </c>
      <c r="O14" s="198">
        <f>[4]Sheet1!B76/1000</f>
        <v>102.80877818723401</v>
      </c>
      <c r="P14" s="198">
        <f>[4]Sheet1!C76/1000</f>
        <v>108.45142840553902</v>
      </c>
      <c r="Q14" s="198">
        <f>[4]Sheet1!D76/1000</f>
        <v>11.9880181922325</v>
      </c>
      <c r="R14" s="198">
        <f>[4]Sheet1!E76/1000</f>
        <v>29.670720351275204</v>
      </c>
      <c r="S14" s="198">
        <f>[4]Sheet1!F76/1000</f>
        <v>320.98212555154203</v>
      </c>
      <c r="T14" s="198">
        <f>[4]Sheet1!G76/1000</f>
        <v>3183.6413483427204</v>
      </c>
      <c r="U14" s="198">
        <f>[4]Sheet1!H76/1000</f>
        <v>9755.72442391812</v>
      </c>
      <c r="V14" s="198">
        <f>[4]Sheet1!I76/1000</f>
        <v>10477.9718339639</v>
      </c>
      <c r="W14" s="198">
        <f>[4]Sheet1!J76/1000</f>
        <v>502.31034373733803</v>
      </c>
      <c r="X14" s="198">
        <f>[4]Sheet1!K76/1000</f>
        <v>37.545999255666601</v>
      </c>
      <c r="Y14" s="198">
        <f>[4]Sheet1!L76/1000</f>
        <v>30.796857929060305</v>
      </c>
      <c r="Z14" s="198">
        <f>[4]Sheet1!M76/1000</f>
        <v>41.796331601393504</v>
      </c>
      <c r="AA14" s="198">
        <f>[4]Sheet1!B107/1000</f>
        <v>117.18958458812301</v>
      </c>
      <c r="AB14" s="198">
        <f>[4]Sheet1!C107/1000</f>
        <v>116.53098560805402</v>
      </c>
      <c r="AC14" s="198">
        <f>[4]Sheet1!D107/1000</f>
        <v>15.537094620032502</v>
      </c>
      <c r="AD14" s="198">
        <f>[4]Sheet1!E107/1000</f>
        <v>42.429175120064308</v>
      </c>
      <c r="AE14" s="198">
        <f>[4]Sheet1!F107/1000</f>
        <v>280.76243460473603</v>
      </c>
      <c r="AF14" s="198">
        <f>[4]Sheet1!G107/1000</f>
        <v>2076.0456664924204</v>
      </c>
      <c r="AG14" s="198">
        <f>[4]Sheet1!H107/1000</f>
        <v>6841.7691478593506</v>
      </c>
      <c r="AH14" s="198">
        <f>[4]Sheet1!I107/1000</f>
        <v>6801.3867454979008</v>
      </c>
      <c r="AI14" s="198">
        <f>[4]Sheet1!J107/1000</f>
        <v>599.45249922700009</v>
      </c>
      <c r="AJ14" s="198">
        <f>[4]Sheet1!K107/1000</f>
        <v>87.583306361681409</v>
      </c>
      <c r="AK14" s="198">
        <f>[4]Sheet1!L107/1000</f>
        <v>62.214982955532903</v>
      </c>
      <c r="AL14" s="198">
        <f>[4]Sheet1!M107/1000</f>
        <v>83.066543416866011</v>
      </c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>
      <c r="A15" s="223" t="s">
        <v>127</v>
      </c>
      <c r="B15" s="306">
        <f t="shared" ref="B15:AL15" si="1">SUM(B12:B14)</f>
        <v>320.31100000000004</v>
      </c>
      <c r="C15" s="306">
        <f t="shared" si="1"/>
        <v>221.28700000000001</v>
      </c>
      <c r="D15" s="306">
        <f t="shared" si="1"/>
        <v>-340.476</v>
      </c>
      <c r="E15" s="306">
        <f t="shared" si="1"/>
        <v>-146.56100000000001</v>
      </c>
      <c r="F15" s="306">
        <f t="shared" si="1"/>
        <v>5920.4570000000003</v>
      </c>
      <c r="G15" s="307">
        <f t="shared" si="1"/>
        <v>569.71273110000004</v>
      </c>
      <c r="H15" s="308">
        <f t="shared" si="1"/>
        <v>5432.6458066859514</v>
      </c>
      <c r="I15" s="308">
        <f t="shared" si="1"/>
        <v>68179.308803619278</v>
      </c>
      <c r="J15" s="308">
        <f t="shared" si="1"/>
        <v>55392.633250287203</v>
      </c>
      <c r="K15" s="308">
        <f t="shared" si="1"/>
        <v>2202.4263670627493</v>
      </c>
      <c r="L15" s="308">
        <f t="shared" si="1"/>
        <v>78.214520880731101</v>
      </c>
      <c r="M15" s="308">
        <f t="shared" si="1"/>
        <v>55.679034530033007</v>
      </c>
      <c r="N15" s="308">
        <f t="shared" si="1"/>
        <v>93.553970444934706</v>
      </c>
      <c r="O15" s="308">
        <f t="shared" si="1"/>
        <v>346.72111633964306</v>
      </c>
      <c r="P15" s="308">
        <f t="shared" si="1"/>
        <v>363.24755434874601</v>
      </c>
      <c r="Q15" s="308">
        <f t="shared" si="1"/>
        <v>44.048172383038406</v>
      </c>
      <c r="R15" s="308">
        <f t="shared" si="1"/>
        <v>117.16141090217452</v>
      </c>
      <c r="S15" s="308">
        <f t="shared" si="1"/>
        <v>1108.1142045516501</v>
      </c>
      <c r="T15" s="308">
        <f t="shared" si="1"/>
        <v>11653.33614767062</v>
      </c>
      <c r="U15" s="308">
        <f t="shared" si="1"/>
        <v>34938.442140348619</v>
      </c>
      <c r="V15" s="308">
        <f t="shared" si="1"/>
        <v>37527.447940727201</v>
      </c>
      <c r="W15" s="308">
        <f t="shared" si="1"/>
        <v>1931.0942497996189</v>
      </c>
      <c r="X15" s="308">
        <f t="shared" si="1"/>
        <v>151.74349886530612</v>
      </c>
      <c r="Y15" s="308">
        <f t="shared" si="1"/>
        <v>108.37757153347121</v>
      </c>
      <c r="Z15" s="308">
        <f t="shared" si="1"/>
        <v>143.73881769612484</v>
      </c>
      <c r="AA15" s="308">
        <f t="shared" si="1"/>
        <v>388.32178942625302</v>
      </c>
      <c r="AB15" s="308">
        <f t="shared" si="1"/>
        <v>384.59625039572109</v>
      </c>
      <c r="AC15" s="308">
        <f t="shared" si="1"/>
        <v>55.677526946653217</v>
      </c>
      <c r="AD15" s="308">
        <f t="shared" si="1"/>
        <v>161.45938387058922</v>
      </c>
      <c r="AE15" s="308">
        <f t="shared" si="1"/>
        <v>951.54104011444315</v>
      </c>
      <c r="AF15" s="308">
        <f t="shared" si="1"/>
        <v>7587.9192120285006</v>
      </c>
      <c r="AG15" s="308">
        <f t="shared" si="1"/>
        <v>24528.536851867462</v>
      </c>
      <c r="AH15" s="308">
        <f t="shared" si="1"/>
        <v>24389.19431247687</v>
      </c>
      <c r="AI15" s="308">
        <f t="shared" si="1"/>
        <v>2252.6613879371498</v>
      </c>
      <c r="AJ15" s="308">
        <f t="shared" si="1"/>
        <v>324.62212177137843</v>
      </c>
      <c r="AK15" s="308">
        <f t="shared" si="1"/>
        <v>210.79652090253131</v>
      </c>
      <c r="AL15" s="308">
        <f t="shared" si="1"/>
        <v>276.93164810936133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>
      <c r="A16" s="25"/>
      <c r="B16" s="276"/>
      <c r="C16" s="276"/>
      <c r="D16" s="276"/>
      <c r="E16" s="410"/>
      <c r="F16" s="276"/>
      <c r="G16" s="30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>
      <c r="A17" s="5" t="s">
        <v>34</v>
      </c>
      <c r="B17" s="276">
        <f>[4]Sheet1!B41/1000</f>
        <v>0</v>
      </c>
      <c r="C17" s="276">
        <f>[4]Sheet1!C41/1000</f>
        <v>0</v>
      </c>
      <c r="D17" s="276">
        <f>[4]Sheet1!D41/1000</f>
        <v>0</v>
      </c>
      <c r="E17" s="276">
        <f>[4]Sheet1!E41/1000</f>
        <v>0</v>
      </c>
      <c r="F17" s="276">
        <f>[4]Sheet1!F41/1000</f>
        <v>0</v>
      </c>
      <c r="G17" s="305">
        <f>[4]Sheet1!G41/1000</f>
        <v>77.049248350000013</v>
      </c>
      <c r="H17" s="198">
        <f>[4]Sheet1!H41/1000</f>
        <v>1758.035136667427</v>
      </c>
      <c r="I17" s="198">
        <f>[4]Sheet1!I41/1000</f>
        <v>26786.538325464815</v>
      </c>
      <c r="J17" s="198">
        <f>[4]Sheet1!J41/1000</f>
        <v>23108.423347146701</v>
      </c>
      <c r="K17" s="198">
        <f>[4]Sheet1!K41/1000</f>
        <v>1128.6980949041802</v>
      </c>
      <c r="L17" s="198">
        <f>[4]Sheet1!L41/1000</f>
        <v>68.682438938905605</v>
      </c>
      <c r="M17" s="198">
        <f>[4]Sheet1!M41/1000</f>
        <v>43.760798595197905</v>
      </c>
      <c r="N17" s="198">
        <f>[4]Sheet1!N41/1000</f>
        <v>63.045176212010801</v>
      </c>
      <c r="O17" s="198">
        <f>[4]Sheet1!B77/1000</f>
        <v>192.33422553313002</v>
      </c>
      <c r="P17" s="198">
        <f>[4]Sheet1!C77/1000</f>
        <v>197.981681280223</v>
      </c>
      <c r="Q17" s="198">
        <f>[4]Sheet1!D77/1000</f>
        <v>36.067580483771302</v>
      </c>
      <c r="R17" s="198">
        <f>[4]Sheet1!E77/1000</f>
        <v>85.923788835431409</v>
      </c>
      <c r="S17" s="198">
        <f>[4]Sheet1!F77/1000</f>
        <v>578.54591791053213</v>
      </c>
      <c r="T17" s="198">
        <f>[4]Sheet1!G77/1000</f>
        <v>5184.2089949808505</v>
      </c>
      <c r="U17" s="198">
        <f>[4]Sheet1!H77/1000</f>
        <v>14751.716827443002</v>
      </c>
      <c r="V17" s="198">
        <f>[4]Sheet1!I77/1000</f>
        <v>15838.511725463701</v>
      </c>
      <c r="W17" s="198">
        <f>[4]Sheet1!J77/1000</f>
        <v>962.01205625839202</v>
      </c>
      <c r="X17" s="198">
        <f>[4]Sheet1!K77/1000</f>
        <v>113.56929154962701</v>
      </c>
      <c r="Y17" s="198">
        <f>[4]Sheet1!L77/1000</f>
        <v>73.209884927073205</v>
      </c>
      <c r="Z17" s="198">
        <f>[4]Sheet1!M77/1000</f>
        <v>87.989141706978899</v>
      </c>
      <c r="AA17" s="198">
        <f>[4]Sheet1!B108/1000</f>
        <v>204.90402516260801</v>
      </c>
      <c r="AB17" s="198">
        <f>[4]Sheet1!C108/1000</f>
        <v>200.697512446567</v>
      </c>
      <c r="AC17" s="198">
        <f>[4]Sheet1!D108/1000</f>
        <v>41.7886714380002</v>
      </c>
      <c r="AD17" s="198">
        <f>[4]Sheet1!E108/1000</f>
        <v>107.49854567475501</v>
      </c>
      <c r="AE17" s="198">
        <f>[4]Sheet1!F108/1000</f>
        <v>476.23038265389903</v>
      </c>
      <c r="AF17" s="198">
        <f>[4]Sheet1!G108/1000</f>
        <v>3364.0512045547002</v>
      </c>
      <c r="AG17" s="198">
        <f>[4]Sheet1!H108/1000</f>
        <v>10377.8176481435</v>
      </c>
      <c r="AH17" s="198">
        <f>[4]Sheet1!I108/1000</f>
        <v>10322.691626765099</v>
      </c>
      <c r="AI17" s="198">
        <f>[4]Sheet1!J108/1000</f>
        <v>1065.68382009934</v>
      </c>
      <c r="AJ17" s="198">
        <f>[4]Sheet1!K108/1000</f>
        <v>200.28380503084</v>
      </c>
      <c r="AK17" s="198">
        <f>[4]Sheet1!L108/1000</f>
        <v>124.23080647928602</v>
      </c>
      <c r="AL17" s="198">
        <f>[4]Sheet1!M108/1000</f>
        <v>151.66954570839403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>
      <c r="A18" s="5" t="s">
        <v>6</v>
      </c>
      <c r="B18" s="276">
        <f>[4]Sheet1!B36/1000</f>
        <v>0</v>
      </c>
      <c r="C18" s="276">
        <f>[4]Sheet1!C36/1000</f>
        <v>0</v>
      </c>
      <c r="D18" s="276">
        <f>[4]Sheet1!D36/1000</f>
        <v>0</v>
      </c>
      <c r="E18" s="276">
        <f>[4]Sheet1!E36/1000</f>
        <v>0</v>
      </c>
      <c r="F18" s="276">
        <f>[4]Sheet1!F36/1000</f>
        <v>-116.54600000000001</v>
      </c>
      <c r="G18" s="305">
        <f>[4]Sheet1!G36/1000</f>
        <v>14.057309999999998</v>
      </c>
      <c r="H18" s="198">
        <f>[4]Sheet1!H36/1000</f>
        <v>2215.5884873742966</v>
      </c>
      <c r="I18" s="198">
        <f>[4]Sheet1!I36/1000</f>
        <v>29670.713613191529</v>
      </c>
      <c r="J18" s="198">
        <f>[4]Sheet1!J36/1000</f>
        <v>19527.427101975303</v>
      </c>
      <c r="K18" s="198">
        <f>[4]Sheet1!K36/1000</f>
        <v>1129.1500678008101</v>
      </c>
      <c r="L18" s="198">
        <f>[4]Sheet1!L36/1000</f>
        <v>19.570484251453902</v>
      </c>
      <c r="M18" s="198">
        <f>[4]Sheet1!M36/1000</f>
        <v>19.933531752577704</v>
      </c>
      <c r="N18" s="198">
        <f>[4]Sheet1!N36/1000</f>
        <v>14.349189862935402</v>
      </c>
      <c r="O18" s="198">
        <f>[4]Sheet1!B72/1000</f>
        <v>141.93341722129</v>
      </c>
      <c r="P18" s="198">
        <f>[4]Sheet1!C72/1000</f>
        <v>150.68556416661301</v>
      </c>
      <c r="Q18" s="198">
        <f>[4]Sheet1!D72/1000</f>
        <v>14.497180170828601</v>
      </c>
      <c r="R18" s="198">
        <f>[4]Sheet1!E72/1000</f>
        <v>42.263042689414299</v>
      </c>
      <c r="S18" s="198">
        <f>[4]Sheet1!F72/1000</f>
        <v>426.23717219280502</v>
      </c>
      <c r="T18" s="198">
        <f>[4]Sheet1!G72/1000</f>
        <v>4790.5415381244902</v>
      </c>
      <c r="U18" s="198">
        <f>[4]Sheet1!H72/1000</f>
        <v>13178.107549627301</v>
      </c>
      <c r="V18" s="198">
        <f>[4]Sheet1!I72/1000</f>
        <v>14125.969672215901</v>
      </c>
      <c r="W18" s="198">
        <f>[4]Sheet1!J72/1000</f>
        <v>771.31845637540403</v>
      </c>
      <c r="X18" s="198">
        <f>[4]Sheet1!K72/1000</f>
        <v>34.938024590763902</v>
      </c>
      <c r="Y18" s="198">
        <f>[4]Sheet1!L72/1000</f>
        <v>39.331883150444405</v>
      </c>
      <c r="Z18" s="198">
        <f>[4]Sheet1!M72/1000</f>
        <v>26.260355458209204</v>
      </c>
      <c r="AA18" s="198">
        <f>[4]Sheet1!B103/1000</f>
        <v>127.25990514270001</v>
      </c>
      <c r="AB18" s="198">
        <f>[4]Sheet1!C103/1000</f>
        <v>130.208879594655</v>
      </c>
      <c r="AC18" s="198">
        <f>[4]Sheet1!D103/1000</f>
        <v>30.317546446443004</v>
      </c>
      <c r="AD18" s="198">
        <f>[4]Sheet1!E103/1000</f>
        <v>80.897169504920001</v>
      </c>
      <c r="AE18" s="198">
        <f>[4]Sheet1!F103/1000</f>
        <v>361.66739141027301</v>
      </c>
      <c r="AF18" s="198">
        <f>[4]Sheet1!G103/1000</f>
        <v>3111.3102239580303</v>
      </c>
      <c r="AG18" s="198">
        <f>[4]Sheet1!H103/1000</f>
        <v>9398.3188109030107</v>
      </c>
      <c r="AH18" s="198">
        <f>[4]Sheet1!I103/1000</f>
        <v>9356.6090260606197</v>
      </c>
      <c r="AI18" s="198">
        <f>[4]Sheet1!J103/1000</f>
        <v>942.66282233349216</v>
      </c>
      <c r="AJ18" s="198">
        <f>[4]Sheet1!K103/1000</f>
        <v>71.842030302003195</v>
      </c>
      <c r="AK18" s="198">
        <f>[4]Sheet1!L103/1000</f>
        <v>64.833678975790903</v>
      </c>
      <c r="AL18" s="198">
        <f>[4]Sheet1!M103/1000</f>
        <v>50.192981156318005</v>
      </c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>
      <c r="A19" s="5" t="s">
        <v>125</v>
      </c>
      <c r="B19" s="276">
        <f>[4]Sheet1!B37/1000</f>
        <v>0</v>
      </c>
      <c r="C19" s="276">
        <f>[4]Sheet1!C37/1000</f>
        <v>0</v>
      </c>
      <c r="D19" s="276">
        <f>[4]Sheet1!D37/1000</f>
        <v>0</v>
      </c>
      <c r="E19" s="276">
        <f>[4]Sheet1!E37/1000</f>
        <v>0</v>
      </c>
      <c r="F19" s="276">
        <f>[4]Sheet1!F37/1000</f>
        <v>-134.31</v>
      </c>
      <c r="G19" s="305">
        <f>[4]Sheet1!G37/1000</f>
        <v>-161.28692000000004</v>
      </c>
      <c r="H19" s="198">
        <f>[4]Sheet1!H37/1000</f>
        <v>2521.3958536772002</v>
      </c>
      <c r="I19" s="198">
        <f>[4]Sheet1!I37/1000</f>
        <v>34423.052821525584</v>
      </c>
      <c r="J19" s="198">
        <f>[4]Sheet1!J37/1000</f>
        <v>23993.788155513801</v>
      </c>
      <c r="K19" s="198">
        <f>[4]Sheet1!K37/1000</f>
        <v>1316.3864215051801</v>
      </c>
      <c r="L19" s="198">
        <f>[4]Sheet1!L37/1000</f>
        <v>17.264464936880302</v>
      </c>
      <c r="M19" s="198">
        <f>[4]Sheet1!M37/1000</f>
        <v>29.921025772328601</v>
      </c>
      <c r="N19" s="198">
        <f>[4]Sheet1!N37/1000</f>
        <v>31.535395331746901</v>
      </c>
      <c r="O19" s="198">
        <f>[4]Sheet1!B73/1000</f>
        <v>199.34187157356902</v>
      </c>
      <c r="P19" s="198">
        <f>[4]Sheet1!C73/1000</f>
        <v>212.21172579242304</v>
      </c>
      <c r="Q19" s="198">
        <f>[4]Sheet1!D73/1000</f>
        <v>24.396160395006504</v>
      </c>
      <c r="R19" s="198">
        <f>[4]Sheet1!E73/1000</f>
        <v>41.440853411072808</v>
      </c>
      <c r="S19" s="198">
        <f>[4]Sheet1!F73/1000</f>
        <v>396.14567418346104</v>
      </c>
      <c r="T19" s="198">
        <f>[4]Sheet1!G73/1000</f>
        <v>6008.6712871037998</v>
      </c>
      <c r="U19" s="198">
        <f>[4]Sheet1!H73/1000</f>
        <v>16798.107549119402</v>
      </c>
      <c r="V19" s="198">
        <f>[4]Sheet1!I73/1000</f>
        <v>18013.334451733903</v>
      </c>
      <c r="W19" s="198">
        <f>[4]Sheet1!J73/1000</f>
        <v>944.75282094751208</v>
      </c>
      <c r="X19" s="198">
        <f>[4]Sheet1!K73/1000</f>
        <v>32.018356033870703</v>
      </c>
      <c r="Y19" s="198">
        <f>[4]Sheet1!L73/1000</f>
        <v>53.738103859098707</v>
      </c>
      <c r="Z19" s="198">
        <f>[4]Sheet1!M73/1000</f>
        <v>39.216265171516206</v>
      </c>
      <c r="AA19" s="198">
        <f>[4]Sheet1!B104/1000</f>
        <v>183.78292794371501</v>
      </c>
      <c r="AB19" s="198">
        <f>[4]Sheet1!C104/1000</f>
        <v>190.72682796518103</v>
      </c>
      <c r="AC19" s="198">
        <f>[4]Sheet1!D104/1000</f>
        <v>47.002907359119604</v>
      </c>
      <c r="AD19" s="198">
        <f>[4]Sheet1!E104/1000</f>
        <v>93.283741266445816</v>
      </c>
      <c r="AE19" s="198">
        <f>[4]Sheet1!F104/1000</f>
        <v>388.25985500588104</v>
      </c>
      <c r="AF19" s="198">
        <f>[4]Sheet1!G104/1000</f>
        <v>3886.6472001642501</v>
      </c>
      <c r="AG19" s="198">
        <f>[4]Sheet1!H104/1000</f>
        <v>11981.423298393902</v>
      </c>
      <c r="AH19" s="198">
        <f>[4]Sheet1!I104/1000</f>
        <v>11929.624452854201</v>
      </c>
      <c r="AI19" s="198">
        <f>[4]Sheet1!J104/1000</f>
        <v>1178.07294242798</v>
      </c>
      <c r="AJ19" s="198">
        <f>[4]Sheet1!K104/1000</f>
        <v>72.850653714524611</v>
      </c>
      <c r="AK19" s="198">
        <f>[4]Sheet1!L104/1000</f>
        <v>84.108807159237216</v>
      </c>
      <c r="AL19" s="198">
        <f>[4]Sheet1!M104/1000</f>
        <v>68.431571908356716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>
      <c r="A20" s="223" t="s">
        <v>126</v>
      </c>
      <c r="B20" s="306">
        <f t="shared" ref="B20:AL20" si="2">SUM(B17:B19)</f>
        <v>0</v>
      </c>
      <c r="C20" s="306">
        <f t="shared" si="2"/>
        <v>0</v>
      </c>
      <c r="D20" s="306">
        <f t="shared" si="2"/>
        <v>0</v>
      </c>
      <c r="E20" s="306">
        <f t="shared" si="2"/>
        <v>0</v>
      </c>
      <c r="F20" s="306">
        <f t="shared" si="2"/>
        <v>-250.85599999999999</v>
      </c>
      <c r="G20" s="307">
        <f t="shared" si="2"/>
        <v>-70.180361650000023</v>
      </c>
      <c r="H20" s="308">
        <f t="shared" si="2"/>
        <v>6495.0194777189245</v>
      </c>
      <c r="I20" s="308">
        <f t="shared" si="2"/>
        <v>90880.304760181927</v>
      </c>
      <c r="J20" s="308">
        <f t="shared" si="2"/>
        <v>66629.638604635809</v>
      </c>
      <c r="K20" s="308">
        <f t="shared" si="2"/>
        <v>3574.2345842101704</v>
      </c>
      <c r="L20" s="308">
        <f t="shared" si="2"/>
        <v>105.51738812723981</v>
      </c>
      <c r="M20" s="308">
        <f t="shared" si="2"/>
        <v>93.615356120104209</v>
      </c>
      <c r="N20" s="308">
        <f t="shared" si="2"/>
        <v>108.9297614066931</v>
      </c>
      <c r="O20" s="308">
        <f t="shared" si="2"/>
        <v>533.60951432798902</v>
      </c>
      <c r="P20" s="308">
        <f t="shared" si="2"/>
        <v>560.87897123925904</v>
      </c>
      <c r="Q20" s="308">
        <f t="shared" si="2"/>
        <v>74.960921049606412</v>
      </c>
      <c r="R20" s="308">
        <f t="shared" si="2"/>
        <v>169.62768493591852</v>
      </c>
      <c r="S20" s="308">
        <f t="shared" si="2"/>
        <v>1400.9287642867982</v>
      </c>
      <c r="T20" s="308">
        <f t="shared" si="2"/>
        <v>15983.42182020914</v>
      </c>
      <c r="U20" s="308">
        <f t="shared" si="2"/>
        <v>44727.931926189704</v>
      </c>
      <c r="V20" s="308">
        <f t="shared" si="2"/>
        <v>47977.815849413499</v>
      </c>
      <c r="W20" s="308">
        <f t="shared" si="2"/>
        <v>2678.0833335813081</v>
      </c>
      <c r="X20" s="308">
        <f t="shared" si="2"/>
        <v>180.52567217426162</v>
      </c>
      <c r="Y20" s="308">
        <f t="shared" si="2"/>
        <v>166.27987193661633</v>
      </c>
      <c r="Z20" s="308">
        <f t="shared" si="2"/>
        <v>153.4657623367043</v>
      </c>
      <c r="AA20" s="308">
        <f t="shared" si="2"/>
        <v>515.94685824902297</v>
      </c>
      <c r="AB20" s="308">
        <f t="shared" si="2"/>
        <v>521.63322000640301</v>
      </c>
      <c r="AC20" s="308">
        <f t="shared" si="2"/>
        <v>119.1091252435628</v>
      </c>
      <c r="AD20" s="308">
        <f t="shared" si="2"/>
        <v>281.67945644612081</v>
      </c>
      <c r="AE20" s="308">
        <f t="shared" si="2"/>
        <v>1226.1576290700532</v>
      </c>
      <c r="AF20" s="308">
        <f t="shared" si="2"/>
        <v>10362.00862867698</v>
      </c>
      <c r="AG20" s="308">
        <f t="shared" si="2"/>
        <v>31757.559757440409</v>
      </c>
      <c r="AH20" s="308">
        <f t="shared" si="2"/>
        <v>31608.925105679918</v>
      </c>
      <c r="AI20" s="308">
        <f t="shared" si="2"/>
        <v>3186.4195848608124</v>
      </c>
      <c r="AJ20" s="308">
        <f t="shared" si="2"/>
        <v>344.97648904736775</v>
      </c>
      <c r="AK20" s="308">
        <f t="shared" si="2"/>
        <v>273.17329261431416</v>
      </c>
      <c r="AL20" s="308">
        <f t="shared" si="2"/>
        <v>270.29409877306875</v>
      </c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>
      <c r="A21" s="223"/>
      <c r="B21" s="276"/>
      <c r="C21" s="276"/>
      <c r="D21" s="276"/>
      <c r="E21" s="276"/>
      <c r="F21" s="276"/>
      <c r="G21" s="30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3.8" thickBot="1">
      <c r="A22" s="25" t="s">
        <v>129</v>
      </c>
      <c r="B22" s="309">
        <f>B15+B20</f>
        <v>320.31100000000004</v>
      </c>
      <c r="C22" s="309">
        <f t="shared" ref="C22:AL22" si="3">C15+C20</f>
        <v>221.28700000000001</v>
      </c>
      <c r="D22" s="309">
        <f>D15+D20</f>
        <v>-340.476</v>
      </c>
      <c r="E22" s="309">
        <f t="shared" si="3"/>
        <v>-146.56100000000001</v>
      </c>
      <c r="F22" s="309">
        <f t="shared" si="3"/>
        <v>5669.6010000000006</v>
      </c>
      <c r="G22" s="310">
        <f t="shared" si="3"/>
        <v>499.53236945000003</v>
      </c>
      <c r="H22" s="192">
        <f t="shared" si="3"/>
        <v>11927.665284404877</v>
      </c>
      <c r="I22" s="192">
        <f t="shared" si="3"/>
        <v>159059.61356380122</v>
      </c>
      <c r="J22" s="192">
        <f t="shared" si="3"/>
        <v>122022.27185492302</v>
      </c>
      <c r="K22" s="192">
        <f t="shared" si="3"/>
        <v>5776.6609512729192</v>
      </c>
      <c r="L22" s="192">
        <f t="shared" si="3"/>
        <v>183.7319090079709</v>
      </c>
      <c r="M22" s="192">
        <f t="shared" si="3"/>
        <v>149.29439065013722</v>
      </c>
      <c r="N22" s="192">
        <f t="shared" si="3"/>
        <v>202.48373185162779</v>
      </c>
      <c r="O22" s="192">
        <f t="shared" si="3"/>
        <v>880.33063066763202</v>
      </c>
      <c r="P22" s="192">
        <f t="shared" si="3"/>
        <v>924.12652558800505</v>
      </c>
      <c r="Q22" s="192">
        <f t="shared" si="3"/>
        <v>119.00909343264482</v>
      </c>
      <c r="R22" s="192">
        <f t="shared" si="3"/>
        <v>286.78909583809303</v>
      </c>
      <c r="S22" s="192">
        <f t="shared" si="3"/>
        <v>2509.0429688384484</v>
      </c>
      <c r="T22" s="192">
        <f t="shared" si="3"/>
        <v>27636.757967879759</v>
      </c>
      <c r="U22" s="192">
        <f t="shared" si="3"/>
        <v>79666.374066538323</v>
      </c>
      <c r="V22" s="192">
        <f t="shared" si="3"/>
        <v>85505.2637901407</v>
      </c>
      <c r="W22" s="192">
        <f t="shared" si="3"/>
        <v>4609.177583380927</v>
      </c>
      <c r="X22" s="192">
        <f t="shared" si="3"/>
        <v>332.26917103956771</v>
      </c>
      <c r="Y22" s="192">
        <f t="shared" si="3"/>
        <v>274.65744347008751</v>
      </c>
      <c r="Z22" s="192">
        <f t="shared" si="3"/>
        <v>297.20458003282914</v>
      </c>
      <c r="AA22" s="192">
        <f t="shared" si="3"/>
        <v>904.26864767527604</v>
      </c>
      <c r="AB22" s="192">
        <f t="shared" si="3"/>
        <v>906.22947040212409</v>
      </c>
      <c r="AC22" s="192">
        <f t="shared" si="3"/>
        <v>174.78665219021602</v>
      </c>
      <c r="AD22" s="192">
        <f t="shared" si="3"/>
        <v>443.13884031671</v>
      </c>
      <c r="AE22" s="192">
        <f t="shared" si="3"/>
        <v>2177.6986691844963</v>
      </c>
      <c r="AF22" s="192">
        <f t="shared" si="3"/>
        <v>17949.927840705481</v>
      </c>
      <c r="AG22" s="192">
        <f t="shared" si="3"/>
        <v>56286.096609307875</v>
      </c>
      <c r="AH22" s="192">
        <f t="shared" si="3"/>
        <v>55998.119418156784</v>
      </c>
      <c r="AI22" s="192">
        <f t="shared" si="3"/>
        <v>5439.0809727979622</v>
      </c>
      <c r="AJ22" s="192">
        <f t="shared" si="3"/>
        <v>669.59861081874624</v>
      </c>
      <c r="AK22" s="192">
        <f t="shared" si="3"/>
        <v>483.96981351684548</v>
      </c>
      <c r="AL22" s="192">
        <f t="shared" si="3"/>
        <v>547.22574688243003</v>
      </c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>
      <c r="A23" s="25"/>
      <c r="B23" s="276"/>
      <c r="C23" s="276"/>
      <c r="D23" s="276"/>
      <c r="E23" s="410"/>
      <c r="F23" s="276"/>
      <c r="G23" s="30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>
      <c r="A24" s="25"/>
      <c r="B24" s="276"/>
      <c r="C24" s="276"/>
      <c r="D24" s="276"/>
      <c r="E24" s="410"/>
      <c r="F24" s="276"/>
      <c r="G24" s="305"/>
      <c r="H24" s="20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>
      <c r="A25" s="2" t="s">
        <v>128</v>
      </c>
      <c r="B25" s="311"/>
      <c r="C25" s="311"/>
      <c r="D25" s="311"/>
      <c r="E25" s="311"/>
      <c r="F25" s="276"/>
      <c r="G25" s="30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>
      <c r="A26" s="5" t="s">
        <v>3</v>
      </c>
      <c r="B26" s="276">
        <f t="shared" ref="B26:G26" si="4">B12</f>
        <v>119.526</v>
      </c>
      <c r="C26" s="276">
        <f t="shared" si="4"/>
        <v>73.677000000000007</v>
      </c>
      <c r="D26" s="276">
        <f t="shared" si="4"/>
        <v>-30.044</v>
      </c>
      <c r="E26" s="276">
        <f t="shared" si="4"/>
        <v>-34.523000000000003</v>
      </c>
      <c r="F26" s="276">
        <f t="shared" si="4"/>
        <v>1835.1859999999999</v>
      </c>
      <c r="G26" s="305">
        <f t="shared" si="4"/>
        <v>3.19627959999998</v>
      </c>
      <c r="H26" s="26">
        <f>H12*(1+H$9)^((H$6-$G$6)/365.25)</f>
        <v>2072.5249182531857</v>
      </c>
      <c r="I26" s="26">
        <f t="shared" ref="I26:AL26" si="5">I12*(1+I$9)^((I$6-$E$6)/365.25)</f>
        <v>24014.48228741005</v>
      </c>
      <c r="J26" s="26">
        <f t="shared" si="5"/>
        <v>20745.506881005967</v>
      </c>
      <c r="K26" s="26">
        <f t="shared" si="5"/>
        <v>883.74949694974475</v>
      </c>
      <c r="L26" s="26">
        <f t="shared" si="5"/>
        <v>35.457174201977352</v>
      </c>
      <c r="M26" s="26">
        <f t="shared" si="5"/>
        <v>23.555520193865128</v>
      </c>
      <c r="N26" s="26">
        <f t="shared" si="5"/>
        <v>38.316735961217113</v>
      </c>
      <c r="O26" s="26">
        <f t="shared" si="5"/>
        <v>136.06279566973467</v>
      </c>
      <c r="P26" s="26">
        <f t="shared" si="5"/>
        <v>142.66329977583328</v>
      </c>
      <c r="Q26" s="26">
        <f t="shared" si="5"/>
        <v>19.223608274243446</v>
      </c>
      <c r="R26" s="26">
        <f t="shared" si="5"/>
        <v>50.73375051064631</v>
      </c>
      <c r="S26" s="26">
        <f t="shared" si="5"/>
        <v>445.24965374780578</v>
      </c>
      <c r="T26" s="26">
        <f t="shared" si="5"/>
        <v>4709.4983784345877</v>
      </c>
      <c r="U26" s="26">
        <f t="shared" si="5"/>
        <v>13975.75342464912</v>
      </c>
      <c r="V26" s="26">
        <f t="shared" si="5"/>
        <v>15107.10150907802</v>
      </c>
      <c r="W26" s="26">
        <f t="shared" si="5"/>
        <v>822.18740893383449</v>
      </c>
      <c r="X26" s="26">
        <f t="shared" si="5"/>
        <v>70.072644644119364</v>
      </c>
      <c r="Y26" s="26">
        <f t="shared" si="5"/>
        <v>47.336099783083426</v>
      </c>
      <c r="Z26" s="26">
        <f t="shared" si="5"/>
        <v>61.608528334168987</v>
      </c>
      <c r="AA26" s="26">
        <f t="shared" si="5"/>
        <v>161.27830978489166</v>
      </c>
      <c r="AB26" s="26">
        <f t="shared" si="5"/>
        <v>160.12375192226881</v>
      </c>
      <c r="AC26" s="26">
        <f t="shared" si="5"/>
        <v>25.513102593073231</v>
      </c>
      <c r="AD26" s="26">
        <f t="shared" si="5"/>
        <v>73.220223661934256</v>
      </c>
      <c r="AE26" s="26">
        <f t="shared" si="5"/>
        <v>403.41579340496043</v>
      </c>
      <c r="AF26" s="26">
        <f t="shared" si="5"/>
        <v>3281.6280126866482</v>
      </c>
      <c r="AG26" s="26">
        <f t="shared" si="5"/>
        <v>10525.638082073285</v>
      </c>
      <c r="AH26" s="26">
        <f t="shared" si="5"/>
        <v>10530.585374341119</v>
      </c>
      <c r="AI26" s="26">
        <f t="shared" si="5"/>
        <v>1010.7612265432041</v>
      </c>
      <c r="AJ26" s="26">
        <f t="shared" si="5"/>
        <v>151.01966705931869</v>
      </c>
      <c r="AK26" s="26">
        <f t="shared" si="5"/>
        <v>95.368428367939899</v>
      </c>
      <c r="AL26" s="26">
        <f t="shared" si="5"/>
        <v>123.67592808667814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>
      <c r="A27" s="5" t="s">
        <v>214</v>
      </c>
      <c r="B27" s="328">
        <f>Assumptions!$B$21</f>
        <v>382.5</v>
      </c>
      <c r="C27" s="328">
        <f>Assumptions!$B$21</f>
        <v>382.5</v>
      </c>
      <c r="D27" s="328">
        <f>Assumptions!$B$21</f>
        <v>382.5</v>
      </c>
      <c r="E27" s="328">
        <f>Assumptions!$B$17</f>
        <v>337.5</v>
      </c>
      <c r="F27" s="328">
        <f>Assumptions!$B$17</f>
        <v>337.5</v>
      </c>
      <c r="G27" s="329">
        <f>(G$6-F$6)/(H$6-F$6)*Assumptions!$B$13</f>
        <v>228</v>
      </c>
      <c r="H27" s="325">
        <f>Assumptions!$B$13-G27</f>
        <v>199.5</v>
      </c>
      <c r="I27" s="325">
        <f>Assumptions!$B$13</f>
        <v>427.5</v>
      </c>
      <c r="J27" s="325">
        <f>Assumptions!$B$13</f>
        <v>427.5</v>
      </c>
      <c r="K27" s="325">
        <f>Assumptions!$B$13</f>
        <v>427.5</v>
      </c>
      <c r="L27" s="325">
        <f>Assumptions!$B$17</f>
        <v>337.5</v>
      </c>
      <c r="M27" s="325">
        <f>Assumptions!$B$21</f>
        <v>382.5</v>
      </c>
      <c r="N27" s="325">
        <f>Assumptions!$B$21</f>
        <v>382.5</v>
      </c>
      <c r="O27" s="325">
        <f>Assumptions!$B$21</f>
        <v>382.5</v>
      </c>
      <c r="P27" s="325">
        <f>Assumptions!$B$21</f>
        <v>382.5</v>
      </c>
      <c r="Q27" s="325">
        <f>Assumptions!$B$21</f>
        <v>382.5</v>
      </c>
      <c r="R27" s="325">
        <f>Assumptions!$B$17</f>
        <v>337.5</v>
      </c>
      <c r="S27" s="325">
        <f>Assumptions!$B$17</f>
        <v>337.5</v>
      </c>
      <c r="T27" s="325">
        <f>Assumptions!$B$13</f>
        <v>427.5</v>
      </c>
      <c r="U27" s="325">
        <f>Assumptions!$B$13</f>
        <v>427.5</v>
      </c>
      <c r="V27" s="325">
        <f>Assumptions!$B$13</f>
        <v>427.5</v>
      </c>
      <c r="W27" s="325">
        <f>Assumptions!$B$13</f>
        <v>427.5</v>
      </c>
      <c r="X27" s="325">
        <f>Assumptions!$B$17</f>
        <v>337.5</v>
      </c>
      <c r="Y27" s="325">
        <f>Assumptions!$B$21</f>
        <v>382.5</v>
      </c>
      <c r="Z27" s="325">
        <f>Assumptions!$B$21</f>
        <v>382.5</v>
      </c>
      <c r="AA27" s="325">
        <f>Assumptions!$B$21</f>
        <v>382.5</v>
      </c>
      <c r="AB27" s="325">
        <f>Assumptions!$B$21</f>
        <v>382.5</v>
      </c>
      <c r="AC27" s="325">
        <f>Assumptions!$B$21</f>
        <v>382.5</v>
      </c>
      <c r="AD27" s="325">
        <f>Assumptions!$B$17</f>
        <v>337.5</v>
      </c>
      <c r="AE27" s="325">
        <f>Assumptions!$B$17</f>
        <v>337.5</v>
      </c>
      <c r="AF27" s="325">
        <f>Assumptions!$B$13</f>
        <v>427.5</v>
      </c>
      <c r="AG27" s="325">
        <f>Assumptions!$B$13</f>
        <v>427.5</v>
      </c>
      <c r="AH27" s="325">
        <f>Assumptions!$B$13</f>
        <v>427.5</v>
      </c>
      <c r="AI27" s="325">
        <f>Assumptions!$B$13</f>
        <v>427.5</v>
      </c>
      <c r="AJ27" s="325">
        <f>Assumptions!$B$17</f>
        <v>337.5</v>
      </c>
      <c r="AK27" s="325">
        <f>Assumptions!$B$21</f>
        <v>382.5</v>
      </c>
      <c r="AL27" s="325">
        <f>Assumptions!$B$21</f>
        <v>382.5</v>
      </c>
      <c r="AM27" s="325"/>
      <c r="AN27" s="325"/>
      <c r="AO27" s="325"/>
      <c r="AP27" s="325"/>
      <c r="AQ27" s="325"/>
      <c r="AR27" s="26"/>
      <c r="AS27" s="26"/>
      <c r="AT27" s="26"/>
      <c r="AU27" s="26"/>
      <c r="AV27" s="26"/>
      <c r="AW27" s="26"/>
    </row>
    <row r="28" spans="1:49">
      <c r="A28" s="5" t="s">
        <v>215</v>
      </c>
      <c r="B28" s="326">
        <f>B26/B27</f>
        <v>0.31248627450980393</v>
      </c>
      <c r="C28" s="326">
        <f>C26/C27</f>
        <v>0.19261960784313728</v>
      </c>
      <c r="D28" s="326">
        <f>D26/D27</f>
        <v>-7.8546405228758165E-2</v>
      </c>
      <c r="E28" s="326">
        <f>E26/E27</f>
        <v>-0.10229037037037038</v>
      </c>
      <c r="F28" s="326">
        <f t="shared" ref="F28:AL28" si="6">F26/F27</f>
        <v>5.4375881481481478</v>
      </c>
      <c r="G28" s="327">
        <f t="shared" si="6"/>
        <v>1.4018770175438509E-2</v>
      </c>
      <c r="H28" s="200">
        <f t="shared" si="6"/>
        <v>10.388596081469602</v>
      </c>
      <c r="I28" s="200">
        <f t="shared" si="6"/>
        <v>56.174227572889009</v>
      </c>
      <c r="J28" s="200">
        <f t="shared" si="6"/>
        <v>48.527501476037351</v>
      </c>
      <c r="K28" s="200">
        <f t="shared" si="6"/>
        <v>2.0672502852625607</v>
      </c>
      <c r="L28" s="200">
        <f t="shared" si="6"/>
        <v>0.10505829393178474</v>
      </c>
      <c r="M28" s="200">
        <f t="shared" si="6"/>
        <v>6.1583059330366348E-2</v>
      </c>
      <c r="N28" s="200">
        <f t="shared" si="6"/>
        <v>0.10017447310122121</v>
      </c>
      <c r="O28" s="200">
        <f t="shared" si="6"/>
        <v>0.35571972724113637</v>
      </c>
      <c r="P28" s="200">
        <f t="shared" si="6"/>
        <v>0.37297594712636151</v>
      </c>
      <c r="Q28" s="200">
        <f t="shared" si="6"/>
        <v>5.0257799409786787E-2</v>
      </c>
      <c r="R28" s="200">
        <f t="shared" si="6"/>
        <v>0.15032222373524831</v>
      </c>
      <c r="S28" s="200">
        <f t="shared" si="6"/>
        <v>1.3192582333268319</v>
      </c>
      <c r="T28" s="200">
        <f t="shared" si="6"/>
        <v>11.01637047587038</v>
      </c>
      <c r="U28" s="200">
        <f t="shared" si="6"/>
        <v>32.691820876372212</v>
      </c>
      <c r="V28" s="200">
        <f t="shared" si="6"/>
        <v>35.338249144042152</v>
      </c>
      <c r="W28" s="200">
        <f t="shared" si="6"/>
        <v>1.9232454010148174</v>
      </c>
      <c r="X28" s="200">
        <f t="shared" si="6"/>
        <v>0.2076226507973907</v>
      </c>
      <c r="Y28" s="200">
        <f t="shared" si="6"/>
        <v>0.12375450923681941</v>
      </c>
      <c r="Z28" s="200">
        <f t="shared" si="6"/>
        <v>0.16106804793246793</v>
      </c>
      <c r="AA28" s="200">
        <f t="shared" si="6"/>
        <v>0.42164263996050105</v>
      </c>
      <c r="AB28" s="200">
        <f t="shared" si="6"/>
        <v>0.4186241880320753</v>
      </c>
      <c r="AC28" s="200">
        <f t="shared" si="6"/>
        <v>6.6700921811956165E-2</v>
      </c>
      <c r="AD28" s="200">
        <f t="shared" si="6"/>
        <v>0.21694881085017556</v>
      </c>
      <c r="AE28" s="200">
        <f t="shared" si="6"/>
        <v>1.1953060545332161</v>
      </c>
      <c r="AF28" s="200">
        <f t="shared" si="6"/>
        <v>7.676322836693914</v>
      </c>
      <c r="AG28" s="200">
        <f t="shared" si="6"/>
        <v>24.621375630580783</v>
      </c>
      <c r="AH28" s="200">
        <f t="shared" si="6"/>
        <v>24.632948244072793</v>
      </c>
      <c r="AI28" s="200">
        <f t="shared" si="6"/>
        <v>2.3643537462998925</v>
      </c>
      <c r="AJ28" s="200">
        <f t="shared" si="6"/>
        <v>0.44746568017575911</v>
      </c>
      <c r="AK28" s="200">
        <f t="shared" si="6"/>
        <v>0.24932922449134615</v>
      </c>
      <c r="AL28" s="200">
        <f t="shared" si="6"/>
        <v>0.32333575970373368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>
      <c r="A29" s="5"/>
      <c r="B29" s="326"/>
      <c r="C29" s="326"/>
      <c r="D29" s="326"/>
      <c r="E29" s="326"/>
      <c r="F29" s="326"/>
      <c r="G29" s="327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>
      <c r="A30" s="5" t="s">
        <v>4</v>
      </c>
      <c r="B30" s="276">
        <f t="shared" ref="B30:G30" si="7">B13</f>
        <v>213.762</v>
      </c>
      <c r="C30" s="276">
        <f t="shared" si="7"/>
        <v>140.60599999999999</v>
      </c>
      <c r="D30" s="276">
        <f t="shared" si="7"/>
        <v>-308.827</v>
      </c>
      <c r="E30" s="276">
        <f t="shared" si="7"/>
        <v>-3.246</v>
      </c>
      <c r="F30" s="276">
        <f t="shared" si="7"/>
        <v>3390.3020000000001</v>
      </c>
      <c r="G30" s="305">
        <f t="shared" si="7"/>
        <v>500.09305150000006</v>
      </c>
      <c r="H30" s="26">
        <f>H13*(1+H$9)^((H$6-$G$6)/365.25)</f>
        <v>1919.3753101506936</v>
      </c>
      <c r="I30" s="26">
        <f t="shared" ref="I30:AL30" si="8">I13*(1+I$9)^((I$6-$E$6)/365.25)</f>
        <v>25184.135412221924</v>
      </c>
      <c r="J30" s="26">
        <f t="shared" si="8"/>
        <v>20011.35269920298</v>
      </c>
      <c r="K30" s="26">
        <f t="shared" si="8"/>
        <v>799.68086722751684</v>
      </c>
      <c r="L30" s="26">
        <f t="shared" si="8"/>
        <v>26.875430823066129</v>
      </c>
      <c r="M30" s="26">
        <f t="shared" si="8"/>
        <v>18.77039254502629</v>
      </c>
      <c r="N30" s="26">
        <f t="shared" si="8"/>
        <v>32.05652850279963</v>
      </c>
      <c r="O30" s="26">
        <f t="shared" si="8"/>
        <v>120.69414204060857</v>
      </c>
      <c r="P30" s="26">
        <f t="shared" si="8"/>
        <v>127.00118150809192</v>
      </c>
      <c r="Q30" s="26">
        <f t="shared" si="8"/>
        <v>14.910385639598086</v>
      </c>
      <c r="R30" s="26">
        <f t="shared" si="8"/>
        <v>42.950503537314269</v>
      </c>
      <c r="S30" s="26">
        <f t="shared" si="8"/>
        <v>402.61447030015574</v>
      </c>
      <c r="T30" s="26">
        <f t="shared" si="8"/>
        <v>4466.1851095355023</v>
      </c>
      <c r="U30" s="26">
        <f t="shared" si="8"/>
        <v>13467.918791418862</v>
      </c>
      <c r="V30" s="26">
        <f t="shared" si="8"/>
        <v>14546.175535397755</v>
      </c>
      <c r="W30" s="26">
        <f t="shared" si="8"/>
        <v>753.13821737290596</v>
      </c>
      <c r="X30" s="26">
        <f t="shared" si="8"/>
        <v>56.583696456702647</v>
      </c>
      <c r="Y30" s="26">
        <f t="shared" si="8"/>
        <v>39.202722191764067</v>
      </c>
      <c r="Z30" s="26">
        <f t="shared" si="8"/>
        <v>52.780810814889129</v>
      </c>
      <c r="AA30" s="26">
        <f t="shared" si="8"/>
        <v>144.76863936815033</v>
      </c>
      <c r="AB30" s="26">
        <f t="shared" si="8"/>
        <v>144.08912484274182</v>
      </c>
      <c r="AC30" s="26">
        <f t="shared" si="8"/>
        <v>20.310387541467506</v>
      </c>
      <c r="AD30" s="26">
        <f t="shared" si="8"/>
        <v>63.436274125247522</v>
      </c>
      <c r="AE30" s="26">
        <f t="shared" si="8"/>
        <v>371.22739835201708</v>
      </c>
      <c r="AF30" s="26">
        <f t="shared" si="8"/>
        <v>3119.9605992260317</v>
      </c>
      <c r="AG30" s="26">
        <f t="shared" si="8"/>
        <v>10136.866276102934</v>
      </c>
      <c r="AH30" s="26">
        <f t="shared" si="8"/>
        <v>10137.111686914268</v>
      </c>
      <c r="AI30" s="26">
        <f t="shared" si="8"/>
        <v>942.98968561127504</v>
      </c>
      <c r="AJ30" s="26">
        <f t="shared" si="8"/>
        <v>130.75366897817545</v>
      </c>
      <c r="AK30" s="26">
        <f t="shared" si="8"/>
        <v>82.255648252557307</v>
      </c>
      <c r="AL30" s="26">
        <f t="shared" si="8"/>
        <v>109.44382834564612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>
      <c r="A31" s="5" t="s">
        <v>214</v>
      </c>
      <c r="B31" s="328">
        <f>Assumptions!$C$21</f>
        <v>401.25</v>
      </c>
      <c r="C31" s="328">
        <f>Assumptions!$C$21</f>
        <v>401.25</v>
      </c>
      <c r="D31" s="328">
        <f>Assumptions!$C$21</f>
        <v>401.25</v>
      </c>
      <c r="E31" s="328">
        <f>Assumptions!$C$17</f>
        <v>330</v>
      </c>
      <c r="F31" s="328">
        <f>Assumptions!$C$17</f>
        <v>330</v>
      </c>
      <c r="G31" s="329">
        <f>(G$6-F$6)/(H$6-F$6)*Assumptions!$C$13</f>
        <v>222.93333333333334</v>
      </c>
      <c r="H31" s="325">
        <f>Assumptions!$C$13-G31</f>
        <v>195.06666666666666</v>
      </c>
      <c r="I31" s="325">
        <f>Assumptions!$C$13</f>
        <v>418</v>
      </c>
      <c r="J31" s="325">
        <f>Assumptions!$C$13</f>
        <v>418</v>
      </c>
      <c r="K31" s="325">
        <f>Assumptions!$C$13</f>
        <v>418</v>
      </c>
      <c r="L31" s="325">
        <f>Assumptions!$C$17</f>
        <v>330</v>
      </c>
      <c r="M31" s="325">
        <f>Assumptions!$C$21</f>
        <v>401.25</v>
      </c>
      <c r="N31" s="325">
        <f>Assumptions!$C$21</f>
        <v>401.25</v>
      </c>
      <c r="O31" s="325">
        <f>Assumptions!$C$21</f>
        <v>401.25</v>
      </c>
      <c r="P31" s="325">
        <f>Assumptions!$C$21</f>
        <v>401.25</v>
      </c>
      <c r="Q31" s="325">
        <f>Assumptions!$C$21</f>
        <v>401.25</v>
      </c>
      <c r="R31" s="325">
        <f>Assumptions!$C$17</f>
        <v>330</v>
      </c>
      <c r="S31" s="325">
        <f>Assumptions!$C$17</f>
        <v>330</v>
      </c>
      <c r="T31" s="325">
        <f>Assumptions!$C$13</f>
        <v>418</v>
      </c>
      <c r="U31" s="325">
        <f>Assumptions!$C$13</f>
        <v>418</v>
      </c>
      <c r="V31" s="325">
        <f>Assumptions!$C$13</f>
        <v>418</v>
      </c>
      <c r="W31" s="325">
        <f>Assumptions!$C$13</f>
        <v>418</v>
      </c>
      <c r="X31" s="325">
        <f>Assumptions!$C$17</f>
        <v>330</v>
      </c>
      <c r="Y31" s="325">
        <f>Assumptions!$C$21</f>
        <v>401.25</v>
      </c>
      <c r="Z31" s="325">
        <f>Assumptions!$C$21</f>
        <v>401.25</v>
      </c>
      <c r="AA31" s="325">
        <f>Assumptions!$C$21</f>
        <v>401.25</v>
      </c>
      <c r="AB31" s="325">
        <f>Assumptions!$C$21</f>
        <v>401.25</v>
      </c>
      <c r="AC31" s="325">
        <f>Assumptions!$C$21</f>
        <v>401.25</v>
      </c>
      <c r="AD31" s="325">
        <f>Assumptions!$C$17</f>
        <v>330</v>
      </c>
      <c r="AE31" s="325">
        <f>Assumptions!$C$17</f>
        <v>330</v>
      </c>
      <c r="AF31" s="325">
        <f>Assumptions!$C$13</f>
        <v>418</v>
      </c>
      <c r="AG31" s="325">
        <f>Assumptions!$C$13</f>
        <v>418</v>
      </c>
      <c r="AH31" s="325">
        <f>Assumptions!$C$13</f>
        <v>418</v>
      </c>
      <c r="AI31" s="325">
        <f>Assumptions!$C$13</f>
        <v>418</v>
      </c>
      <c r="AJ31" s="325">
        <f>Assumptions!$C$17</f>
        <v>330</v>
      </c>
      <c r="AK31" s="325">
        <f>Assumptions!$C$21</f>
        <v>401.25</v>
      </c>
      <c r="AL31" s="325">
        <f>Assumptions!$C$21</f>
        <v>401.25</v>
      </c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>
      <c r="A32" s="5" t="s">
        <v>215</v>
      </c>
      <c r="B32" s="326">
        <f t="shared" ref="B32:AL32" si="9">B30/B31</f>
        <v>0.53274018691588787</v>
      </c>
      <c r="C32" s="326">
        <f t="shared" si="9"/>
        <v>0.35041993769470403</v>
      </c>
      <c r="D32" s="326">
        <f t="shared" si="9"/>
        <v>-0.76966230529595014</v>
      </c>
      <c r="E32" s="326">
        <f t="shared" si="9"/>
        <v>-9.8363636363636361E-3</v>
      </c>
      <c r="F32" s="326">
        <f t="shared" si="9"/>
        <v>10.273642424242425</v>
      </c>
      <c r="G32" s="327">
        <f t="shared" si="9"/>
        <v>2.243240362589713</v>
      </c>
      <c r="H32" s="200">
        <f t="shared" si="9"/>
        <v>9.8395863473207132</v>
      </c>
      <c r="I32" s="200">
        <f t="shared" si="9"/>
        <v>60.249127780435224</v>
      </c>
      <c r="J32" s="200">
        <f t="shared" si="9"/>
        <v>47.874049519624357</v>
      </c>
      <c r="K32" s="200">
        <f t="shared" si="9"/>
        <v>1.9131121225538681</v>
      </c>
      <c r="L32" s="200">
        <f t="shared" si="9"/>
        <v>8.1440699463836752E-2</v>
      </c>
      <c r="M32" s="200">
        <f t="shared" si="9"/>
        <v>4.6779794504738417E-2</v>
      </c>
      <c r="N32" s="200">
        <f t="shared" si="9"/>
        <v>7.9891659820061384E-2</v>
      </c>
      <c r="O32" s="200">
        <f t="shared" si="9"/>
        <v>0.30079536957161013</v>
      </c>
      <c r="P32" s="200">
        <f t="shared" si="9"/>
        <v>0.31651384799524468</v>
      </c>
      <c r="Q32" s="200">
        <f t="shared" si="9"/>
        <v>3.7159839600244451E-2</v>
      </c>
      <c r="R32" s="200">
        <f t="shared" si="9"/>
        <v>0.13015304102216446</v>
      </c>
      <c r="S32" s="200">
        <f t="shared" si="9"/>
        <v>1.2200438493944112</v>
      </c>
      <c r="T32" s="200">
        <f t="shared" si="9"/>
        <v>10.684653372094504</v>
      </c>
      <c r="U32" s="200">
        <f t="shared" si="9"/>
        <v>32.219901414877661</v>
      </c>
      <c r="V32" s="200">
        <f t="shared" si="9"/>
        <v>34.799463003343909</v>
      </c>
      <c r="W32" s="200">
        <f t="shared" si="9"/>
        <v>1.8017660702701099</v>
      </c>
      <c r="X32" s="200">
        <f t="shared" si="9"/>
        <v>0.17146574683849286</v>
      </c>
      <c r="Y32" s="200">
        <f t="shared" si="9"/>
        <v>9.7701488328383962E-2</v>
      </c>
      <c r="Z32" s="200">
        <f t="shared" si="9"/>
        <v>0.13154096153243397</v>
      </c>
      <c r="AA32" s="200">
        <f t="shared" si="9"/>
        <v>0.36079411680535906</v>
      </c>
      <c r="AB32" s="200">
        <f t="shared" si="9"/>
        <v>0.35910062266103882</v>
      </c>
      <c r="AC32" s="200">
        <f t="shared" si="9"/>
        <v>5.0617788265339581E-2</v>
      </c>
      <c r="AD32" s="200">
        <f t="shared" si="9"/>
        <v>0.19223113371287129</v>
      </c>
      <c r="AE32" s="200">
        <f t="shared" si="9"/>
        <v>1.1249315101576276</v>
      </c>
      <c r="AF32" s="200">
        <f t="shared" si="9"/>
        <v>7.4640205723110808</v>
      </c>
      <c r="AG32" s="200">
        <f t="shared" si="9"/>
        <v>24.25087625861946</v>
      </c>
      <c r="AH32" s="200">
        <f t="shared" si="9"/>
        <v>24.251463365823607</v>
      </c>
      <c r="AI32" s="200">
        <f t="shared" si="9"/>
        <v>2.2559561856729067</v>
      </c>
      <c r="AJ32" s="200">
        <f t="shared" si="9"/>
        <v>0.3962232393278044</v>
      </c>
      <c r="AK32" s="200">
        <f t="shared" si="9"/>
        <v>0.20499850031789982</v>
      </c>
      <c r="AL32" s="200">
        <f t="shared" si="9"/>
        <v>0.27275720459974112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>
      <c r="A33" s="5"/>
      <c r="B33" s="276"/>
      <c r="C33" s="276"/>
      <c r="D33" s="276"/>
      <c r="E33" s="276"/>
      <c r="F33" s="276"/>
      <c r="G33" s="30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>
      <c r="A34" s="5" t="s">
        <v>5</v>
      </c>
      <c r="B34" s="276">
        <f t="shared" ref="B34:G34" si="10">B14</f>
        <v>-12.977</v>
      </c>
      <c r="C34" s="276">
        <f t="shared" si="10"/>
        <v>7.0039999999999996</v>
      </c>
      <c r="D34" s="276">
        <f t="shared" si="10"/>
        <v>-1.605</v>
      </c>
      <c r="E34" s="276">
        <f t="shared" si="10"/>
        <v>-108.792</v>
      </c>
      <c r="F34" s="276">
        <f t="shared" si="10"/>
        <v>694.96900000000005</v>
      </c>
      <c r="G34" s="305">
        <f t="shared" si="10"/>
        <v>66.423399999999987</v>
      </c>
      <c r="H34" s="26">
        <f>H14*(1+H$9)^((H$6-$G$6)/365.25)</f>
        <v>1454.4239526508193</v>
      </c>
      <c r="I34" s="26">
        <f t="shared" ref="I34:AL34" si="11">I14*(1+I$9)^((I$6-$E$6)/365.25)</f>
        <v>20126.846097775346</v>
      </c>
      <c r="J34" s="26">
        <f t="shared" si="11"/>
        <v>15892.340584017968</v>
      </c>
      <c r="K34" s="26">
        <f t="shared" si="11"/>
        <v>581.59779944073648</v>
      </c>
      <c r="L34" s="26">
        <f t="shared" si="11"/>
        <v>18.573630033364466</v>
      </c>
      <c r="M34" s="26">
        <f t="shared" si="11"/>
        <v>15.596323010473839</v>
      </c>
      <c r="N34" s="26">
        <f t="shared" si="11"/>
        <v>27.52491498096142</v>
      </c>
      <c r="O34" s="26">
        <f t="shared" si="11"/>
        <v>108.22276255907157</v>
      </c>
      <c r="P34" s="26">
        <f t="shared" si="11"/>
        <v>114.77999548548524</v>
      </c>
      <c r="Q34" s="26">
        <f t="shared" si="11"/>
        <v>12.763473861583435</v>
      </c>
      <c r="R34" s="26">
        <f t="shared" si="11"/>
        <v>31.771143714515897</v>
      </c>
      <c r="S34" s="26">
        <f t="shared" si="11"/>
        <v>345.74785601613581</v>
      </c>
      <c r="T34" s="26">
        <f t="shared" si="11"/>
        <v>3449.0127500137569</v>
      </c>
      <c r="U34" s="26">
        <f t="shared" si="11"/>
        <v>10631.612772501308</v>
      </c>
      <c r="V34" s="26">
        <f t="shared" si="11"/>
        <v>11486.588517662944</v>
      </c>
      <c r="W34" s="26">
        <f t="shared" si="11"/>
        <v>553.82927641535389</v>
      </c>
      <c r="X34" s="26">
        <f t="shared" si="11"/>
        <v>41.642233016943457</v>
      </c>
      <c r="Y34" s="26">
        <f t="shared" si="11"/>
        <v>34.352916876960677</v>
      </c>
      <c r="Z34" s="26">
        <f t="shared" si="11"/>
        <v>46.899530646088451</v>
      </c>
      <c r="AA34" s="26">
        <f t="shared" si="11"/>
        <v>132.2805413584847</v>
      </c>
      <c r="AB34" s="26">
        <f t="shared" si="11"/>
        <v>132.2447590968867</v>
      </c>
      <c r="AC34" s="26">
        <f t="shared" si="11"/>
        <v>17.736826954111265</v>
      </c>
      <c r="AD34" s="26">
        <f t="shared" si="11"/>
        <v>48.712192785106296</v>
      </c>
      <c r="AE34" s="26">
        <f t="shared" si="11"/>
        <v>324.23620354201205</v>
      </c>
      <c r="AF34" s="26">
        <f t="shared" si="11"/>
        <v>2411.1566034006273</v>
      </c>
      <c r="AG34" s="26">
        <f t="shared" si="11"/>
        <v>7992.8728188838641</v>
      </c>
      <c r="AH34" s="26">
        <f t="shared" si="11"/>
        <v>7992.4118067055706</v>
      </c>
      <c r="AI34" s="26">
        <f t="shared" si="11"/>
        <v>708.42884716873289</v>
      </c>
      <c r="AJ34" s="26">
        <f t="shared" si="11"/>
        <v>104.11223314658564</v>
      </c>
      <c r="AK34" s="26">
        <f t="shared" si="11"/>
        <v>74.375854847986176</v>
      </c>
      <c r="AL34" s="26">
        <f t="shared" si="11"/>
        <v>99.886219336534921</v>
      </c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>
      <c r="A35" s="5" t="s">
        <v>214</v>
      </c>
      <c r="B35" s="328">
        <f>Assumptions!$D$21</f>
        <v>341.25</v>
      </c>
      <c r="C35" s="328">
        <f>Assumptions!$D$21</f>
        <v>341.25</v>
      </c>
      <c r="D35" s="328">
        <f>Assumptions!$D$21</f>
        <v>341.25</v>
      </c>
      <c r="E35" s="328">
        <f>Assumptions!$D$17</f>
        <v>266.25</v>
      </c>
      <c r="F35" s="328">
        <f>Assumptions!$D$17</f>
        <v>266.25</v>
      </c>
      <c r="G35" s="329">
        <f>(G$6-F$6)/(H$6-F$6)*Assumptions!$D$13</f>
        <v>179.86666666666667</v>
      </c>
      <c r="H35" s="325">
        <f>Assumptions!$D$13-G35</f>
        <v>157.38333333333333</v>
      </c>
      <c r="I35" s="325">
        <f>Assumptions!$D$13</f>
        <v>337.25</v>
      </c>
      <c r="J35" s="325">
        <f>Assumptions!$D$13</f>
        <v>337.25</v>
      </c>
      <c r="K35" s="325">
        <f>Assumptions!$D$13</f>
        <v>337.25</v>
      </c>
      <c r="L35" s="325">
        <f>Assumptions!$D$17</f>
        <v>266.25</v>
      </c>
      <c r="M35" s="325">
        <f>Assumptions!$D$21</f>
        <v>341.25</v>
      </c>
      <c r="N35" s="325">
        <f>Assumptions!$D$21</f>
        <v>341.25</v>
      </c>
      <c r="O35" s="325">
        <f>Assumptions!$D$21</f>
        <v>341.25</v>
      </c>
      <c r="P35" s="325">
        <f>Assumptions!$D$21</f>
        <v>341.25</v>
      </c>
      <c r="Q35" s="325">
        <f>Assumptions!$D$21</f>
        <v>341.25</v>
      </c>
      <c r="R35" s="325">
        <f>Assumptions!$D$17</f>
        <v>266.25</v>
      </c>
      <c r="S35" s="325">
        <f>Assumptions!$D$17</f>
        <v>266.25</v>
      </c>
      <c r="T35" s="325">
        <f>Assumptions!$D$13</f>
        <v>337.25</v>
      </c>
      <c r="U35" s="325">
        <f>Assumptions!$D$13</f>
        <v>337.25</v>
      </c>
      <c r="V35" s="325">
        <f>Assumptions!$D$13</f>
        <v>337.25</v>
      </c>
      <c r="W35" s="325">
        <f>Assumptions!$D$13</f>
        <v>337.25</v>
      </c>
      <c r="X35" s="325">
        <f>Assumptions!$D$17</f>
        <v>266.25</v>
      </c>
      <c r="Y35" s="325">
        <f>Assumptions!$D$21</f>
        <v>341.25</v>
      </c>
      <c r="Z35" s="325">
        <f>Assumptions!$D$21</f>
        <v>341.25</v>
      </c>
      <c r="AA35" s="325">
        <f>Assumptions!$D$21</f>
        <v>341.25</v>
      </c>
      <c r="AB35" s="325">
        <f>Assumptions!$D$21</f>
        <v>341.25</v>
      </c>
      <c r="AC35" s="325">
        <f>Assumptions!$D$21</f>
        <v>341.25</v>
      </c>
      <c r="AD35" s="325">
        <f>Assumptions!$D$17</f>
        <v>266.25</v>
      </c>
      <c r="AE35" s="325">
        <f>Assumptions!$D$17</f>
        <v>266.25</v>
      </c>
      <c r="AF35" s="325">
        <f>Assumptions!$D$13</f>
        <v>337.25</v>
      </c>
      <c r="AG35" s="325">
        <f>Assumptions!$D$13</f>
        <v>337.25</v>
      </c>
      <c r="AH35" s="325">
        <f>Assumptions!$D$13</f>
        <v>337.25</v>
      </c>
      <c r="AI35" s="325">
        <f>Assumptions!$D$13</f>
        <v>337.25</v>
      </c>
      <c r="AJ35" s="325">
        <f>Assumptions!$D$17</f>
        <v>266.25</v>
      </c>
      <c r="AK35" s="325">
        <f>Assumptions!$D$21</f>
        <v>341.25</v>
      </c>
      <c r="AL35" s="325">
        <f>Assumptions!$D$21</f>
        <v>341.25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>
      <c r="A36" s="5" t="s">
        <v>215</v>
      </c>
      <c r="B36" s="326">
        <f t="shared" ref="B36:AL36" si="12">B34/B35</f>
        <v>-3.8027838827838827E-2</v>
      </c>
      <c r="C36" s="326">
        <f t="shared" si="12"/>
        <v>2.0524542124542123E-2</v>
      </c>
      <c r="D36" s="326">
        <f t="shared" si="12"/>
        <v>-4.703296703296703E-3</v>
      </c>
      <c r="E36" s="326">
        <f t="shared" si="12"/>
        <v>-0.40860845070422536</v>
      </c>
      <c r="F36" s="326">
        <f t="shared" si="12"/>
        <v>2.6102122065727702</v>
      </c>
      <c r="G36" s="327">
        <f t="shared" si="12"/>
        <v>0.36929243884358776</v>
      </c>
      <c r="H36" s="200">
        <f t="shared" si="12"/>
        <v>9.2412831895636085</v>
      </c>
      <c r="I36" s="200">
        <f t="shared" si="12"/>
        <v>59.67930644262519</v>
      </c>
      <c r="J36" s="200">
        <f t="shared" si="12"/>
        <v>47.123322710208946</v>
      </c>
      <c r="K36" s="200">
        <f t="shared" si="12"/>
        <v>1.7245301688383587</v>
      </c>
      <c r="L36" s="200">
        <f t="shared" si="12"/>
        <v>6.9760112801368887E-2</v>
      </c>
      <c r="M36" s="200">
        <f t="shared" si="12"/>
        <v>4.5703510653403188E-2</v>
      </c>
      <c r="N36" s="200">
        <f t="shared" si="12"/>
        <v>8.0659091519300868E-2</v>
      </c>
      <c r="O36" s="200">
        <f t="shared" si="12"/>
        <v>0.31713630053940389</v>
      </c>
      <c r="P36" s="200">
        <f t="shared" si="12"/>
        <v>0.3363516351223011</v>
      </c>
      <c r="Q36" s="200">
        <f t="shared" si="12"/>
        <v>3.7402121206105303E-2</v>
      </c>
      <c r="R36" s="200">
        <f t="shared" si="12"/>
        <v>0.11932823930334609</v>
      </c>
      <c r="S36" s="200">
        <f t="shared" si="12"/>
        <v>1.2985834967742189</v>
      </c>
      <c r="T36" s="200">
        <f t="shared" si="12"/>
        <v>10.226872498187566</v>
      </c>
      <c r="U36" s="200">
        <f t="shared" si="12"/>
        <v>31.524426308380455</v>
      </c>
      <c r="V36" s="200">
        <f t="shared" si="12"/>
        <v>34.059565656524668</v>
      </c>
      <c r="W36" s="200">
        <f t="shared" si="12"/>
        <v>1.6421920723954155</v>
      </c>
      <c r="X36" s="200">
        <f t="shared" si="12"/>
        <v>0.1564027531152806</v>
      </c>
      <c r="Y36" s="200">
        <f t="shared" si="12"/>
        <v>0.10066788828413385</v>
      </c>
      <c r="Z36" s="200">
        <f t="shared" si="12"/>
        <v>0.13743452203981962</v>
      </c>
      <c r="AA36" s="200">
        <f t="shared" si="12"/>
        <v>0.38763528603218961</v>
      </c>
      <c r="AB36" s="200">
        <f t="shared" si="12"/>
        <v>0.38753042958794637</v>
      </c>
      <c r="AC36" s="200">
        <f t="shared" si="12"/>
        <v>5.1976049682377332E-2</v>
      </c>
      <c r="AD36" s="200">
        <f t="shared" si="12"/>
        <v>0.18295659262011754</v>
      </c>
      <c r="AE36" s="200">
        <f t="shared" si="12"/>
        <v>1.2177885579042707</v>
      </c>
      <c r="AF36" s="200">
        <f t="shared" si="12"/>
        <v>7.1494636127520454</v>
      </c>
      <c r="AG36" s="200">
        <f t="shared" si="12"/>
        <v>23.700141790611902</v>
      </c>
      <c r="AH36" s="200">
        <f t="shared" si="12"/>
        <v>23.698774816028379</v>
      </c>
      <c r="AI36" s="200">
        <f t="shared" si="12"/>
        <v>2.1006044393439076</v>
      </c>
      <c r="AJ36" s="200">
        <f t="shared" si="12"/>
        <v>0.39103186158342024</v>
      </c>
      <c r="AK36" s="200">
        <f t="shared" si="12"/>
        <v>0.21795122299776168</v>
      </c>
      <c r="AL36" s="200">
        <f t="shared" si="12"/>
        <v>0.29270686985065181</v>
      </c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>
      <c r="A37" s="5"/>
      <c r="B37" s="276"/>
      <c r="C37" s="276"/>
      <c r="D37" s="276"/>
      <c r="E37" s="276"/>
      <c r="F37" s="276"/>
      <c r="G37" s="30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>
      <c r="A38" s="223" t="s">
        <v>217</v>
      </c>
      <c r="B38" s="306">
        <f>SUM(B34,B30,B26)</f>
        <v>320.31099999999998</v>
      </c>
      <c r="C38" s="306">
        <f>SUM(C34,C30,C26)</f>
        <v>221.28699999999998</v>
      </c>
      <c r="D38" s="306">
        <f>SUM(D34,D30,D26)</f>
        <v>-340.476</v>
      </c>
      <c r="E38" s="306">
        <f>SUM(E34,E30,E26)</f>
        <v>-146.56100000000001</v>
      </c>
      <c r="F38" s="306">
        <f t="shared" ref="F38:AL38" si="13">SUM(F34,F30,F26)</f>
        <v>5920.4570000000003</v>
      </c>
      <c r="G38" s="307">
        <f t="shared" si="13"/>
        <v>569.71273110000004</v>
      </c>
      <c r="H38" s="308">
        <f t="shared" si="13"/>
        <v>5446.3241810546988</v>
      </c>
      <c r="I38" s="308">
        <f t="shared" si="13"/>
        <v>69325.463797407312</v>
      </c>
      <c r="J38" s="308">
        <f t="shared" si="13"/>
        <v>56649.200164226917</v>
      </c>
      <c r="K38" s="308">
        <f t="shared" si="13"/>
        <v>2265.028163617998</v>
      </c>
      <c r="L38" s="308">
        <f t="shared" si="13"/>
        <v>80.906235058407944</v>
      </c>
      <c r="M38" s="308">
        <f t="shared" si="13"/>
        <v>57.922235749365257</v>
      </c>
      <c r="N38" s="308">
        <f t="shared" si="13"/>
        <v>97.898179444978155</v>
      </c>
      <c r="O38" s="308">
        <f t="shared" si="13"/>
        <v>364.97970026941482</v>
      </c>
      <c r="P38" s="308">
        <f t="shared" si="13"/>
        <v>384.44447676941047</v>
      </c>
      <c r="Q38" s="308">
        <f t="shared" si="13"/>
        <v>46.897467775424971</v>
      </c>
      <c r="R38" s="308">
        <f t="shared" si="13"/>
        <v>125.45539776247648</v>
      </c>
      <c r="S38" s="308">
        <f t="shared" si="13"/>
        <v>1193.6119800640972</v>
      </c>
      <c r="T38" s="308">
        <f t="shared" si="13"/>
        <v>12624.696237983848</v>
      </c>
      <c r="U38" s="308">
        <f t="shared" si="13"/>
        <v>38075.284988569292</v>
      </c>
      <c r="V38" s="308">
        <f t="shared" si="13"/>
        <v>41139.865562138715</v>
      </c>
      <c r="W38" s="308">
        <f t="shared" si="13"/>
        <v>2129.1549027220944</v>
      </c>
      <c r="X38" s="308">
        <f t="shared" si="13"/>
        <v>168.29857411776547</v>
      </c>
      <c r="Y38" s="308">
        <f t="shared" si="13"/>
        <v>120.89173885180817</v>
      </c>
      <c r="Z38" s="308">
        <f t="shared" si="13"/>
        <v>161.28886979514658</v>
      </c>
      <c r="AA38" s="308">
        <f t="shared" si="13"/>
        <v>438.32749051152666</v>
      </c>
      <c r="AB38" s="308">
        <f t="shared" si="13"/>
        <v>436.45763586189736</v>
      </c>
      <c r="AC38" s="308">
        <f t="shared" si="13"/>
        <v>63.560317088651999</v>
      </c>
      <c r="AD38" s="308">
        <f t="shared" si="13"/>
        <v>185.36869057228807</v>
      </c>
      <c r="AE38" s="308">
        <f t="shared" si="13"/>
        <v>1098.8793952989895</v>
      </c>
      <c r="AF38" s="308">
        <f t="shared" si="13"/>
        <v>8812.7452153133072</v>
      </c>
      <c r="AG38" s="308">
        <f t="shared" si="13"/>
        <v>28655.377177060083</v>
      </c>
      <c r="AH38" s="308">
        <f t="shared" si="13"/>
        <v>28660.10886796096</v>
      </c>
      <c r="AI38" s="308">
        <f t="shared" si="13"/>
        <v>2662.1797593232118</v>
      </c>
      <c r="AJ38" s="308">
        <f t="shared" si="13"/>
        <v>385.88556918407977</v>
      </c>
      <c r="AK38" s="308">
        <f t="shared" si="13"/>
        <v>251.9999314684834</v>
      </c>
      <c r="AL38" s="308">
        <f t="shared" si="13"/>
        <v>333.00597576885917</v>
      </c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>
      <c r="A39" s="223"/>
      <c r="B39" s="276"/>
      <c r="C39" s="276"/>
      <c r="D39" s="276"/>
      <c r="E39" s="276"/>
      <c r="F39" s="276"/>
      <c r="G39" s="30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>
      <c r="A40" s="25"/>
      <c r="B40" s="276"/>
      <c r="C40" s="276"/>
      <c r="D40" s="276"/>
      <c r="E40" s="410"/>
      <c r="F40" s="276"/>
      <c r="G40" s="30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>
      <c r="A41" s="5" t="s">
        <v>34</v>
      </c>
      <c r="B41" s="276">
        <v>0</v>
      </c>
      <c r="C41" s="276">
        <v>0</v>
      </c>
      <c r="D41" s="276">
        <v>0</v>
      </c>
      <c r="E41" s="276">
        <f>E17</f>
        <v>0</v>
      </c>
      <c r="F41" s="276">
        <f>F17</f>
        <v>0</v>
      </c>
      <c r="G41" s="305">
        <f>G17</f>
        <v>77.049248350000013</v>
      </c>
      <c r="H41" s="26">
        <f>H17*(1+H$9)^((H$6-$G$6)/365.25)</f>
        <v>1762.4615365485224</v>
      </c>
      <c r="I41" s="26">
        <f t="shared" ref="I41:AL41" si="14">I17*(1+I$9)^((I$6-$E$6)/365.25)</f>
        <v>27236.843927072736</v>
      </c>
      <c r="J41" s="26">
        <f t="shared" si="14"/>
        <v>23632.631685106262</v>
      </c>
      <c r="K41" s="26">
        <f t="shared" si="14"/>
        <v>1160.7802246707802</v>
      </c>
      <c r="L41" s="26">
        <f t="shared" si="14"/>
        <v>71.046111215709416</v>
      </c>
      <c r="M41" s="26">
        <f t="shared" si="14"/>
        <v>45.5238370098592</v>
      </c>
      <c r="N41" s="26">
        <f t="shared" si="14"/>
        <v>65.972699443862808</v>
      </c>
      <c r="O41" s="26">
        <f t="shared" si="14"/>
        <v>202.46268449905077</v>
      </c>
      <c r="P41" s="26">
        <f t="shared" si="14"/>
        <v>209.53469048446539</v>
      </c>
      <c r="Q41" s="26">
        <f t="shared" si="14"/>
        <v>38.40064415763473</v>
      </c>
      <c r="R41" s="26">
        <f t="shared" si="14"/>
        <v>92.006429613660558</v>
      </c>
      <c r="S41" s="26">
        <f t="shared" si="14"/>
        <v>623.18426728822192</v>
      </c>
      <c r="T41" s="26">
        <f t="shared" si="14"/>
        <v>5616.3370700449022</v>
      </c>
      <c r="U41" s="26">
        <f t="shared" si="14"/>
        <v>16076.155313946148</v>
      </c>
      <c r="V41" s="26">
        <f t="shared" si="14"/>
        <v>17363.137619139361</v>
      </c>
      <c r="W41" s="26">
        <f t="shared" si="14"/>
        <v>1060.679812118367</v>
      </c>
      <c r="X41" s="26">
        <f t="shared" si="14"/>
        <v>125.95959612301418</v>
      </c>
      <c r="Y41" s="26">
        <f t="shared" si="14"/>
        <v>81.66330140772061</v>
      </c>
      <c r="Z41" s="26">
        <f t="shared" si="14"/>
        <v>98.732335827096662</v>
      </c>
      <c r="AA41" s="26">
        <f t="shared" si="14"/>
        <v>231.29031022940742</v>
      </c>
      <c r="AB41" s="26">
        <f t="shared" si="14"/>
        <v>227.76083156209296</v>
      </c>
      <c r="AC41" s="26">
        <f t="shared" si="14"/>
        <v>47.705085929152368</v>
      </c>
      <c r="AD41" s="26">
        <f t="shared" si="14"/>
        <v>123.4171973932847</v>
      </c>
      <c r="AE41" s="26">
        <f t="shared" si="14"/>
        <v>549.97076621181009</v>
      </c>
      <c r="AF41" s="26">
        <f t="shared" si="14"/>
        <v>3907.0692937811218</v>
      </c>
      <c r="AG41" s="26">
        <f t="shared" si="14"/>
        <v>12123.849081510207</v>
      </c>
      <c r="AH41" s="26">
        <f t="shared" si="14"/>
        <v>12130.350106814636</v>
      </c>
      <c r="AI41" s="26">
        <f t="shared" si="14"/>
        <v>1259.4178205827427</v>
      </c>
      <c r="AJ41" s="26">
        <f t="shared" si="14"/>
        <v>238.08183398268093</v>
      </c>
      <c r="AK41" s="26">
        <f t="shared" si="14"/>
        <v>148.51362150103952</v>
      </c>
      <c r="AL41" s="26">
        <f t="shared" si="14"/>
        <v>182.38025667293178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>
      <c r="A42" s="5" t="s">
        <v>214</v>
      </c>
      <c r="B42" s="328"/>
      <c r="C42" s="328"/>
      <c r="D42" s="328"/>
      <c r="E42" s="328"/>
      <c r="F42" s="276">
        <v>0</v>
      </c>
      <c r="G42" s="329">
        <v>0</v>
      </c>
      <c r="H42" s="325">
        <f>350*0.95-G42</f>
        <v>332.5</v>
      </c>
      <c r="I42" s="325">
        <f>Assumptions!$F$13</f>
        <v>475</v>
      </c>
      <c r="J42" s="325">
        <f>Assumptions!$F$13</f>
        <v>475</v>
      </c>
      <c r="K42" s="325">
        <f>Assumptions!$F$13</f>
        <v>475</v>
      </c>
      <c r="L42" s="325">
        <f>Assumptions!$F$17</f>
        <v>375</v>
      </c>
      <c r="M42" s="325">
        <f>Assumptions!$F$21</f>
        <v>416.25</v>
      </c>
      <c r="N42" s="325">
        <f>Assumptions!$F$21</f>
        <v>416.25</v>
      </c>
      <c r="O42" s="325">
        <f>Assumptions!$F$21</f>
        <v>416.25</v>
      </c>
      <c r="P42" s="325">
        <f>Assumptions!$F$21</f>
        <v>416.25</v>
      </c>
      <c r="Q42" s="325">
        <f>Assumptions!$F$21</f>
        <v>416.25</v>
      </c>
      <c r="R42" s="325">
        <f>Assumptions!$F$17</f>
        <v>375</v>
      </c>
      <c r="S42" s="325">
        <f>Assumptions!$F$17</f>
        <v>375</v>
      </c>
      <c r="T42" s="325">
        <f>Assumptions!$F$13</f>
        <v>475</v>
      </c>
      <c r="U42" s="325">
        <f>Assumptions!$F$13</f>
        <v>475</v>
      </c>
      <c r="V42" s="325">
        <f>Assumptions!$F$13</f>
        <v>475</v>
      </c>
      <c r="W42" s="325">
        <f>Assumptions!$F$13</f>
        <v>475</v>
      </c>
      <c r="X42" s="325">
        <f>Assumptions!$F$17</f>
        <v>375</v>
      </c>
      <c r="Y42" s="325">
        <f>Assumptions!$F$21</f>
        <v>416.25</v>
      </c>
      <c r="Z42" s="325">
        <f>Assumptions!$F$21</f>
        <v>416.25</v>
      </c>
      <c r="AA42" s="325">
        <f>Assumptions!$F$21</f>
        <v>416.25</v>
      </c>
      <c r="AB42" s="325">
        <f>Assumptions!$F$21</f>
        <v>416.25</v>
      </c>
      <c r="AC42" s="325">
        <f>Assumptions!$F$21</f>
        <v>416.25</v>
      </c>
      <c r="AD42" s="325">
        <f>Assumptions!$F$17</f>
        <v>375</v>
      </c>
      <c r="AE42" s="325">
        <f>Assumptions!$F$17</f>
        <v>375</v>
      </c>
      <c r="AF42" s="325">
        <f>Assumptions!$F$13</f>
        <v>475</v>
      </c>
      <c r="AG42" s="325">
        <f>Assumptions!$F$13</f>
        <v>475</v>
      </c>
      <c r="AH42" s="325">
        <f>Assumptions!$F$13</f>
        <v>475</v>
      </c>
      <c r="AI42" s="325">
        <f>Assumptions!$F$13</f>
        <v>475</v>
      </c>
      <c r="AJ42" s="325">
        <f>Assumptions!$F$17</f>
        <v>375</v>
      </c>
      <c r="AK42" s="325">
        <f>Assumptions!$F$21</f>
        <v>416.25</v>
      </c>
      <c r="AL42" s="325">
        <f>Assumptions!$F$21</f>
        <v>416.25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>
      <c r="A43" s="5" t="s">
        <v>215</v>
      </c>
      <c r="B43" s="326"/>
      <c r="C43" s="326"/>
      <c r="D43" s="326"/>
      <c r="E43" s="326"/>
      <c r="F43" s="326">
        <v>0</v>
      </c>
      <c r="G43" s="327">
        <v>0</v>
      </c>
      <c r="H43" s="200">
        <f t="shared" ref="H43:AL43" si="15">H41/H42</f>
        <v>5.3006362001459317</v>
      </c>
      <c r="I43" s="200">
        <f t="shared" si="15"/>
        <v>57.340724056995235</v>
      </c>
      <c r="J43" s="200">
        <f t="shared" si="15"/>
        <v>49.752908810750029</v>
      </c>
      <c r="K43" s="200">
        <f t="shared" si="15"/>
        <v>2.4437478414121689</v>
      </c>
      <c r="L43" s="200">
        <f t="shared" si="15"/>
        <v>0.18945629657522511</v>
      </c>
      <c r="M43" s="200">
        <f t="shared" si="15"/>
        <v>0.10936657539906114</v>
      </c>
      <c r="N43" s="200">
        <f t="shared" si="15"/>
        <v>0.15849297163690765</v>
      </c>
      <c r="O43" s="200">
        <f t="shared" si="15"/>
        <v>0.48639683963735919</v>
      </c>
      <c r="P43" s="200">
        <f t="shared" si="15"/>
        <v>0.50338664380652343</v>
      </c>
      <c r="Q43" s="200">
        <f t="shared" si="15"/>
        <v>9.2253799778101456E-2</v>
      </c>
      <c r="R43" s="200">
        <f t="shared" si="15"/>
        <v>0.24535047896976148</v>
      </c>
      <c r="S43" s="200">
        <f t="shared" si="15"/>
        <v>1.6618247127685917</v>
      </c>
      <c r="T43" s="200">
        <f t="shared" si="15"/>
        <v>11.823867515884004</v>
      </c>
      <c r="U43" s="200">
        <f t="shared" si="15"/>
        <v>33.844537503044521</v>
      </c>
      <c r="V43" s="200">
        <f t="shared" si="15"/>
        <v>36.553973935030236</v>
      </c>
      <c r="W43" s="200">
        <f t="shared" si="15"/>
        <v>2.2330101307755092</v>
      </c>
      <c r="X43" s="200">
        <f t="shared" si="15"/>
        <v>0.33589225632803782</v>
      </c>
      <c r="Y43" s="200">
        <f t="shared" si="15"/>
        <v>0.1961881114900195</v>
      </c>
      <c r="Z43" s="200">
        <f t="shared" si="15"/>
        <v>0.23719480078581781</v>
      </c>
      <c r="AA43" s="200">
        <f t="shared" si="15"/>
        <v>0.55565239694752533</v>
      </c>
      <c r="AB43" s="200">
        <f t="shared" si="15"/>
        <v>0.5471731689179411</v>
      </c>
      <c r="AC43" s="200">
        <f t="shared" si="15"/>
        <v>0.1146068130430087</v>
      </c>
      <c r="AD43" s="200">
        <f t="shared" si="15"/>
        <v>0.32911252638209254</v>
      </c>
      <c r="AE43" s="200">
        <f t="shared" si="15"/>
        <v>1.4665887098981603</v>
      </c>
      <c r="AF43" s="200">
        <f t="shared" si="15"/>
        <v>8.225409039539203</v>
      </c>
      <c r="AG43" s="200">
        <f t="shared" si="15"/>
        <v>25.523892803179383</v>
      </c>
      <c r="AH43" s="200">
        <f t="shared" si="15"/>
        <v>25.53757917224134</v>
      </c>
      <c r="AI43" s="200">
        <f t="shared" si="15"/>
        <v>2.6514059380689319</v>
      </c>
      <c r="AJ43" s="200">
        <f t="shared" si="15"/>
        <v>0.63488489062048248</v>
      </c>
      <c r="AK43" s="200">
        <f t="shared" si="15"/>
        <v>0.35678948108357844</v>
      </c>
      <c r="AL43" s="200">
        <f t="shared" si="15"/>
        <v>0.43815076678181808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>
      <c r="A44" s="5"/>
      <c r="B44" s="276"/>
      <c r="C44" s="276"/>
      <c r="D44" s="276"/>
      <c r="E44" s="276"/>
      <c r="F44" s="276"/>
      <c r="G44" s="30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>
      <c r="A45" s="5" t="s">
        <v>6</v>
      </c>
      <c r="B45" s="276">
        <v>0</v>
      </c>
      <c r="C45" s="276">
        <v>0</v>
      </c>
      <c r="D45" s="276">
        <v>0</v>
      </c>
      <c r="E45" s="276">
        <f>E18</f>
        <v>0</v>
      </c>
      <c r="F45" s="276">
        <f>F18</f>
        <v>-116.54600000000001</v>
      </c>
      <c r="G45" s="305">
        <f>G18</f>
        <v>14.057309999999998</v>
      </c>
      <c r="H45" s="26">
        <f>H18*(1+H$9)^((H$6-$G$6)/365.25)</f>
        <v>2221.1669200304609</v>
      </c>
      <c r="I45" s="26">
        <f t="shared" ref="I45:AL45" si="16">I18*(1+I$9)^((I$6-$E$6)/365.25)</f>
        <v>30169.504773937482</v>
      </c>
      <c r="J45" s="26">
        <f t="shared" si="16"/>
        <v>19970.401507973318</v>
      </c>
      <c r="K45" s="26">
        <f t="shared" si="16"/>
        <v>1161.2450444510773</v>
      </c>
      <c r="L45" s="26">
        <f t="shared" si="16"/>
        <v>20.243992819050558</v>
      </c>
      <c r="M45" s="26">
        <f t="shared" si="16"/>
        <v>20.736615410733833</v>
      </c>
      <c r="N45" s="26">
        <f t="shared" si="16"/>
        <v>15.015499154240006</v>
      </c>
      <c r="O45" s="26">
        <f t="shared" si="16"/>
        <v>149.40773328871879</v>
      </c>
      <c r="P45" s="26">
        <f t="shared" si="16"/>
        <v>159.47865905552501</v>
      </c>
      <c r="Q45" s="26">
        <f t="shared" si="16"/>
        <v>15.4349432249717</v>
      </c>
      <c r="R45" s="26">
        <f t="shared" si="16"/>
        <v>45.254890585775513</v>
      </c>
      <c r="S45" s="26">
        <f t="shared" si="16"/>
        <v>459.1239720492743</v>
      </c>
      <c r="T45" s="26">
        <f t="shared" si="16"/>
        <v>5189.8555888096262</v>
      </c>
      <c r="U45" s="26">
        <f t="shared" si="16"/>
        <v>14361.264264345054</v>
      </c>
      <c r="V45" s="26">
        <f t="shared" si="16"/>
        <v>15485.745104961423</v>
      </c>
      <c r="W45" s="26">
        <f t="shared" si="16"/>
        <v>850.42792350613581</v>
      </c>
      <c r="X45" s="26">
        <f t="shared" si="16"/>
        <v>38.749730730384329</v>
      </c>
      <c r="Y45" s="26">
        <f t="shared" si="16"/>
        <v>43.873466429397347</v>
      </c>
      <c r="Z45" s="26">
        <f t="shared" si="16"/>
        <v>29.466661269105177</v>
      </c>
      <c r="AA45" s="26">
        <f t="shared" si="16"/>
        <v>143.64765610076125</v>
      </c>
      <c r="AB45" s="26">
        <f t="shared" si="16"/>
        <v>147.76706662541568</v>
      </c>
      <c r="AC45" s="26">
        <f t="shared" si="16"/>
        <v>34.609886091603499</v>
      </c>
      <c r="AD45" s="26">
        <f t="shared" si="16"/>
        <v>92.876623350369599</v>
      </c>
      <c r="AE45" s="26">
        <f t="shared" si="16"/>
        <v>417.66863184848495</v>
      </c>
      <c r="AF45" s="26">
        <f t="shared" si="16"/>
        <v>3613.5313942294142</v>
      </c>
      <c r="AG45" s="26">
        <f t="shared" si="16"/>
        <v>10979.552999150077</v>
      </c>
      <c r="AH45" s="26">
        <f t="shared" si="16"/>
        <v>10995.091920058185</v>
      </c>
      <c r="AI45" s="26">
        <f t="shared" si="16"/>
        <v>1114.0324502036224</v>
      </c>
      <c r="AJ45" s="26">
        <f t="shared" si="16"/>
        <v>85.400226586999949</v>
      </c>
      <c r="AK45" s="26">
        <f t="shared" si="16"/>
        <v>77.506415138148355</v>
      </c>
      <c r="AL45" s="26">
        <f t="shared" si="16"/>
        <v>60.35627484550627</v>
      </c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>
      <c r="A46" s="5" t="s">
        <v>214</v>
      </c>
      <c r="B46" s="328"/>
      <c r="C46" s="328"/>
      <c r="D46" s="328"/>
      <c r="E46" s="328"/>
      <c r="F46" s="276">
        <f>Assumptions!$G$17</f>
        <v>348.75</v>
      </c>
      <c r="G46" s="329">
        <f>(G$6-F$6)/(H$6-F$6)*Assumptions!$G$13</f>
        <v>235.6</v>
      </c>
      <c r="H46" s="325">
        <f>Assumptions!$G$13-G46</f>
        <v>206.15</v>
      </c>
      <c r="I46" s="325">
        <f>Assumptions!$G$13</f>
        <v>441.75</v>
      </c>
      <c r="J46" s="325">
        <f>Assumptions!$G$13</f>
        <v>441.75</v>
      </c>
      <c r="K46" s="325">
        <f>Assumptions!$G$13</f>
        <v>441.75</v>
      </c>
      <c r="L46" s="325">
        <f>Assumptions!$G$17</f>
        <v>348.75</v>
      </c>
      <c r="M46" s="325">
        <f>Assumptions!$G$21</f>
        <v>393.75</v>
      </c>
      <c r="N46" s="325">
        <f>Assumptions!$G$21</f>
        <v>393.75</v>
      </c>
      <c r="O46" s="325">
        <f>Assumptions!$G$21</f>
        <v>393.75</v>
      </c>
      <c r="P46" s="325">
        <f>Assumptions!$G$21</f>
        <v>393.75</v>
      </c>
      <c r="Q46" s="325">
        <f>Assumptions!$G$21</f>
        <v>393.75</v>
      </c>
      <c r="R46" s="325">
        <f>Assumptions!$G$17</f>
        <v>348.75</v>
      </c>
      <c r="S46" s="325">
        <f>Assumptions!$G$17</f>
        <v>348.75</v>
      </c>
      <c r="T46" s="325">
        <f>Assumptions!$G$13</f>
        <v>441.75</v>
      </c>
      <c r="U46" s="325">
        <f>Assumptions!$G$13</f>
        <v>441.75</v>
      </c>
      <c r="V46" s="325">
        <f>Assumptions!$G$13</f>
        <v>441.75</v>
      </c>
      <c r="W46" s="325">
        <f>Assumptions!$G$13</f>
        <v>441.75</v>
      </c>
      <c r="X46" s="325">
        <f>Assumptions!$G$17</f>
        <v>348.75</v>
      </c>
      <c r="Y46" s="325">
        <f>Assumptions!$G$21</f>
        <v>393.75</v>
      </c>
      <c r="Z46" s="325">
        <f>Assumptions!$G$21</f>
        <v>393.75</v>
      </c>
      <c r="AA46" s="325">
        <f>Assumptions!$G$21</f>
        <v>393.75</v>
      </c>
      <c r="AB46" s="325">
        <f>Assumptions!$G$21</f>
        <v>393.75</v>
      </c>
      <c r="AC46" s="325">
        <f>Assumptions!$G$21</f>
        <v>393.75</v>
      </c>
      <c r="AD46" s="325">
        <f>Assumptions!$G$17</f>
        <v>348.75</v>
      </c>
      <c r="AE46" s="325">
        <f>Assumptions!$G$17</f>
        <v>348.75</v>
      </c>
      <c r="AF46" s="325">
        <f>Assumptions!$G$13</f>
        <v>441.75</v>
      </c>
      <c r="AG46" s="325">
        <f>Assumptions!$G$13</f>
        <v>441.75</v>
      </c>
      <c r="AH46" s="325">
        <f>Assumptions!$G$13</f>
        <v>441.75</v>
      </c>
      <c r="AI46" s="325">
        <f>Assumptions!$G$13</f>
        <v>441.75</v>
      </c>
      <c r="AJ46" s="325">
        <f>Assumptions!$G$17</f>
        <v>348.75</v>
      </c>
      <c r="AK46" s="325">
        <f>Assumptions!$G$21</f>
        <v>393.75</v>
      </c>
      <c r="AL46" s="325">
        <f>Assumptions!$G$21</f>
        <v>393.75</v>
      </c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>
      <c r="A47" s="5" t="s">
        <v>215</v>
      </c>
      <c r="B47" s="326"/>
      <c r="C47" s="326"/>
      <c r="D47" s="326"/>
      <c r="E47" s="326"/>
      <c r="F47" s="326">
        <f>F45/F46</f>
        <v>-0.33418207885304663</v>
      </c>
      <c r="G47" s="327">
        <f>G45/G46</f>
        <v>5.9666001697792861E-2</v>
      </c>
      <c r="H47" s="200">
        <f t="shared" ref="H47:AL47" si="17">H45/H46</f>
        <v>10.774518166531461</v>
      </c>
      <c r="I47" s="200">
        <f t="shared" si="17"/>
        <v>68.295426766128998</v>
      </c>
      <c r="J47" s="200">
        <f t="shared" si="17"/>
        <v>45.207473702259918</v>
      </c>
      <c r="K47" s="200">
        <f t="shared" si="17"/>
        <v>2.6287380745921389</v>
      </c>
      <c r="L47" s="200">
        <f t="shared" si="17"/>
        <v>5.8047291237420952E-2</v>
      </c>
      <c r="M47" s="200">
        <f t="shared" si="17"/>
        <v>5.2664420090752589E-2</v>
      </c>
      <c r="N47" s="200">
        <f t="shared" si="17"/>
        <v>3.8134601026641284E-2</v>
      </c>
      <c r="O47" s="200">
        <f t="shared" si="17"/>
        <v>0.37944821152690483</v>
      </c>
      <c r="P47" s="200">
        <f t="shared" si="17"/>
        <v>0.40502516585530163</v>
      </c>
      <c r="Q47" s="200">
        <f t="shared" si="17"/>
        <v>3.9199855809451935E-2</v>
      </c>
      <c r="R47" s="200">
        <f t="shared" si="17"/>
        <v>0.12976312712767171</v>
      </c>
      <c r="S47" s="200">
        <f t="shared" si="17"/>
        <v>1.3164845076681699</v>
      </c>
      <c r="T47" s="200">
        <f t="shared" si="17"/>
        <v>11.748399748295702</v>
      </c>
      <c r="U47" s="200">
        <f t="shared" si="17"/>
        <v>32.509936082275168</v>
      </c>
      <c r="V47" s="200">
        <f t="shared" si="17"/>
        <v>35.05545015271403</v>
      </c>
      <c r="W47" s="200">
        <f t="shared" si="17"/>
        <v>1.9251339524756894</v>
      </c>
      <c r="X47" s="200">
        <f t="shared" si="17"/>
        <v>0.1111103390118547</v>
      </c>
      <c r="Y47" s="200">
        <f t="shared" si="17"/>
        <v>0.1114246766460885</v>
      </c>
      <c r="Z47" s="200">
        <f t="shared" si="17"/>
        <v>7.4835965127886164E-2</v>
      </c>
      <c r="AA47" s="200">
        <f t="shared" si="17"/>
        <v>0.36481944406542538</v>
      </c>
      <c r="AB47" s="200">
        <f t="shared" si="17"/>
        <v>0.37528143904867473</v>
      </c>
      <c r="AC47" s="200">
        <f t="shared" si="17"/>
        <v>8.7898123407246981E-2</v>
      </c>
      <c r="AD47" s="200">
        <f t="shared" si="17"/>
        <v>0.26631289849568346</v>
      </c>
      <c r="AE47" s="200">
        <f t="shared" si="17"/>
        <v>1.197616148669491</v>
      </c>
      <c r="AF47" s="200">
        <f t="shared" si="17"/>
        <v>8.180037112007728</v>
      </c>
      <c r="AG47" s="200">
        <f t="shared" si="17"/>
        <v>24.854675719637978</v>
      </c>
      <c r="AH47" s="200">
        <f t="shared" si="17"/>
        <v>24.889851545123225</v>
      </c>
      <c r="AI47" s="200">
        <f t="shared" si="17"/>
        <v>2.5218618001213864</v>
      </c>
      <c r="AJ47" s="200">
        <f t="shared" si="17"/>
        <v>0.24487520168315396</v>
      </c>
      <c r="AK47" s="200">
        <f t="shared" si="17"/>
        <v>0.19684168923974185</v>
      </c>
      <c r="AL47" s="200">
        <f t="shared" si="17"/>
        <v>0.15328577738541274</v>
      </c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>
      <c r="A48" s="5"/>
      <c r="B48" s="276"/>
      <c r="C48" s="276"/>
      <c r="D48" s="276"/>
      <c r="E48" s="276"/>
      <c r="F48" s="276"/>
      <c r="G48" s="30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>
      <c r="A49" s="5" t="s">
        <v>125</v>
      </c>
      <c r="B49" s="276">
        <v>0</v>
      </c>
      <c r="C49" s="276">
        <v>0</v>
      </c>
      <c r="D49" s="276">
        <v>0</v>
      </c>
      <c r="E49" s="276">
        <f>E19</f>
        <v>0</v>
      </c>
      <c r="F49" s="276">
        <f>F19</f>
        <v>-134.31</v>
      </c>
      <c r="G49" s="305">
        <f>G19</f>
        <v>-161.28692000000004</v>
      </c>
      <c r="H49" s="26">
        <f>H19*(1+H$9)^((H$6-$G$6)/365.25)</f>
        <v>2527.7442514276954</v>
      </c>
      <c r="I49" s="26">
        <f t="shared" ref="I49:AL49" si="18">I19*(1+I$9)^((I$6-$E$6)/365.25)</f>
        <v>35001.735043231041</v>
      </c>
      <c r="J49" s="26">
        <f t="shared" si="18"/>
        <v>24538.080754857612</v>
      </c>
      <c r="K49" s="26">
        <f t="shared" si="18"/>
        <v>1353.8034067808617</v>
      </c>
      <c r="L49" s="26">
        <f t="shared" si="18"/>
        <v>17.858612986594355</v>
      </c>
      <c r="M49" s="26">
        <f t="shared" si="18"/>
        <v>31.12648635659853</v>
      </c>
      <c r="N49" s="26">
        <f t="shared" si="18"/>
        <v>32.999751655359468</v>
      </c>
      <c r="O49" s="26">
        <f t="shared" si="18"/>
        <v>209.83935823163111</v>
      </c>
      <c r="P49" s="26">
        <f t="shared" si="18"/>
        <v>224.59511402043748</v>
      </c>
      <c r="Q49" s="26">
        <f t="shared" si="18"/>
        <v>25.974247830756337</v>
      </c>
      <c r="R49" s="26">
        <f t="shared" si="18"/>
        <v>44.374497612047158</v>
      </c>
      <c r="S49" s="26">
        <f t="shared" si="18"/>
        <v>426.7107312709374</v>
      </c>
      <c r="T49" s="26">
        <f t="shared" si="18"/>
        <v>6509.5221516238553</v>
      </c>
      <c r="U49" s="26">
        <f t="shared" si="18"/>
        <v>18306.275066074726</v>
      </c>
      <c r="V49" s="26">
        <f t="shared" si="18"/>
        <v>19747.31025783189</v>
      </c>
      <c r="W49" s="26">
        <f t="shared" si="18"/>
        <v>1041.6504014703846</v>
      </c>
      <c r="X49" s="26">
        <f t="shared" si="18"/>
        <v>35.511529036763399</v>
      </c>
      <c r="Y49" s="26">
        <f t="shared" si="18"/>
        <v>59.943148072100286</v>
      </c>
      <c r="Z49" s="26">
        <f t="shared" si="18"/>
        <v>44.004446317851851</v>
      </c>
      <c r="AA49" s="26">
        <f t="shared" si="18"/>
        <v>207.44936750382405</v>
      </c>
      <c r="AB49" s="26">
        <f t="shared" si="18"/>
        <v>216.44563706346494</v>
      </c>
      <c r="AC49" s="26">
        <f t="shared" si="18"/>
        <v>53.65755017633299</v>
      </c>
      <c r="AD49" s="26">
        <f t="shared" si="18"/>
        <v>107.09742943218919</v>
      </c>
      <c r="AE49" s="26">
        <f t="shared" si="18"/>
        <v>448.37872114945463</v>
      </c>
      <c r="AF49" s="26">
        <f t="shared" si="18"/>
        <v>4514.0216388389381</v>
      </c>
      <c r="AG49" s="26">
        <f t="shared" si="18"/>
        <v>13997.255759972213</v>
      </c>
      <c r="AH49" s="26">
        <f t="shared" si="18"/>
        <v>14018.681027022745</v>
      </c>
      <c r="AI49" s="26">
        <f t="shared" si="18"/>
        <v>1392.2385135788593</v>
      </c>
      <c r="AJ49" s="26">
        <f t="shared" si="18"/>
        <v>86.599199773144448</v>
      </c>
      <c r="AK49" s="26">
        <f t="shared" si="18"/>
        <v>100.54916252542924</v>
      </c>
      <c r="AL49" s="26">
        <f t="shared" si="18"/>
        <v>82.287894981725117</v>
      </c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>
      <c r="A50" s="5" t="s">
        <v>214</v>
      </c>
      <c r="B50" s="328"/>
      <c r="C50" s="328"/>
      <c r="D50" s="328"/>
      <c r="E50" s="328"/>
      <c r="F50" s="276">
        <f>Assumptions!H17</f>
        <v>450</v>
      </c>
      <c r="G50" s="329">
        <f>(G$6-F$6)/(H$6-F$6)*Assumptions!$H$13</f>
        <v>304</v>
      </c>
      <c r="H50" s="325">
        <f>Assumptions!$H$13-G50</f>
        <v>266</v>
      </c>
      <c r="I50" s="325">
        <f>Assumptions!$H$13</f>
        <v>570</v>
      </c>
      <c r="J50" s="325">
        <f>Assumptions!$H$13</f>
        <v>570</v>
      </c>
      <c r="K50" s="325">
        <f>Assumptions!$H$13</f>
        <v>570</v>
      </c>
      <c r="L50" s="325">
        <f>Assumptions!$H$17</f>
        <v>450</v>
      </c>
      <c r="M50" s="325">
        <f>Assumptions!$H$21</f>
        <v>517.5</v>
      </c>
      <c r="N50" s="325">
        <f>Assumptions!$H$21</f>
        <v>517.5</v>
      </c>
      <c r="O50" s="325">
        <f>Assumptions!$H$21</f>
        <v>517.5</v>
      </c>
      <c r="P50" s="325">
        <f>Assumptions!$H$21</f>
        <v>517.5</v>
      </c>
      <c r="Q50" s="325">
        <f>Assumptions!$H$21</f>
        <v>517.5</v>
      </c>
      <c r="R50" s="325">
        <f>Assumptions!$H$17</f>
        <v>450</v>
      </c>
      <c r="S50" s="325">
        <f>Assumptions!$H$17</f>
        <v>450</v>
      </c>
      <c r="T50" s="325">
        <f>Assumptions!$H$13</f>
        <v>570</v>
      </c>
      <c r="U50" s="325">
        <f>Assumptions!$H$13</f>
        <v>570</v>
      </c>
      <c r="V50" s="325">
        <f>Assumptions!$H$13</f>
        <v>570</v>
      </c>
      <c r="W50" s="325">
        <f>Assumptions!$H$13</f>
        <v>570</v>
      </c>
      <c r="X50" s="325">
        <f>Assumptions!$H$17</f>
        <v>450</v>
      </c>
      <c r="Y50" s="325">
        <f>Assumptions!$H$21</f>
        <v>517.5</v>
      </c>
      <c r="Z50" s="325">
        <f>Assumptions!$H$21</f>
        <v>517.5</v>
      </c>
      <c r="AA50" s="325">
        <f>Assumptions!$H$21</f>
        <v>517.5</v>
      </c>
      <c r="AB50" s="325">
        <f>Assumptions!$H$21</f>
        <v>517.5</v>
      </c>
      <c r="AC50" s="325">
        <f>Assumptions!$H$21</f>
        <v>517.5</v>
      </c>
      <c r="AD50" s="325">
        <f>Assumptions!$H$17</f>
        <v>450</v>
      </c>
      <c r="AE50" s="325">
        <f>Assumptions!$H$17</f>
        <v>450</v>
      </c>
      <c r="AF50" s="325">
        <f>Assumptions!$H$13</f>
        <v>570</v>
      </c>
      <c r="AG50" s="325">
        <f>Assumptions!$H$13</f>
        <v>570</v>
      </c>
      <c r="AH50" s="325">
        <f>Assumptions!$H$13</f>
        <v>570</v>
      </c>
      <c r="AI50" s="325">
        <f>Assumptions!$H$13</f>
        <v>570</v>
      </c>
      <c r="AJ50" s="325">
        <f>Assumptions!$H$17</f>
        <v>450</v>
      </c>
      <c r="AK50" s="325">
        <f>Assumptions!$H$21</f>
        <v>517.5</v>
      </c>
      <c r="AL50" s="325">
        <f>Assumptions!$H$21</f>
        <v>517.5</v>
      </c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>
      <c r="A51" s="5" t="s">
        <v>215</v>
      </c>
      <c r="B51" s="326"/>
      <c r="C51" s="326"/>
      <c r="D51" s="326"/>
      <c r="E51" s="326"/>
      <c r="F51" s="326">
        <f>F49/F50</f>
        <v>-0.29846666666666666</v>
      </c>
      <c r="G51" s="327">
        <f>G49/G50</f>
        <v>-0.53054907894736858</v>
      </c>
      <c r="H51" s="200">
        <f t="shared" ref="H51:AL51" si="19">H49/H50</f>
        <v>9.5027979376981033</v>
      </c>
      <c r="I51" s="200">
        <f t="shared" si="19"/>
        <v>61.406552707422883</v>
      </c>
      <c r="J51" s="200">
        <f t="shared" si="19"/>
        <v>43.04926448220634</v>
      </c>
      <c r="K51" s="200">
        <f t="shared" si="19"/>
        <v>2.375093696106775</v>
      </c>
      <c r="L51" s="200">
        <f t="shared" si="19"/>
        <v>3.9685806636876347E-2</v>
      </c>
      <c r="M51" s="200">
        <f t="shared" si="19"/>
        <v>6.014779972289571E-2</v>
      </c>
      <c r="N51" s="200">
        <f t="shared" si="19"/>
        <v>6.3767636049003804E-2</v>
      </c>
      <c r="O51" s="200">
        <f t="shared" si="19"/>
        <v>0.4054866825732002</v>
      </c>
      <c r="P51" s="200">
        <f t="shared" si="19"/>
        <v>0.43400022032934776</v>
      </c>
      <c r="Q51" s="200">
        <f t="shared" si="19"/>
        <v>5.019178324783833E-2</v>
      </c>
      <c r="R51" s="200">
        <f t="shared" si="19"/>
        <v>9.8609994693438133E-2</v>
      </c>
      <c r="S51" s="200">
        <f t="shared" si="19"/>
        <v>0.94824606949097201</v>
      </c>
      <c r="T51" s="200">
        <f t="shared" si="19"/>
        <v>11.420214301094482</v>
      </c>
      <c r="U51" s="200">
        <f t="shared" si="19"/>
        <v>32.116272045745134</v>
      </c>
      <c r="V51" s="200">
        <f t="shared" si="19"/>
        <v>34.64440396110858</v>
      </c>
      <c r="W51" s="200">
        <f t="shared" si="19"/>
        <v>1.8274568446848853</v>
      </c>
      <c r="X51" s="200">
        <f t="shared" si="19"/>
        <v>7.8914508970585329E-2</v>
      </c>
      <c r="Y51" s="200">
        <f t="shared" si="19"/>
        <v>0.11583217018763341</v>
      </c>
      <c r="Z51" s="200">
        <f t="shared" si="19"/>
        <v>8.5032746507926277E-2</v>
      </c>
      <c r="AA51" s="200">
        <f t="shared" si="19"/>
        <v>0.40086834300255852</v>
      </c>
      <c r="AB51" s="200">
        <f t="shared" si="19"/>
        <v>0.41825243876998058</v>
      </c>
      <c r="AC51" s="200">
        <f t="shared" si="19"/>
        <v>0.10368608729726182</v>
      </c>
      <c r="AD51" s="200">
        <f t="shared" si="19"/>
        <v>0.23799428762708708</v>
      </c>
      <c r="AE51" s="200">
        <f t="shared" si="19"/>
        <v>0.99639715810989915</v>
      </c>
      <c r="AF51" s="200">
        <f t="shared" si="19"/>
        <v>7.9193362084893648</v>
      </c>
      <c r="AG51" s="200">
        <f t="shared" si="19"/>
        <v>24.556589052582829</v>
      </c>
      <c r="AH51" s="200">
        <f t="shared" si="19"/>
        <v>24.594177240390781</v>
      </c>
      <c r="AI51" s="200">
        <f t="shared" si="19"/>
        <v>2.4425237080330864</v>
      </c>
      <c r="AJ51" s="200">
        <f t="shared" si="19"/>
        <v>0.19244266616254321</v>
      </c>
      <c r="AK51" s="200">
        <f t="shared" si="19"/>
        <v>0.19429789859986327</v>
      </c>
      <c r="AL51" s="200">
        <f t="shared" si="19"/>
        <v>0.15901042508545915</v>
      </c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>
      <c r="A52" s="5"/>
      <c r="B52" s="276"/>
      <c r="C52" s="276"/>
      <c r="D52" s="276"/>
      <c r="E52" s="276"/>
      <c r="F52" s="276"/>
      <c r="G52" s="30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>
      <c r="A53" s="223" t="s">
        <v>216</v>
      </c>
      <c r="B53" s="306">
        <f>SUM(B49,B45,B41)</f>
        <v>0</v>
      </c>
      <c r="C53" s="306">
        <f>SUM(C49,C45,C41)</f>
        <v>0</v>
      </c>
      <c r="D53" s="306">
        <f>SUM(D49,D45,D41)</f>
        <v>0</v>
      </c>
      <c r="E53" s="306">
        <f>SUM(E49,E45,E41)</f>
        <v>0</v>
      </c>
      <c r="F53" s="306">
        <f t="shared" ref="F53:AL53" si="20">SUM(F49,F45,F41)</f>
        <v>-250.85599999999999</v>
      </c>
      <c r="G53" s="307">
        <f t="shared" si="20"/>
        <v>-70.180361650000023</v>
      </c>
      <c r="H53" s="308">
        <f t="shared" si="20"/>
        <v>6511.3727080066783</v>
      </c>
      <c r="I53" s="308">
        <f t="shared" si="20"/>
        <v>92408.083744241259</v>
      </c>
      <c r="J53" s="308">
        <f t="shared" si="20"/>
        <v>68141.113947937192</v>
      </c>
      <c r="K53" s="308">
        <f t="shared" si="20"/>
        <v>3675.8286759027192</v>
      </c>
      <c r="L53" s="308">
        <f t="shared" si="20"/>
        <v>109.14871702135433</v>
      </c>
      <c r="M53" s="308">
        <f t="shared" si="20"/>
        <v>97.386938777191574</v>
      </c>
      <c r="N53" s="308">
        <f t="shared" si="20"/>
        <v>113.98795025346229</v>
      </c>
      <c r="O53" s="308">
        <f t="shared" si="20"/>
        <v>561.70977601940069</v>
      </c>
      <c r="P53" s="308">
        <f t="shared" si="20"/>
        <v>593.60846356042794</v>
      </c>
      <c r="Q53" s="308">
        <f t="shared" si="20"/>
        <v>79.80983521336276</v>
      </c>
      <c r="R53" s="308">
        <f t="shared" si="20"/>
        <v>181.63581781148321</v>
      </c>
      <c r="S53" s="308">
        <f t="shared" si="20"/>
        <v>1509.0189706084336</v>
      </c>
      <c r="T53" s="308">
        <f t="shared" si="20"/>
        <v>17315.714810478385</v>
      </c>
      <c r="U53" s="308">
        <f t="shared" si="20"/>
        <v>48743.694644365925</v>
      </c>
      <c r="V53" s="308">
        <f t="shared" si="20"/>
        <v>52596.192981932676</v>
      </c>
      <c r="W53" s="308">
        <f t="shared" si="20"/>
        <v>2952.7581370948874</v>
      </c>
      <c r="X53" s="308">
        <f t="shared" si="20"/>
        <v>200.22085589016189</v>
      </c>
      <c r="Y53" s="308">
        <f t="shared" si="20"/>
        <v>185.47991590921825</v>
      </c>
      <c r="Z53" s="308">
        <f t="shared" si="20"/>
        <v>172.20344341405371</v>
      </c>
      <c r="AA53" s="308">
        <f t="shared" si="20"/>
        <v>582.38733383399267</v>
      </c>
      <c r="AB53" s="308">
        <f t="shared" si="20"/>
        <v>591.97353525097355</v>
      </c>
      <c r="AC53" s="308">
        <f t="shared" si="20"/>
        <v>135.97252219708886</v>
      </c>
      <c r="AD53" s="308">
        <f t="shared" si="20"/>
        <v>323.39125017584348</v>
      </c>
      <c r="AE53" s="308">
        <f t="shared" si="20"/>
        <v>1416.0181192097498</v>
      </c>
      <c r="AF53" s="308">
        <f t="shared" si="20"/>
        <v>12034.622326849474</v>
      </c>
      <c r="AG53" s="308">
        <f t="shared" si="20"/>
        <v>37100.657840632499</v>
      </c>
      <c r="AH53" s="308">
        <f t="shared" si="20"/>
        <v>37144.123053895564</v>
      </c>
      <c r="AI53" s="308">
        <f t="shared" si="20"/>
        <v>3765.6887843652248</v>
      </c>
      <c r="AJ53" s="308">
        <f t="shared" si="20"/>
        <v>410.08126034282532</v>
      </c>
      <c r="AK53" s="308">
        <f t="shared" si="20"/>
        <v>326.56919916461709</v>
      </c>
      <c r="AL53" s="308">
        <f t="shared" si="20"/>
        <v>325.02442650016314</v>
      </c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>
      <c r="A54" s="25"/>
      <c r="B54" s="276"/>
      <c r="C54" s="276"/>
      <c r="D54" s="276"/>
      <c r="E54" s="410"/>
      <c r="F54" s="276"/>
      <c r="G54" s="30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ht="13.8" thickBot="1">
      <c r="A55" s="25" t="s">
        <v>130</v>
      </c>
      <c r="B55" s="309">
        <f>B38+B53</f>
        <v>320.31099999999998</v>
      </c>
      <c r="C55" s="309">
        <f t="shared" ref="C55:AL55" si="21">C38+C53</f>
        <v>221.28699999999998</v>
      </c>
      <c r="D55" s="309">
        <f>D38+D53</f>
        <v>-340.476</v>
      </c>
      <c r="E55" s="309">
        <f t="shared" si="21"/>
        <v>-146.56100000000001</v>
      </c>
      <c r="F55" s="309">
        <f t="shared" si="21"/>
        <v>5669.6010000000006</v>
      </c>
      <c r="G55" s="310">
        <f t="shared" si="21"/>
        <v>499.53236945000003</v>
      </c>
      <c r="H55" s="192">
        <f t="shared" si="21"/>
        <v>11957.696889061377</v>
      </c>
      <c r="I55" s="192">
        <f t="shared" si="21"/>
        <v>161733.54754164856</v>
      </c>
      <c r="J55" s="192">
        <f t="shared" si="21"/>
        <v>124790.31411216411</v>
      </c>
      <c r="K55" s="192">
        <f t="shared" si="21"/>
        <v>5940.8568395207167</v>
      </c>
      <c r="L55" s="192">
        <f t="shared" si="21"/>
        <v>190.05495207976227</v>
      </c>
      <c r="M55" s="192">
        <f t="shared" si="21"/>
        <v>155.30917452655683</v>
      </c>
      <c r="N55" s="192">
        <f t="shared" si="21"/>
        <v>211.88612969844044</v>
      </c>
      <c r="O55" s="192">
        <f t="shared" si="21"/>
        <v>926.68947628881551</v>
      </c>
      <c r="P55" s="192">
        <f t="shared" si="21"/>
        <v>978.05294032983841</v>
      </c>
      <c r="Q55" s="192">
        <f t="shared" si="21"/>
        <v>126.70730298878773</v>
      </c>
      <c r="R55" s="192">
        <f t="shared" si="21"/>
        <v>307.09121557395969</v>
      </c>
      <c r="S55" s="192">
        <f t="shared" si="21"/>
        <v>2702.6309506725311</v>
      </c>
      <c r="T55" s="192">
        <f t="shared" si="21"/>
        <v>29940.411048462232</v>
      </c>
      <c r="U55" s="192">
        <f t="shared" si="21"/>
        <v>86818.979632935225</v>
      </c>
      <c r="V55" s="192">
        <f t="shared" si="21"/>
        <v>93736.058544071391</v>
      </c>
      <c r="W55" s="192">
        <f t="shared" si="21"/>
        <v>5081.9130398169818</v>
      </c>
      <c r="X55" s="192">
        <f t="shared" si="21"/>
        <v>368.51943000792733</v>
      </c>
      <c r="Y55" s="192">
        <f t="shared" si="21"/>
        <v>306.37165476102643</v>
      </c>
      <c r="Z55" s="192">
        <f t="shared" si="21"/>
        <v>333.49231320920029</v>
      </c>
      <c r="AA55" s="192">
        <f t="shared" si="21"/>
        <v>1020.7148243455193</v>
      </c>
      <c r="AB55" s="192">
        <f t="shared" si="21"/>
        <v>1028.431171112871</v>
      </c>
      <c r="AC55" s="192">
        <f t="shared" si="21"/>
        <v>199.53283928574086</v>
      </c>
      <c r="AD55" s="192">
        <f t="shared" si="21"/>
        <v>508.75994074813156</v>
      </c>
      <c r="AE55" s="192">
        <f t="shared" si="21"/>
        <v>2514.8975145087393</v>
      </c>
      <c r="AF55" s="192">
        <f t="shared" si="21"/>
        <v>20847.367542162781</v>
      </c>
      <c r="AG55" s="192">
        <f t="shared" si="21"/>
        <v>65756.035017692586</v>
      </c>
      <c r="AH55" s="192">
        <f t="shared" si="21"/>
        <v>65804.231921856524</v>
      </c>
      <c r="AI55" s="192">
        <f t="shared" si="21"/>
        <v>6427.8685436884371</v>
      </c>
      <c r="AJ55" s="192">
        <f t="shared" si="21"/>
        <v>795.96682952690503</v>
      </c>
      <c r="AK55" s="192">
        <f t="shared" si="21"/>
        <v>578.56913063310049</v>
      </c>
      <c r="AL55" s="192">
        <f t="shared" si="21"/>
        <v>658.03040226902226</v>
      </c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>
      <c r="A56" s="25" t="s">
        <v>222</v>
      </c>
      <c r="B56" s="30">
        <f>SUM(B50,B42,B35,B31,B27,B46)</f>
        <v>1125</v>
      </c>
      <c r="C56" s="30">
        <f t="shared" ref="C56:AL56" si="22">SUM(C50,C42,C35,C31,C27,C46)</f>
        <v>1125</v>
      </c>
      <c r="D56" s="30">
        <f>SUM(D50,D42,D35,D31,D27,D46)</f>
        <v>1125</v>
      </c>
      <c r="E56" s="30">
        <f t="shared" si="22"/>
        <v>933.75</v>
      </c>
      <c r="F56" s="30">
        <f t="shared" si="22"/>
        <v>1732.5</v>
      </c>
      <c r="G56" s="407">
        <f t="shared" si="22"/>
        <v>1170.3999999999999</v>
      </c>
      <c r="H56" s="30">
        <f t="shared" si="22"/>
        <v>1356.6000000000001</v>
      </c>
      <c r="I56" s="30">
        <f t="shared" si="22"/>
        <v>2669.5</v>
      </c>
      <c r="J56" s="30">
        <f t="shared" si="22"/>
        <v>2669.5</v>
      </c>
      <c r="K56" s="30">
        <f t="shared" si="22"/>
        <v>2669.5</v>
      </c>
      <c r="L56" s="30">
        <f t="shared" si="22"/>
        <v>2107.5</v>
      </c>
      <c r="M56" s="30">
        <f t="shared" si="22"/>
        <v>2452.5</v>
      </c>
      <c r="N56" s="30">
        <f t="shared" si="22"/>
        <v>2452.5</v>
      </c>
      <c r="O56" s="30">
        <f t="shared" si="22"/>
        <v>2452.5</v>
      </c>
      <c r="P56" s="30">
        <f t="shared" si="22"/>
        <v>2452.5</v>
      </c>
      <c r="Q56" s="30">
        <f t="shared" si="22"/>
        <v>2452.5</v>
      </c>
      <c r="R56" s="30">
        <f t="shared" si="22"/>
        <v>2107.5</v>
      </c>
      <c r="S56" s="30">
        <f t="shared" si="22"/>
        <v>2107.5</v>
      </c>
      <c r="T56" s="30">
        <f t="shared" si="22"/>
        <v>2669.5</v>
      </c>
      <c r="U56" s="30">
        <f t="shared" si="22"/>
        <v>2669.5</v>
      </c>
      <c r="V56" s="30">
        <f t="shared" si="22"/>
        <v>2669.5</v>
      </c>
      <c r="W56" s="30">
        <f t="shared" si="22"/>
        <v>2669.5</v>
      </c>
      <c r="X56" s="30">
        <f t="shared" si="22"/>
        <v>2107.5</v>
      </c>
      <c r="Y56" s="30">
        <f t="shared" si="22"/>
        <v>2452.5</v>
      </c>
      <c r="Z56" s="30">
        <f t="shared" si="22"/>
        <v>2452.5</v>
      </c>
      <c r="AA56" s="30">
        <f t="shared" si="22"/>
        <v>2452.5</v>
      </c>
      <c r="AB56" s="30">
        <f t="shared" si="22"/>
        <v>2452.5</v>
      </c>
      <c r="AC56" s="30">
        <f t="shared" si="22"/>
        <v>2452.5</v>
      </c>
      <c r="AD56" s="30">
        <f t="shared" si="22"/>
        <v>2107.5</v>
      </c>
      <c r="AE56" s="30">
        <f t="shared" si="22"/>
        <v>2107.5</v>
      </c>
      <c r="AF56" s="30">
        <f t="shared" si="22"/>
        <v>2669.5</v>
      </c>
      <c r="AG56" s="30">
        <f t="shared" si="22"/>
        <v>2669.5</v>
      </c>
      <c r="AH56" s="30">
        <f t="shared" si="22"/>
        <v>2669.5</v>
      </c>
      <c r="AI56" s="30">
        <f t="shared" si="22"/>
        <v>2669.5</v>
      </c>
      <c r="AJ56" s="30">
        <f t="shared" si="22"/>
        <v>2107.5</v>
      </c>
      <c r="AK56" s="30">
        <f t="shared" si="22"/>
        <v>2452.5</v>
      </c>
      <c r="AL56" s="30">
        <f t="shared" si="22"/>
        <v>2452.5</v>
      </c>
    </row>
    <row r="57" spans="1:49">
      <c r="A57" s="25"/>
      <c r="B57" s="30"/>
      <c r="C57" s="30"/>
      <c r="D57" s="26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1:49">
      <c r="A58" s="25"/>
      <c r="B58" s="30"/>
      <c r="C58" s="30"/>
      <c r="D58" s="26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49">
      <c r="A59" s="25"/>
      <c r="B59" s="30"/>
      <c r="C59" s="30"/>
      <c r="D59" s="26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1:49">
      <c r="A60" s="1" t="s">
        <v>139</v>
      </c>
      <c r="B60" s="30"/>
      <c r="C60" s="30"/>
      <c r="D60" s="26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1:49">
      <c r="A61" s="25"/>
      <c r="B61" s="30"/>
      <c r="C61" s="30"/>
      <c r="D61" s="26"/>
      <c r="E61" s="415" t="s">
        <v>272</v>
      </c>
      <c r="F61" s="415"/>
      <c r="G61" s="41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1:49">
      <c r="A62" s="25"/>
      <c r="B62" s="25">
        <v>2000</v>
      </c>
      <c r="C62" s="25">
        <v>2001</v>
      </c>
      <c r="D62" s="25">
        <v>2002</v>
      </c>
      <c r="E62" s="394">
        <v>2000</v>
      </c>
      <c r="F62" s="394">
        <v>2001</v>
      </c>
      <c r="G62" s="394">
        <v>2002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1:49">
      <c r="A63" s="2" t="s">
        <v>35</v>
      </c>
      <c r="B63" s="26"/>
      <c r="C63" s="201"/>
      <c r="D63" s="201"/>
      <c r="E63" s="403"/>
      <c r="F63" s="404"/>
      <c r="G63" s="404"/>
    </row>
    <row r="64" spans="1:49">
      <c r="A64" s="5" t="s">
        <v>131</v>
      </c>
      <c r="B64" s="26">
        <f t="shared" ref="B64:D66" si="23">SUMIF($B$7:$AL$7,B$62,$B12:$AL12)</f>
        <v>48889.990666776946</v>
      </c>
      <c r="C64" s="26">
        <f t="shared" si="23"/>
        <v>32601.145927981714</v>
      </c>
      <c r="D64" s="26">
        <f t="shared" si="23"/>
        <v>22681.007901243862</v>
      </c>
      <c r="E64" s="393">
        <f>[4]Sheet1!$O$39/1000</f>
        <v>48889.990666776939</v>
      </c>
      <c r="F64" s="393">
        <f>[4]Sheet1!$N$75/1000</f>
        <v>32601.145927981714</v>
      </c>
      <c r="G64" s="393">
        <f>[4]Sheet1!$N$106/1000</f>
        <v>22681.007901243865</v>
      </c>
      <c r="H64" s="54">
        <f t="shared" ref="H64:J66" si="24">B64-E64</f>
        <v>0</v>
      </c>
      <c r="I64" s="54">
        <f t="shared" si="24"/>
        <v>0</v>
      </c>
      <c r="J64" s="54">
        <f t="shared" si="24"/>
        <v>0</v>
      </c>
    </row>
    <row r="65" spans="1:10">
      <c r="A65" s="5" t="s">
        <v>132</v>
      </c>
      <c r="B65" s="26">
        <f t="shared" si="23"/>
        <v>51034.719695699008</v>
      </c>
      <c r="C65" s="26">
        <f t="shared" si="23"/>
        <v>31228.63868774848</v>
      </c>
      <c r="D65" s="26">
        <f t="shared" si="23"/>
        <v>21707.281978251292</v>
      </c>
      <c r="E65" s="393">
        <f>[4]Sheet1!$O$38/1000</f>
        <v>51034.719695699008</v>
      </c>
      <c r="F65" s="393">
        <f>[4]Sheet1!$N$74/1000</f>
        <v>31228.638687748484</v>
      </c>
      <c r="G65" s="393">
        <f>[4]Sheet1!$N$105/1000</f>
        <v>21707.281978251296</v>
      </c>
      <c r="H65" s="54">
        <f t="shared" si="24"/>
        <v>0</v>
      </c>
      <c r="I65" s="54">
        <f t="shared" si="24"/>
        <v>0</v>
      </c>
      <c r="J65" s="54">
        <f t="shared" si="24"/>
        <v>0</v>
      </c>
    </row>
    <row r="66" spans="1:10">
      <c r="A66" s="5" t="s">
        <v>133</v>
      </c>
      <c r="B66" s="26">
        <f t="shared" si="23"/>
        <v>38054.482122134919</v>
      </c>
      <c r="C66" s="26">
        <f t="shared" si="23"/>
        <v>24603.688209436023</v>
      </c>
      <c r="D66" s="26">
        <f t="shared" si="23"/>
        <v>17123.968166351766</v>
      </c>
      <c r="E66" s="393">
        <f>[4]Sheet1!$O$40/1000</f>
        <v>38054.482122134919</v>
      </c>
      <c r="F66" s="393">
        <f>[4]Sheet1!$N$76/1000</f>
        <v>24603.688209436026</v>
      </c>
      <c r="G66" s="393">
        <f>[4]Sheet1!$N$107/1000</f>
        <v>17123.968166351762</v>
      </c>
      <c r="H66" s="54">
        <f t="shared" si="24"/>
        <v>0</v>
      </c>
      <c r="I66" s="54">
        <f t="shared" si="24"/>
        <v>0</v>
      </c>
      <c r="J66" s="54">
        <f t="shared" si="24"/>
        <v>0</v>
      </c>
    </row>
    <row r="67" spans="1:10">
      <c r="A67" s="5"/>
      <c r="B67" s="26"/>
      <c r="C67" s="26"/>
      <c r="D67" s="26"/>
      <c r="E67" s="393"/>
      <c r="F67" s="393"/>
      <c r="G67" s="393"/>
    </row>
    <row r="68" spans="1:10">
      <c r="A68" s="5" t="s">
        <v>134</v>
      </c>
      <c r="B68" s="26">
        <f t="shared" ref="B68:D70" si="25">SUMIF($B$7:$AL$7,B$62,$B17:$AL17)</f>
        <v>53034.23256627925</v>
      </c>
      <c r="C68" s="26">
        <f t="shared" si="25"/>
        <v>38102.07111637271</v>
      </c>
      <c r="D68" s="26">
        <f t="shared" si="25"/>
        <v>26637.547594156989</v>
      </c>
      <c r="E68" s="393">
        <f>[4]Sheet1!$O$41/1000</f>
        <v>53034.232566279243</v>
      </c>
      <c r="F68" s="393">
        <f>[4]Sheet1!$N$77/1000</f>
        <v>38102.071116372717</v>
      </c>
      <c r="G68" s="393">
        <f>[4]Sheet1!$N$108/1000</f>
        <v>26637.547594156993</v>
      </c>
      <c r="H68" s="54">
        <f t="shared" ref="H68:J71" si="26">B68-E68</f>
        <v>0</v>
      </c>
      <c r="I68" s="54">
        <f t="shared" si="26"/>
        <v>0</v>
      </c>
      <c r="J68" s="54">
        <f t="shared" si="26"/>
        <v>0</v>
      </c>
    </row>
    <row r="69" spans="1:10">
      <c r="A69" s="5" t="s">
        <v>135</v>
      </c>
      <c r="B69" s="26">
        <f t="shared" si="25"/>
        <v>52494.243786208906</v>
      </c>
      <c r="C69" s="26">
        <f t="shared" si="25"/>
        <v>33742.083855983466</v>
      </c>
      <c r="D69" s="26">
        <f t="shared" si="25"/>
        <v>23726.120465788255</v>
      </c>
      <c r="E69" s="393">
        <f>[4]Sheet1!$O$36/1000</f>
        <v>52494.243786208914</v>
      </c>
      <c r="F69" s="393">
        <f>[4]Sheet1!$N$72/1000</f>
        <v>33742.083855983459</v>
      </c>
      <c r="G69" s="393">
        <f>[4]Sheet1!$N$103/1000</f>
        <v>23726.120465788259</v>
      </c>
      <c r="H69" s="54">
        <f t="shared" si="26"/>
        <v>0</v>
      </c>
      <c r="I69" s="54">
        <f t="shared" si="26"/>
        <v>0</v>
      </c>
      <c r="J69" s="54">
        <f t="shared" si="26"/>
        <v>0</v>
      </c>
    </row>
    <row r="70" spans="1:10">
      <c r="A70" s="5" t="s">
        <v>136</v>
      </c>
      <c r="B70" s="26">
        <f t="shared" si="25"/>
        <v>62037.747218262724</v>
      </c>
      <c r="C70" s="26">
        <f t="shared" si="25"/>
        <v>42763.375119324635</v>
      </c>
      <c r="D70" s="26">
        <f t="shared" si="25"/>
        <v>30104.215186162797</v>
      </c>
      <c r="E70" s="393">
        <f>[4]Sheet1!$O$37/1000</f>
        <v>62037.747218262724</v>
      </c>
      <c r="F70" s="393">
        <f>[4]Sheet1!$N$73/1000</f>
        <v>42763.375119324635</v>
      </c>
      <c r="G70" s="393">
        <f>[4]Sheet1!$N$104/1000</f>
        <v>30104.215186162801</v>
      </c>
      <c r="H70" s="54">
        <f t="shared" si="26"/>
        <v>0</v>
      </c>
      <c r="I70" s="54">
        <f t="shared" si="26"/>
        <v>0</v>
      </c>
      <c r="J70" s="54">
        <f t="shared" si="26"/>
        <v>0</v>
      </c>
    </row>
    <row r="71" spans="1:10">
      <c r="A71" s="278" t="s">
        <v>137</v>
      </c>
      <c r="B71" s="279">
        <f t="shared" ref="B71:G71" si="27">SUM(B64:B70)</f>
        <v>305545.41605536174</v>
      </c>
      <c r="C71" s="279">
        <f t="shared" si="27"/>
        <v>203041.00291684704</v>
      </c>
      <c r="D71" s="279">
        <f t="shared" si="27"/>
        <v>141980.14129195496</v>
      </c>
      <c r="E71" s="405">
        <f t="shared" si="27"/>
        <v>305545.41605536174</v>
      </c>
      <c r="F71" s="405">
        <f t="shared" si="27"/>
        <v>203041.00291684701</v>
      </c>
      <c r="G71" s="405">
        <f t="shared" si="27"/>
        <v>141980.14129195499</v>
      </c>
      <c r="H71" s="54">
        <f t="shared" si="26"/>
        <v>0</v>
      </c>
      <c r="I71" s="54">
        <f t="shared" si="26"/>
        <v>0</v>
      </c>
      <c r="J71" s="54">
        <f t="shared" si="26"/>
        <v>0</v>
      </c>
    </row>
    <row r="72" spans="1:10">
      <c r="A72" s="5"/>
      <c r="B72" s="7"/>
      <c r="C72" s="7"/>
      <c r="D72" s="7"/>
    </row>
    <row r="73" spans="1:10">
      <c r="A73" s="5"/>
      <c r="B73" s="7"/>
      <c r="C73" s="7"/>
      <c r="D73" s="7"/>
    </row>
    <row r="74" spans="1:10" s="4" customFormat="1">
      <c r="A74" s="2" t="s">
        <v>36</v>
      </c>
      <c r="C74" s="199"/>
      <c r="D74" s="199"/>
    </row>
    <row r="75" spans="1:10">
      <c r="A75" s="5" t="s">
        <v>131</v>
      </c>
      <c r="B75" s="26">
        <f>SUMIF($B$7:$AL$7,B$62,$B26:$AL26)</f>
        <v>49780.611293576003</v>
      </c>
      <c r="C75" s="26">
        <f>SUMIF($B$7:$AL$7,C$62,$B26:$AL26)</f>
        <v>35587.4911018352</v>
      </c>
      <c r="D75" s="26">
        <f>SUMIF($B$7:$AL$7,D$62,$B26:$AL26)</f>
        <v>26542.227900525322</v>
      </c>
      <c r="F75" s="54"/>
      <c r="G75" s="54"/>
      <c r="H75" s="54"/>
    </row>
    <row r="76" spans="1:10">
      <c r="A76" s="5" t="s">
        <v>132</v>
      </c>
      <c r="B76" s="26">
        <f>SUMIF($B$7:$AL$7,B$62,$B30:$AL30)</f>
        <v>51924.936692174</v>
      </c>
      <c r="C76" s="26">
        <f>SUMIF($B$7:$AL$7,C$62,$B30:$AL30)</f>
        <v>34090.155566214162</v>
      </c>
      <c r="D76" s="26">
        <f>SUMIF($B$7:$AL$7,D$62,$B30:$AL30)</f>
        <v>25403.213217660512</v>
      </c>
      <c r="F76" s="54"/>
      <c r="G76" s="54"/>
      <c r="H76" s="54"/>
    </row>
    <row r="77" spans="1:10">
      <c r="A77" s="5" t="s">
        <v>133</v>
      </c>
      <c r="B77" s="26">
        <f>SUMIF($B$7:$AL$7,B$62,$B34:$AL34)</f>
        <v>38761.925701909669</v>
      </c>
      <c r="C77" s="26">
        <f>SUMIF($B$7:$AL$7,C$62,$B34:$AL34)</f>
        <v>26857.223228770144</v>
      </c>
      <c r="D77" s="26">
        <f>SUMIF($B$7:$AL$7,D$62,$B34:$AL34)</f>
        <v>20038.4549072265</v>
      </c>
      <c r="F77" s="54"/>
      <c r="G77" s="54"/>
      <c r="H77" s="54"/>
    </row>
    <row r="78" spans="1:10">
      <c r="A78" s="5"/>
      <c r="B78" s="26"/>
      <c r="C78" s="26"/>
      <c r="D78" s="26"/>
      <c r="F78" s="54"/>
      <c r="G78" s="54"/>
      <c r="H78" s="54"/>
    </row>
    <row r="79" spans="1:10">
      <c r="A79" s="5" t="s">
        <v>134</v>
      </c>
      <c r="B79" s="26">
        <f>SUMIF($B$7:$AL$7,B$62,$B41:$AL41)</f>
        <v>54052.309269417725</v>
      </c>
      <c r="C79" s="26">
        <f>SUMIF($B$7:$AL$7,C$62,$B41:$AL41)</f>
        <v>41588.253764649642</v>
      </c>
      <c r="D79" s="26">
        <f>SUMIF($B$7:$AL$7,D$62,$B41:$AL41)</f>
        <v>31169.806206171103</v>
      </c>
      <c r="F79" s="54"/>
      <c r="G79" s="54"/>
      <c r="H79" s="54"/>
    </row>
    <row r="80" spans="1:10">
      <c r="A80" s="5" t="s">
        <v>135</v>
      </c>
      <c r="B80" s="26">
        <f>SUMIF($B$7:$AL$7,B$62,$B45:$AL45)</f>
        <v>53475.825663776362</v>
      </c>
      <c r="C80" s="26">
        <f>SUMIF($B$7:$AL$7,C$62,$B45:$AL45)</f>
        <v>36828.082938255393</v>
      </c>
      <c r="D80" s="26">
        <f>SUMIF($B$7:$AL$7,D$62,$B45:$AL45)</f>
        <v>27762.041544228592</v>
      </c>
      <c r="F80" s="54"/>
      <c r="G80" s="54"/>
      <c r="H80" s="54"/>
    </row>
    <row r="81" spans="1:14">
      <c r="A81" s="5" t="s">
        <v>136</v>
      </c>
      <c r="B81" s="26">
        <f>SUMIF($B$7:$AL$7,B$62,$B49:$AL49)</f>
        <v>63207.751387295764</v>
      </c>
      <c r="C81" s="26">
        <f>SUMIF($B$7:$AL$7,C$62,$B49:$AL49)</f>
        <v>46675.710949393382</v>
      </c>
      <c r="D81" s="26">
        <f>SUMIF($B$7:$AL$7,D$62,$B49:$AL49)</f>
        <v>35224.661902018321</v>
      </c>
      <c r="F81" s="54"/>
      <c r="G81" s="54"/>
      <c r="H81" s="54"/>
    </row>
    <row r="82" spans="1:14">
      <c r="A82" s="278" t="s">
        <v>141</v>
      </c>
      <c r="B82" s="279">
        <f>SUM(B75:B81)</f>
        <v>311203.36000814952</v>
      </c>
      <c r="C82" s="279">
        <f>SUM(C75:C81)</f>
        <v>221626.91754911793</v>
      </c>
      <c r="D82" s="279">
        <f>SUM(D75:D81)</f>
        <v>166140.40567783036</v>
      </c>
      <c r="F82" s="54"/>
      <c r="G82" s="54"/>
      <c r="H82" s="54"/>
    </row>
    <row r="83" spans="1:14">
      <c r="A83" s="5"/>
      <c r="B83" s="7"/>
      <c r="C83" s="7"/>
      <c r="D83" s="7"/>
      <c r="F83" s="54"/>
      <c r="G83" s="54"/>
      <c r="H83" s="54"/>
    </row>
    <row r="84" spans="1:14">
      <c r="A84" s="5"/>
      <c r="B84" s="7"/>
      <c r="C84" s="7"/>
      <c r="D84" s="7"/>
    </row>
    <row r="85" spans="1:14">
      <c r="A85" s="2" t="s">
        <v>166</v>
      </c>
      <c r="B85" s="330">
        <v>2000</v>
      </c>
      <c r="C85" s="330">
        <v>2001</v>
      </c>
      <c r="D85" s="330">
        <v>2002</v>
      </c>
      <c r="F85" s="299"/>
    </row>
    <row r="86" spans="1:14">
      <c r="A86" s="5" t="s">
        <v>131</v>
      </c>
      <c r="B86" s="200">
        <f>SUMIF($B$7:$AL$7,$B$85,$B$26:$AL$26)/SUMIF($B$7:$AL$7,$B$85,$B$27:$AL$27)</f>
        <v>10.740153461397195</v>
      </c>
      <c r="C86" s="200">
        <f>SUMIF($B$7:$AL$7,$C$85,$B$26:$AL$26)/SUMIF($B$7:$AL$7,$C$85,$B$27:$AL$27)</f>
        <v>7.6779916077314345</v>
      </c>
      <c r="D86" s="200">
        <f>SUMIF($B$7:$AL$7,$D$85,$B$26:$AL$26)/SUMIF($B$7:$AL$7,$D$85,$B$27:$AL$27)</f>
        <v>5.7264785114401988</v>
      </c>
      <c r="F86" s="324"/>
    </row>
    <row r="87" spans="1:14">
      <c r="A87" s="5" t="s">
        <v>132</v>
      </c>
      <c r="B87" s="200">
        <f>SUMIF($B$7:$AL$7,B$85,$B$30:$AL$30)/SUMIF($B$7:$AL$7,B$85,$B$31:$AL$31)</f>
        <v>11.122998273908639</v>
      </c>
      <c r="C87" s="200">
        <f>SUMIF($B$7:$AL$7,C$85,$B$30:$AL$30)/SUMIF($B$7:$AL$7,C$85,$B$31:$AL$31)</f>
        <v>7.3025556827963714</v>
      </c>
      <c r="D87" s="200">
        <f>SUMIF($B$7:$AL$7,D$85,$B$30:$AL$30)/SUMIF($B$7:$AL$7,D$85,$B$31:$AL$31)</f>
        <v>5.4416993986312887</v>
      </c>
      <c r="F87" s="324"/>
    </row>
    <row r="88" spans="1:14">
      <c r="A88" s="5" t="s">
        <v>133</v>
      </c>
      <c r="B88" s="200">
        <f>SUMIF($B$7:$AL$7,B$85,$B$34:$AL$34)/SUMIF($B$7:$AL$7,B$85,$B$35:$AL$35)</f>
        <v>10.05758321274252</v>
      </c>
      <c r="C88" s="200">
        <f>SUMIF($B$7:$AL$7,C$85,$B$34:$AL$34)/SUMIF($B$7:$AL$7,C$85,$B$35:$AL$35)</f>
        <v>6.9686619690633487</v>
      </c>
      <c r="D88" s="200">
        <f>SUMIF($B$7:$AL$7,D$85,$B$34:$AL$34)/SUMIF($B$7:$AL$7,D$85,$B$35:$AL$35)</f>
        <v>5.1993915171838347</v>
      </c>
      <c r="F88" s="324"/>
    </row>
    <row r="89" spans="1:14">
      <c r="A89" s="5"/>
      <c r="B89" s="26"/>
      <c r="C89" s="26"/>
      <c r="D89" s="26"/>
      <c r="F89" s="324"/>
    </row>
    <row r="90" spans="1:14">
      <c r="A90" s="5" t="s">
        <v>134</v>
      </c>
      <c r="B90" s="28">
        <f>SUMIF($B$7:$AL$7,B$85,$B$41:$AL$41)/SUMIF($B$7:$AL$7,B$85,$B$42:$AL$42)</f>
        <v>18.230121170124022</v>
      </c>
      <c r="C90" s="28">
        <f>SUMIF($B$7:$AL$7,C$85,$B$41:$AL$41)/SUMIF($B$7:$AL$7,C$85,$B$42:$AL$42)</f>
        <v>8.1445784606413003</v>
      </c>
      <c r="D90" s="28">
        <f>SUMIF($B$7:$AL$7,D$85,$B$41:$AL$41)/SUMIF($B$7:$AL$7,D$85,$B$42:$AL$42)</f>
        <v>6.1042460134484413</v>
      </c>
      <c r="F90" s="324"/>
    </row>
    <row r="91" spans="1:14">
      <c r="A91" s="5" t="s">
        <v>135</v>
      </c>
      <c r="B91" s="28">
        <f>SUMIF($B$7:$AL$7,B$85,$B$45:$AL$45)/SUMIF($B$7:$AL$7,B$85,$B$46:$AL$46)</f>
        <v>16.443980831419545</v>
      </c>
      <c r="C91" s="28">
        <f>SUMIF($B$7:$AL$7,C$85,$B$45:$AL$45)/SUMIF($B$7:$AL$7,C$85,$B$46:$AL$46)</f>
        <v>7.7013975195013371</v>
      </c>
      <c r="D91" s="28">
        <f>SUMIF($B$7:$AL$7,D$85,$B$45:$AL$45)/SUMIF($B$7:$AL$7,D$85,$B$46:$AL$46)</f>
        <v>5.8055293902611025</v>
      </c>
      <c r="F91" s="324"/>
    </row>
    <row r="92" spans="1:14">
      <c r="A92" s="5" t="s">
        <v>136</v>
      </c>
      <c r="B92" s="28">
        <f>SUMIF($B$7:$AL$7,B$85,$B$49:$AL$49)/SUMIF($B$7:$AL$7,B$85,$B$50:$AL$50)</f>
        <v>14.995907802442648</v>
      </c>
      <c r="C92" s="28">
        <f>SUMIF($B$7:$AL$7,C$85,$B$49:$AL$49)/SUMIF($B$7:$AL$7,C$85,$B$50:$AL$50)</f>
        <v>7.5071509367741669</v>
      </c>
      <c r="D92" s="28">
        <f>SUMIF($B$7:$AL$7,D$85,$B$49:$AL$49)/SUMIF($B$7:$AL$7,D$85,$B$50:$AL$50)</f>
        <v>5.6654060156040726</v>
      </c>
      <c r="F92" s="324"/>
    </row>
    <row r="93" spans="1:14">
      <c r="A93" s="278" t="s">
        <v>142</v>
      </c>
      <c r="B93" s="280">
        <f>SUMIF($B$7:$AL$7,B$85,$B$55:$AL$55)/SUMIF($B$7:$AL$7,B$85,$B$56:$AL$56)</f>
        <v>13.192592388827517</v>
      </c>
      <c r="C93" s="280">
        <f>SUMIF($B$7:$AL$7,C$85,$B$55:$AL$55)/SUMIF($B$7:$AL$7,C$85,$B$56:$AL$56)</f>
        <v>7.5736225796780205</v>
      </c>
      <c r="D93" s="280">
        <f>SUMIF($B$7:$AL$7,D$85,$B$55:$AL$55)/SUMIF($B$7:$AL$7,D$85,$B$56:$AL$56)</f>
        <v>5.6774905401985567</v>
      </c>
      <c r="F93" s="324"/>
    </row>
    <row r="94" spans="1:14">
      <c r="A94" s="5"/>
      <c r="B94" s="31"/>
      <c r="C94" s="31"/>
      <c r="D94" s="31"/>
    </row>
    <row r="95" spans="1:14">
      <c r="A95" s="25"/>
      <c r="B95" s="3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>
      <c r="A96" s="25"/>
      <c r="B96" s="331"/>
      <c r="C96" s="30"/>
      <c r="D96" s="5"/>
      <c r="E96" s="5"/>
    </row>
    <row r="97" spans="1:5">
      <c r="A97" s="5"/>
      <c r="B97" s="5"/>
      <c r="C97" s="5"/>
      <c r="D97" s="5"/>
      <c r="E97" s="5"/>
    </row>
    <row r="98" spans="1:5">
      <c r="A98" s="5"/>
      <c r="B98" s="31"/>
      <c r="C98" s="31"/>
      <c r="D98" s="31"/>
      <c r="E98" s="31"/>
    </row>
    <row r="99" spans="1:5" ht="13.8">
      <c r="A99" s="32"/>
      <c r="B99" s="30"/>
      <c r="C99" s="30"/>
      <c r="D99" s="30"/>
      <c r="E99" s="30"/>
    </row>
    <row r="100" spans="1:5">
      <c r="A100" s="33"/>
      <c r="B100" s="5"/>
      <c r="C100" s="26"/>
      <c r="D100" s="26"/>
      <c r="E100" s="26"/>
    </row>
    <row r="101" spans="1:5">
      <c r="A101" s="34"/>
      <c r="B101" s="5"/>
      <c r="C101" s="26"/>
      <c r="D101" s="26"/>
      <c r="E101" s="26"/>
    </row>
    <row r="102" spans="1:5">
      <c r="A102" s="34"/>
      <c r="B102" s="5"/>
      <c r="C102" s="26"/>
      <c r="D102" s="26"/>
      <c r="E102" s="26"/>
    </row>
    <row r="103" spans="1:5">
      <c r="A103" s="34"/>
      <c r="B103" s="5"/>
      <c r="C103" s="26"/>
      <c r="D103" s="26"/>
      <c r="E103" s="26"/>
    </row>
    <row r="104" spans="1:5">
      <c r="A104" s="34"/>
      <c r="B104" s="5"/>
      <c r="C104" s="26"/>
      <c r="D104" s="26"/>
      <c r="E104" s="26"/>
    </row>
    <row r="105" spans="1:5">
      <c r="A105" s="34"/>
      <c r="B105" s="5"/>
      <c r="C105" s="26"/>
      <c r="D105" s="26"/>
      <c r="E105" s="26"/>
    </row>
    <row r="106" spans="1:5">
      <c r="A106" s="34"/>
      <c r="B106" s="5"/>
      <c r="C106" s="26"/>
      <c r="D106" s="26"/>
      <c r="E106" s="26"/>
    </row>
    <row r="107" spans="1:5">
      <c r="A107" s="34"/>
      <c r="B107" s="5"/>
      <c r="C107" s="26"/>
      <c r="D107" s="26"/>
      <c r="E107" s="26"/>
    </row>
    <row r="108" spans="1:5">
      <c r="A108" s="35"/>
      <c r="B108" s="5"/>
      <c r="C108" s="26"/>
      <c r="D108" s="26"/>
      <c r="E108" s="26"/>
    </row>
    <row r="109" spans="1:5">
      <c r="A109" s="36"/>
      <c r="B109" s="5"/>
      <c r="C109" s="26"/>
      <c r="D109" s="26"/>
      <c r="E109" s="26"/>
    </row>
    <row r="110" spans="1:5">
      <c r="A110" s="34"/>
      <c r="B110" s="5"/>
      <c r="C110" s="26"/>
      <c r="D110" s="26"/>
      <c r="E110" s="26"/>
    </row>
    <row r="111" spans="1:5">
      <c r="A111" s="34"/>
      <c r="B111" s="5"/>
      <c r="C111" s="26"/>
      <c r="D111" s="26"/>
      <c r="E111" s="26"/>
    </row>
    <row r="112" spans="1:5">
      <c r="A112" s="37"/>
      <c r="B112" s="5"/>
      <c r="C112" s="26"/>
      <c r="D112" s="26"/>
      <c r="E112" s="26"/>
    </row>
    <row r="113" spans="1:5">
      <c r="A113" s="37"/>
      <c r="B113" s="5"/>
      <c r="C113" s="26"/>
      <c r="D113" s="26"/>
      <c r="E113" s="26"/>
    </row>
    <row r="114" spans="1:5">
      <c r="A114" s="34"/>
      <c r="B114" s="5"/>
      <c r="C114" s="26"/>
      <c r="D114" s="26"/>
      <c r="E114" s="26"/>
    </row>
    <row r="115" spans="1:5">
      <c r="A115" s="37"/>
      <c r="B115" s="5"/>
      <c r="C115" s="26"/>
      <c r="D115" s="26"/>
      <c r="E115" s="26"/>
    </row>
    <row r="116" spans="1:5">
      <c r="A116" s="34"/>
      <c r="B116" s="5"/>
      <c r="C116" s="26"/>
      <c r="D116" s="26"/>
      <c r="E116" s="26"/>
    </row>
    <row r="117" spans="1:5">
      <c r="A117" s="34"/>
      <c r="B117" s="5"/>
      <c r="C117" s="26"/>
      <c r="D117" s="26"/>
      <c r="E117" s="26"/>
    </row>
    <row r="118" spans="1:5">
      <c r="A118" s="34"/>
      <c r="B118" s="5"/>
      <c r="C118" s="26"/>
      <c r="D118" s="26"/>
      <c r="E118" s="26"/>
    </row>
    <row r="119" spans="1:5">
      <c r="A119" s="37"/>
      <c r="B119" s="5"/>
      <c r="C119" s="26"/>
      <c r="D119" s="26"/>
      <c r="E119" s="26"/>
    </row>
    <row r="120" spans="1:5">
      <c r="A120" s="33"/>
      <c r="B120" s="5"/>
      <c r="C120" s="26"/>
      <c r="D120" s="26"/>
      <c r="E120" s="26"/>
    </row>
    <row r="121" spans="1:5">
      <c r="A121" s="35"/>
      <c r="B121" s="5"/>
      <c r="C121" s="26"/>
      <c r="D121" s="26"/>
      <c r="E121" s="26"/>
    </row>
    <row r="122" spans="1:5">
      <c r="A122" s="35"/>
      <c r="B122" s="5"/>
      <c r="C122" s="26"/>
      <c r="D122" s="26"/>
      <c r="E122" s="26"/>
    </row>
    <row r="123" spans="1:5" ht="15" customHeight="1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 ht="14.25" customHeight="1">
      <c r="A125" s="35"/>
      <c r="B125" s="5"/>
      <c r="C125" s="5"/>
      <c r="D125" s="28"/>
      <c r="E125" s="28"/>
    </row>
    <row r="126" spans="1:5">
      <c r="A126" s="35"/>
      <c r="B126" s="5"/>
      <c r="C126" s="5"/>
      <c r="D126" s="28"/>
      <c r="E126" s="28"/>
    </row>
    <row r="127" spans="1:5">
      <c r="A127" s="35"/>
      <c r="B127" s="5"/>
      <c r="C127" s="5"/>
      <c r="D127" s="28"/>
      <c r="E127" s="28"/>
    </row>
    <row r="128" spans="1:5">
      <c r="A128" s="38"/>
      <c r="B128" s="5"/>
      <c r="C128" s="5"/>
      <c r="D128" s="28"/>
      <c r="E128" s="28"/>
    </row>
    <row r="129" spans="1:5">
      <c r="A129" s="38"/>
      <c r="B129" s="5"/>
      <c r="C129" s="5"/>
      <c r="D129" s="28"/>
      <c r="E129" s="28"/>
    </row>
    <row r="130" spans="1:5">
      <c r="A130" s="38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7.399999999999999">
      <c r="A135" s="39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5"/>
      <c r="B141" s="5"/>
      <c r="C141" s="5"/>
      <c r="D141" s="28"/>
      <c r="E141" s="28"/>
    </row>
    <row r="142" spans="1:5">
      <c r="A142" s="34"/>
      <c r="B142" s="5"/>
      <c r="C142" s="5"/>
      <c r="D142" s="28"/>
      <c r="E142" s="28"/>
    </row>
    <row r="143" spans="1:5">
      <c r="A143" s="34"/>
      <c r="B143" s="5"/>
      <c r="C143" s="5"/>
      <c r="D143" s="28"/>
      <c r="E143" s="28"/>
    </row>
    <row r="144" spans="1:5">
      <c r="A144" s="33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5"/>
      <c r="B146" s="5"/>
      <c r="C146" s="5"/>
      <c r="D146" s="28"/>
      <c r="E146" s="28"/>
    </row>
    <row r="147" spans="1:5">
      <c r="A147" s="34"/>
      <c r="B147" s="5"/>
      <c r="C147" s="5"/>
      <c r="D147" s="28"/>
      <c r="E147" s="28"/>
    </row>
    <row r="148" spans="1:5">
      <c r="A148" s="34"/>
      <c r="B148" s="5"/>
      <c r="C148" s="5"/>
      <c r="D148" s="28"/>
      <c r="E148" s="28"/>
    </row>
    <row r="149" spans="1:5">
      <c r="A149" s="34"/>
      <c r="B149" s="5"/>
      <c r="C149" s="26"/>
      <c r="D149" s="28"/>
      <c r="E149" s="28"/>
    </row>
    <row r="150" spans="1:5">
      <c r="A150" s="34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5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5"/>
      <c r="B154" s="5"/>
      <c r="C154" s="5"/>
      <c r="D154" s="28"/>
      <c r="E154" s="28"/>
    </row>
    <row r="155" spans="1:5">
      <c r="A155" s="34"/>
      <c r="B155" s="5"/>
      <c r="C155" s="5"/>
      <c r="D155" s="28"/>
      <c r="E155" s="28"/>
    </row>
    <row r="156" spans="1:5">
      <c r="A156" s="35"/>
      <c r="B156" s="5"/>
      <c r="C156" s="5"/>
      <c r="D156" s="28"/>
      <c r="E156" s="28"/>
    </row>
    <row r="157" spans="1:5">
      <c r="A157" s="37"/>
      <c r="B157" s="5"/>
      <c r="C157" s="5"/>
      <c r="D157" s="28"/>
      <c r="E157" s="28"/>
    </row>
    <row r="158" spans="1:5">
      <c r="A158" s="34"/>
      <c r="B158" s="5"/>
      <c r="C158" s="5"/>
      <c r="D158" s="28"/>
      <c r="E158" s="28"/>
    </row>
    <row r="159" spans="1:5">
      <c r="A159" s="33"/>
      <c r="B159" s="5"/>
      <c r="C159" s="5"/>
      <c r="D159" s="28"/>
      <c r="E159" s="28"/>
    </row>
    <row r="160" spans="1:5">
      <c r="A160" s="34"/>
      <c r="B160" s="5"/>
      <c r="C160" s="5"/>
      <c r="D160" s="28"/>
      <c r="E160" s="28"/>
    </row>
    <row r="161" spans="1:5">
      <c r="A161" s="33"/>
      <c r="B161" s="5"/>
      <c r="C161" s="5"/>
      <c r="D161" s="28"/>
      <c r="E161" s="28"/>
    </row>
    <row r="162" spans="1:5">
      <c r="A162" s="34"/>
      <c r="B162" s="5"/>
      <c r="C162" s="5"/>
      <c r="D162" s="28"/>
      <c r="E162" s="28"/>
    </row>
    <row r="163" spans="1:5">
      <c r="A163" s="34"/>
      <c r="B163" s="5"/>
      <c r="C163" s="5"/>
      <c r="D163" s="28"/>
      <c r="E163" s="28"/>
    </row>
    <row r="164" spans="1:5">
      <c r="A164" s="34"/>
      <c r="B164" s="5"/>
      <c r="C164" s="5"/>
      <c r="D164" s="28"/>
      <c r="E164" s="28"/>
    </row>
    <row r="165" spans="1:5">
      <c r="A165" s="34"/>
      <c r="B165" s="5"/>
      <c r="C165" s="5"/>
      <c r="D165" s="28"/>
      <c r="E165" s="28"/>
    </row>
    <row r="166" spans="1:5">
      <c r="A166" s="34"/>
      <c r="B166" s="5"/>
      <c r="C166" s="5"/>
      <c r="D166" s="28"/>
      <c r="E166" s="28"/>
    </row>
    <row r="167" spans="1:5">
      <c r="A167" s="34"/>
      <c r="B167" s="5"/>
      <c r="C167" s="5"/>
      <c r="D167" s="28"/>
      <c r="E167" s="28"/>
    </row>
    <row r="168" spans="1:5">
      <c r="A168" s="35"/>
      <c r="B168" s="5"/>
      <c r="C168" s="5"/>
      <c r="D168" s="28"/>
      <c r="E168" s="28"/>
    </row>
    <row r="169" spans="1:5">
      <c r="A169" s="36"/>
      <c r="B169" s="5"/>
      <c r="C169" s="5"/>
      <c r="D169" s="28"/>
      <c r="E169" s="28"/>
    </row>
    <row r="170" spans="1:5">
      <c r="A170" s="34"/>
      <c r="B170" s="5"/>
      <c r="C170" s="5"/>
      <c r="D170" s="28"/>
      <c r="E170" s="28"/>
    </row>
    <row r="171" spans="1:5">
      <c r="A171" s="37"/>
      <c r="B171" s="5"/>
      <c r="C171" s="5"/>
      <c r="D171" s="28"/>
      <c r="E171" s="28"/>
    </row>
    <row r="172" spans="1:5">
      <c r="A172" s="37"/>
      <c r="B172" s="5"/>
      <c r="C172" s="5"/>
      <c r="D172" s="28"/>
      <c r="E172" s="28"/>
    </row>
    <row r="173" spans="1:5">
      <c r="A173" s="34"/>
      <c r="B173" s="5"/>
      <c r="C173" s="5"/>
      <c r="D173" s="28"/>
      <c r="E173" s="28"/>
    </row>
    <row r="174" spans="1:5">
      <c r="A174" s="34"/>
      <c r="B174" s="5"/>
      <c r="C174" s="5"/>
      <c r="D174" s="28"/>
      <c r="E174" s="28"/>
    </row>
    <row r="175" spans="1:5">
      <c r="A175" s="33"/>
      <c r="B175" s="5"/>
      <c r="C175" s="5"/>
      <c r="D175" s="28"/>
      <c r="E175" s="28"/>
    </row>
    <row r="176" spans="1:5">
      <c r="A176" s="35"/>
      <c r="B176" s="5"/>
      <c r="C176" s="5"/>
      <c r="D176" s="28"/>
      <c r="E176" s="28"/>
    </row>
    <row r="177" spans="1:5">
      <c r="A177" s="35"/>
      <c r="B177" s="5"/>
      <c r="C177" s="5"/>
      <c r="D177" s="28"/>
      <c r="E177" s="28"/>
    </row>
    <row r="178" spans="1:5">
      <c r="A178" s="35"/>
      <c r="B178" s="5"/>
      <c r="C178" s="5"/>
      <c r="D178" s="28"/>
      <c r="E178" s="28"/>
    </row>
    <row r="179" spans="1:5">
      <c r="A179" s="35"/>
      <c r="B179" s="5"/>
      <c r="C179" s="5"/>
      <c r="D179" s="28"/>
      <c r="E179" s="28"/>
    </row>
    <row r="180" spans="1:5">
      <c r="A180" s="35"/>
      <c r="B180" s="5"/>
      <c r="C180" s="5"/>
      <c r="D180" s="28"/>
      <c r="E180" s="28"/>
    </row>
    <row r="181" spans="1:5">
      <c r="A181" s="35"/>
      <c r="B181" s="5"/>
      <c r="C181" s="5"/>
      <c r="D181" s="28"/>
      <c r="E181" s="28"/>
    </row>
    <row r="182" spans="1:5">
      <c r="A182" s="35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7.399999999999999">
      <c r="A186" s="40"/>
      <c r="B186" s="40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41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42"/>
      <c r="B192" s="25"/>
      <c r="C192" s="25"/>
      <c r="D192" s="43"/>
      <c r="E192" s="43"/>
    </row>
    <row r="193" spans="1:5">
      <c r="A193" s="42"/>
      <c r="B193" s="25"/>
      <c r="C193" s="25"/>
      <c r="D193" s="43"/>
      <c r="E193" s="43"/>
    </row>
    <row r="194" spans="1:5">
      <c r="A194" s="42"/>
      <c r="B194" s="42"/>
      <c r="C194" s="42"/>
      <c r="D194" s="43"/>
      <c r="E194" s="43"/>
    </row>
    <row r="195" spans="1:5">
      <c r="A195" s="42"/>
      <c r="B195" s="42"/>
      <c r="C195" s="42"/>
      <c r="D195" s="43"/>
      <c r="E195" s="43"/>
    </row>
    <row r="196" spans="1:5">
      <c r="A196" s="42"/>
      <c r="B196" s="2"/>
      <c r="C196" s="2"/>
      <c r="D196" s="43"/>
      <c r="E196" s="43"/>
    </row>
    <row r="197" spans="1:5">
      <c r="A197" s="5"/>
      <c r="B197" s="5"/>
      <c r="C197" s="5"/>
      <c r="D197" s="43"/>
      <c r="E197" s="43"/>
    </row>
    <row r="198" spans="1:5">
      <c r="A198" s="25"/>
      <c r="B198" s="25"/>
      <c r="C198" s="25"/>
      <c r="D198" s="43"/>
      <c r="E198" s="43"/>
    </row>
    <row r="199" spans="1:5">
      <c r="A199" s="42"/>
      <c r="B199" s="25"/>
      <c r="C199" s="25"/>
      <c r="D199" s="43"/>
      <c r="E199" s="43"/>
    </row>
    <row r="200" spans="1:5">
      <c r="A200" s="42"/>
      <c r="B200" s="25"/>
      <c r="C200" s="25"/>
      <c r="D200" s="43"/>
      <c r="E200" s="43"/>
    </row>
    <row r="201" spans="1:5">
      <c r="A201" s="42"/>
      <c r="B201" s="25"/>
      <c r="C201" s="25"/>
      <c r="D201" s="43"/>
      <c r="E201" s="43"/>
    </row>
    <row r="202" spans="1:5">
      <c r="A202" s="42"/>
      <c r="B202" s="25"/>
      <c r="C202" s="25"/>
      <c r="D202" s="43"/>
      <c r="E202" s="43"/>
    </row>
    <row r="203" spans="1:5">
      <c r="A203" s="42"/>
      <c r="B203" s="25"/>
      <c r="C203" s="25"/>
      <c r="D203" s="43"/>
      <c r="E203" s="43"/>
    </row>
    <row r="204" spans="1:5">
      <c r="A204" s="42"/>
      <c r="B204" s="25"/>
      <c r="C204" s="25"/>
      <c r="D204" s="43"/>
      <c r="E204" s="43"/>
    </row>
    <row r="205" spans="1:5">
      <c r="A205" s="42"/>
      <c r="B205" s="25"/>
      <c r="C205" s="25"/>
      <c r="D205" s="43"/>
      <c r="E205" s="43"/>
    </row>
    <row r="206" spans="1:5">
      <c r="A206" s="42"/>
      <c r="B206" s="25"/>
      <c r="C206" s="25"/>
      <c r="D206" s="43"/>
      <c r="E206" s="43"/>
    </row>
    <row r="207" spans="1:5">
      <c r="A207" s="42"/>
      <c r="B207" s="25"/>
      <c r="C207" s="25"/>
      <c r="D207" s="43"/>
      <c r="E207" s="43"/>
    </row>
    <row r="208" spans="1:5">
      <c r="A208" s="42"/>
      <c r="B208" s="42"/>
      <c r="C208" s="42"/>
      <c r="D208" s="43"/>
      <c r="E208" s="43"/>
    </row>
    <row r="209" spans="1:5">
      <c r="A209" s="42"/>
      <c r="B209" s="42"/>
      <c r="C209" s="42"/>
      <c r="D209" s="43"/>
      <c r="E209" s="43"/>
    </row>
    <row r="210" spans="1:5">
      <c r="A210" s="25"/>
      <c r="B210" s="25"/>
      <c r="C210" s="25"/>
      <c r="D210" s="43"/>
      <c r="E210" s="43"/>
    </row>
    <row r="211" spans="1:5">
      <c r="A211" s="42"/>
      <c r="B211" s="42"/>
      <c r="C211" s="42"/>
      <c r="D211" s="43"/>
      <c r="E211" s="43"/>
    </row>
    <row r="212" spans="1:5">
      <c r="A212" s="42"/>
      <c r="B212" s="42"/>
      <c r="C212" s="42"/>
      <c r="D212" s="43"/>
      <c r="E212" s="43"/>
    </row>
    <row r="213" spans="1:5">
      <c r="A213" s="25"/>
      <c r="B213" s="25"/>
      <c r="C213" s="25"/>
      <c r="D213" s="43"/>
      <c r="E213" s="43"/>
    </row>
    <row r="214" spans="1:5">
      <c r="A214" s="25"/>
      <c r="B214" s="25"/>
      <c r="C214" s="25"/>
      <c r="D214" s="43"/>
      <c r="E214" s="43"/>
    </row>
    <row r="215" spans="1:5">
      <c r="A215" s="5"/>
      <c r="B215" s="25"/>
      <c r="C215" s="25"/>
      <c r="D215" s="43"/>
      <c r="E215" s="43"/>
    </row>
    <row r="216" spans="1:5">
      <c r="A216" s="5"/>
      <c r="B216" s="44"/>
      <c r="C216" s="44"/>
      <c r="D216" s="43"/>
      <c r="E216" s="43"/>
    </row>
    <row r="217" spans="1:5">
      <c r="A217" s="25"/>
      <c r="B217" s="44"/>
      <c r="C217" s="44"/>
      <c r="D217" s="43"/>
      <c r="E217" s="43"/>
    </row>
    <row r="218" spans="1:5">
      <c r="A218" s="42"/>
      <c r="B218" s="44"/>
      <c r="C218" s="44"/>
      <c r="D218" s="43"/>
      <c r="E218" s="43"/>
    </row>
    <row r="219" spans="1:5">
      <c r="A219" s="25"/>
      <c r="B219" s="25"/>
      <c r="C219" s="25"/>
      <c r="D219" s="43"/>
      <c r="E219" s="43"/>
    </row>
    <row r="220" spans="1:5">
      <c r="A220" s="5"/>
      <c r="B220" s="5"/>
      <c r="C220" s="5"/>
      <c r="D220" s="43"/>
      <c r="E220" s="43"/>
    </row>
    <row r="221" spans="1:5">
      <c r="A221" s="25"/>
      <c r="B221" s="25"/>
      <c r="C221" s="25"/>
      <c r="D221" s="43"/>
      <c r="E221" s="43"/>
    </row>
    <row r="222" spans="1:5">
      <c r="A222" s="42"/>
      <c r="B222" s="42"/>
      <c r="C222" s="42"/>
      <c r="D222" s="43"/>
      <c r="E222" s="43"/>
    </row>
    <row r="223" spans="1:5">
      <c r="A223" s="42"/>
      <c r="B223" s="42"/>
      <c r="C223" s="42"/>
      <c r="D223" s="43"/>
      <c r="E223" s="43"/>
    </row>
    <row r="224" spans="1:5">
      <c r="A224" s="42"/>
      <c r="B224" s="42"/>
      <c r="C224" s="42"/>
      <c r="D224" s="43"/>
      <c r="E224" s="43"/>
    </row>
    <row r="225" spans="1:5">
      <c r="A225" s="42"/>
      <c r="B225" s="42"/>
      <c r="C225" s="42"/>
      <c r="D225" s="43"/>
      <c r="E225" s="43"/>
    </row>
    <row r="226" spans="1:5">
      <c r="A226" s="42"/>
      <c r="B226" s="42"/>
      <c r="C226" s="42"/>
      <c r="D226" s="43"/>
      <c r="E226" s="43"/>
    </row>
    <row r="227" spans="1:5">
      <c r="A227" s="42"/>
      <c r="B227" s="5"/>
      <c r="C227" s="5"/>
      <c r="D227" s="43"/>
      <c r="E227" s="43"/>
    </row>
    <row r="228" spans="1:5">
      <c r="A228" s="25"/>
      <c r="B228" s="25"/>
      <c r="C228" s="25"/>
      <c r="D228" s="43"/>
      <c r="E228" s="43"/>
    </row>
    <row r="229" spans="1:5">
      <c r="A229" s="25"/>
      <c r="B229" s="25"/>
      <c r="C229" s="25"/>
      <c r="D229" s="43"/>
      <c r="E229" s="43"/>
    </row>
    <row r="230" spans="1:5">
      <c r="A230" s="5"/>
      <c r="B230" s="5"/>
      <c r="C230" s="5"/>
      <c r="D230" s="43"/>
      <c r="E230" s="43"/>
    </row>
    <row r="231" spans="1:5">
      <c r="A231" s="25"/>
      <c r="B231" s="45"/>
      <c r="C231" s="5"/>
      <c r="D231" s="43"/>
      <c r="E231" s="43"/>
    </row>
    <row r="232" spans="1:5">
      <c r="A232" s="25"/>
      <c r="B232" s="41"/>
      <c r="C232" s="41"/>
      <c r="D232" s="43"/>
      <c r="E232" s="43"/>
    </row>
    <row r="233" spans="1:5">
      <c r="A233" s="5"/>
      <c r="B233" s="5"/>
      <c r="C233" s="5"/>
      <c r="D233" s="5"/>
      <c r="E233" s="5"/>
    </row>
    <row r="234" spans="1:5">
      <c r="A234" s="25"/>
      <c r="B234" s="46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7.399999999999999">
      <c r="A239" s="39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8" customFormat="1">
      <c r="A243" s="47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50"/>
      <c r="C247" s="50"/>
      <c r="D247" s="5"/>
      <c r="E247" s="5"/>
    </row>
    <row r="248" spans="1:5">
      <c r="A248" s="25"/>
      <c r="B248" s="51"/>
      <c r="C248" s="51"/>
      <c r="D248" s="5"/>
      <c r="E248" s="5"/>
    </row>
    <row r="249" spans="1:5">
      <c r="A249" s="47"/>
      <c r="B249" s="5"/>
      <c r="C249" s="5"/>
      <c r="D249" s="5"/>
      <c r="E249" s="5"/>
    </row>
    <row r="250" spans="1:5">
      <c r="A250" s="52"/>
      <c r="B250" s="5"/>
      <c r="C250" s="5"/>
      <c r="D250" s="5"/>
      <c r="E250" s="5"/>
    </row>
    <row r="251" spans="1:5">
      <c r="A251" s="52"/>
      <c r="B251" s="5"/>
      <c r="C251" s="5"/>
      <c r="D251" s="5"/>
      <c r="E251" s="5"/>
    </row>
    <row r="252" spans="1:5">
      <c r="A252" s="52"/>
      <c r="B252" s="5"/>
      <c r="C252" s="5"/>
      <c r="D252" s="5"/>
      <c r="E252" s="5"/>
    </row>
    <row r="253" spans="1:5">
      <c r="A253" s="52"/>
      <c r="B253" s="5"/>
      <c r="C253" s="5"/>
      <c r="D253" s="5"/>
      <c r="E253" s="5"/>
    </row>
    <row r="254" spans="1:5">
      <c r="A254" s="52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52"/>
      <c r="B256" s="13"/>
      <c r="C256" s="13"/>
      <c r="D256" s="5"/>
      <c r="E256" s="5"/>
    </row>
    <row r="257" spans="1:5">
      <c r="A257" s="52"/>
      <c r="B257" s="5"/>
      <c r="C257" s="5"/>
      <c r="D257" s="5"/>
      <c r="E257" s="5"/>
    </row>
    <row r="258" spans="1:5">
      <c r="A258" s="52"/>
      <c r="B258" s="5"/>
      <c r="C258" s="5"/>
      <c r="D258" s="5"/>
      <c r="E258" s="5"/>
    </row>
    <row r="259" spans="1:5">
      <c r="A259" s="52"/>
      <c r="B259" s="5"/>
      <c r="C259" s="5"/>
      <c r="D259" s="5"/>
      <c r="E259" s="5"/>
    </row>
    <row r="260" spans="1:5">
      <c r="A260" s="52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3"/>
      <c r="E265" s="53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2"/>
      <c r="B269" s="5"/>
      <c r="C269" s="5"/>
      <c r="D269" s="5"/>
      <c r="E269" s="5"/>
    </row>
    <row r="270" spans="1:5">
      <c r="A270" s="52"/>
      <c r="B270" s="5"/>
      <c r="C270" s="5"/>
      <c r="D270" s="5"/>
      <c r="E270" s="5"/>
    </row>
    <row r="271" spans="1:5">
      <c r="A271" s="52"/>
      <c r="B271" s="5"/>
      <c r="C271" s="5"/>
      <c r="D271" s="53"/>
      <c r="E271" s="53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4"/>
      <c r="E279" s="54"/>
    </row>
    <row r="280" spans="1:5">
      <c r="A280" s="25"/>
      <c r="B280" s="5"/>
      <c r="C280" s="13"/>
      <c r="D280" s="53"/>
      <c r="E280" s="53"/>
    </row>
    <row r="281" spans="1:5">
      <c r="A281" s="25"/>
      <c r="B281" s="5"/>
      <c r="C281" s="5"/>
      <c r="D281" s="54"/>
      <c r="E281" s="54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7.399999999999999">
      <c r="A294" s="39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43"/>
      <c r="C300" s="43"/>
      <c r="D300" s="43"/>
      <c r="E300" s="43"/>
    </row>
    <row r="301" spans="1:5">
      <c r="A301" s="5"/>
      <c r="B301" s="5"/>
      <c r="C301" s="5"/>
      <c r="D301" s="5"/>
      <c r="E301" s="5"/>
    </row>
    <row r="302" spans="1:5">
      <c r="A302" s="5"/>
      <c r="B302" s="54"/>
      <c r="C302" s="54"/>
      <c r="D302" s="54"/>
      <c r="E302" s="54"/>
    </row>
    <row r="303" spans="1:5">
      <c r="A303" s="5"/>
      <c r="B303" s="5"/>
      <c r="C303" s="5"/>
      <c r="D303" s="5"/>
      <c r="E303" s="5"/>
    </row>
    <row r="304" spans="1:5">
      <c r="A304" s="5"/>
      <c r="B304" s="43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43"/>
      <c r="C306" s="43"/>
      <c r="D306" s="43"/>
      <c r="E306" s="43"/>
    </row>
    <row r="307" spans="1:5">
      <c r="A307" s="5"/>
      <c r="B307" s="5"/>
      <c r="C307" s="5"/>
      <c r="D307" s="5"/>
      <c r="E307" s="5"/>
    </row>
    <row r="308" spans="1:5">
      <c r="A308" s="5"/>
      <c r="B308" s="43"/>
      <c r="C308" s="43"/>
      <c r="D308" s="43"/>
      <c r="E308" s="43"/>
    </row>
    <row r="309" spans="1:5">
      <c r="A309" s="5"/>
      <c r="B309" s="5"/>
      <c r="C309" s="5"/>
      <c r="D309" s="5"/>
      <c r="E309" s="5"/>
    </row>
    <row r="310" spans="1:5">
      <c r="A310" s="5"/>
      <c r="B310" s="43"/>
      <c r="C310" s="43"/>
      <c r="D310" s="43"/>
      <c r="E310" s="43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7.399999999999999">
      <c r="A315" s="40"/>
      <c r="B315" s="40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41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42"/>
      <c r="B321" s="25"/>
      <c r="C321" s="43"/>
      <c r="D321" s="43"/>
      <c r="E321" s="43"/>
    </row>
    <row r="322" spans="1:5">
      <c r="A322" s="42"/>
      <c r="B322" s="25"/>
      <c r="C322" s="43"/>
      <c r="D322" s="43"/>
      <c r="E322" s="43"/>
    </row>
    <row r="323" spans="1:5">
      <c r="A323" s="42"/>
      <c r="B323" s="42"/>
      <c r="C323" s="43"/>
      <c r="D323" s="43"/>
      <c r="E323" s="43"/>
    </row>
    <row r="324" spans="1:5">
      <c r="A324" s="42"/>
      <c r="B324" s="42"/>
      <c r="C324" s="43"/>
      <c r="D324" s="43"/>
      <c r="E324" s="43"/>
    </row>
    <row r="325" spans="1:5">
      <c r="A325" s="42"/>
      <c r="B325" s="2"/>
      <c r="C325" s="43"/>
      <c r="D325" s="43"/>
      <c r="E325" s="43"/>
    </row>
    <row r="326" spans="1:5">
      <c r="A326" s="5"/>
      <c r="B326" s="5"/>
      <c r="C326" s="43"/>
      <c r="D326" s="43"/>
      <c r="E326" s="43"/>
    </row>
    <row r="327" spans="1:5">
      <c r="A327" s="25"/>
      <c r="B327" s="25"/>
      <c r="C327" s="43"/>
      <c r="D327" s="43"/>
      <c r="E327" s="43"/>
    </row>
    <row r="328" spans="1:5">
      <c r="A328" s="42"/>
      <c r="B328" s="25"/>
      <c r="C328" s="43"/>
      <c r="D328" s="43"/>
      <c r="E328" s="43"/>
    </row>
    <row r="329" spans="1:5">
      <c r="A329" s="42"/>
      <c r="B329" s="25"/>
      <c r="C329" s="43"/>
      <c r="D329" s="43"/>
      <c r="E329" s="43"/>
    </row>
    <row r="330" spans="1:5">
      <c r="A330" s="42"/>
      <c r="B330" s="25"/>
      <c r="C330" s="43"/>
      <c r="D330" s="43"/>
      <c r="E330" s="43"/>
    </row>
    <row r="331" spans="1:5">
      <c r="A331" s="42"/>
      <c r="B331" s="25"/>
      <c r="C331" s="43"/>
      <c r="D331" s="43"/>
      <c r="E331" s="43"/>
    </row>
    <row r="332" spans="1:5">
      <c r="A332" s="42"/>
      <c r="B332" s="25"/>
      <c r="C332" s="43"/>
      <c r="D332" s="43"/>
      <c r="E332" s="43"/>
    </row>
    <row r="333" spans="1:5">
      <c r="A333" s="42"/>
      <c r="B333" s="25"/>
      <c r="C333" s="43"/>
      <c r="D333" s="43"/>
      <c r="E333" s="43"/>
    </row>
    <row r="334" spans="1:5">
      <c r="A334" s="42"/>
      <c r="B334" s="25"/>
      <c r="C334" s="43"/>
      <c r="D334" s="43"/>
      <c r="E334" s="43"/>
    </row>
    <row r="335" spans="1:5">
      <c r="A335" s="42"/>
      <c r="B335" s="25"/>
      <c r="C335" s="43"/>
      <c r="D335" s="43"/>
      <c r="E335" s="43"/>
    </row>
    <row r="336" spans="1:5">
      <c r="A336" s="42"/>
      <c r="B336" s="25"/>
      <c r="C336" s="43"/>
      <c r="D336" s="43"/>
      <c r="E336" s="43"/>
    </row>
    <row r="337" spans="1:5">
      <c r="A337" s="42"/>
      <c r="B337" s="42"/>
      <c r="C337" s="43"/>
      <c r="D337" s="43"/>
      <c r="E337" s="43"/>
    </row>
    <row r="338" spans="1:5">
      <c r="A338" s="42"/>
      <c r="B338" s="42"/>
      <c r="C338" s="43"/>
      <c r="D338" s="43"/>
      <c r="E338" s="43"/>
    </row>
    <row r="339" spans="1:5">
      <c r="A339" s="25"/>
      <c r="B339" s="25"/>
      <c r="C339" s="43"/>
      <c r="D339" s="43"/>
      <c r="E339" s="43"/>
    </row>
    <row r="340" spans="1:5">
      <c r="A340" s="42"/>
      <c r="B340" s="42"/>
      <c r="C340" s="43"/>
      <c r="D340" s="43"/>
      <c r="E340" s="43"/>
    </row>
    <row r="341" spans="1:5">
      <c r="A341" s="25"/>
      <c r="B341" s="25"/>
      <c r="C341" s="43"/>
      <c r="D341" s="43"/>
      <c r="E341" s="43"/>
    </row>
    <row r="342" spans="1:5">
      <c r="A342" s="42"/>
      <c r="B342" s="44"/>
      <c r="C342" s="43"/>
      <c r="D342" s="43"/>
      <c r="E342" s="43"/>
    </row>
    <row r="343" spans="1:5">
      <c r="A343" s="25"/>
      <c r="B343" s="25"/>
      <c r="C343" s="43"/>
      <c r="D343" s="43"/>
      <c r="E343" s="43"/>
    </row>
    <row r="344" spans="1:5">
      <c r="A344" s="5"/>
      <c r="B344" s="5"/>
      <c r="C344" s="43"/>
      <c r="D344" s="43"/>
      <c r="E344" s="43"/>
    </row>
    <row r="345" spans="1:5">
      <c r="A345" s="25"/>
      <c r="B345" s="25"/>
      <c r="C345" s="43"/>
      <c r="D345" s="43"/>
      <c r="E345" s="43"/>
    </row>
    <row r="346" spans="1:5">
      <c r="A346" s="42"/>
      <c r="B346" s="42"/>
      <c r="C346" s="43"/>
      <c r="D346" s="43"/>
      <c r="E346" s="43"/>
    </row>
    <row r="347" spans="1:5">
      <c r="A347" s="42"/>
      <c r="B347" s="42"/>
      <c r="C347" s="43"/>
      <c r="D347" s="43"/>
      <c r="E347" s="43"/>
    </row>
    <row r="348" spans="1:5">
      <c r="A348" s="42"/>
      <c r="B348" s="42"/>
      <c r="C348" s="43"/>
      <c r="D348" s="43"/>
      <c r="E348" s="43"/>
    </row>
    <row r="349" spans="1:5">
      <c r="A349" s="42"/>
      <c r="B349" s="5"/>
      <c r="C349" s="43"/>
      <c r="D349" s="43"/>
      <c r="E349" s="43"/>
    </row>
    <row r="350" spans="1:5">
      <c r="A350" s="25"/>
      <c r="B350" s="25"/>
      <c r="C350" s="43"/>
      <c r="D350" s="43"/>
      <c r="E350" s="43"/>
    </row>
    <row r="351" spans="1:5">
      <c r="A351" s="25"/>
      <c r="B351" s="25"/>
      <c r="C351" s="43"/>
      <c r="D351" s="43"/>
      <c r="E351" s="43"/>
    </row>
    <row r="352" spans="1:5">
      <c r="A352" s="42"/>
      <c r="B352" s="25"/>
      <c r="C352" s="43"/>
      <c r="D352" s="43"/>
      <c r="E352" s="43"/>
    </row>
    <row r="353" spans="1:5">
      <c r="A353" s="42"/>
      <c r="B353" s="25"/>
      <c r="C353" s="43"/>
      <c r="D353" s="43"/>
      <c r="E353" s="43"/>
    </row>
    <row r="354" spans="1:5">
      <c r="A354" s="42"/>
      <c r="B354" s="25"/>
      <c r="C354" s="43"/>
      <c r="D354" s="43"/>
      <c r="E354" s="43"/>
    </row>
    <row r="355" spans="1:5">
      <c r="A355" s="42"/>
      <c r="B355" s="25"/>
      <c r="C355" s="43"/>
      <c r="D355" s="43"/>
      <c r="E355" s="43"/>
    </row>
    <row r="356" spans="1:5">
      <c r="A356" s="42"/>
      <c r="B356" s="25"/>
      <c r="C356" s="43"/>
      <c r="D356" s="43"/>
      <c r="E356" s="43"/>
    </row>
    <row r="357" spans="1:5">
      <c r="A357" s="2"/>
      <c r="B357" s="44"/>
      <c r="C357" s="43"/>
      <c r="D357" s="43"/>
      <c r="E357" s="43"/>
    </row>
    <row r="358" spans="1:5">
      <c r="A358" s="25"/>
      <c r="B358" s="25"/>
      <c r="C358" s="43"/>
      <c r="D358" s="43"/>
      <c r="E358" s="43"/>
    </row>
    <row r="359" spans="1:5">
      <c r="A359" s="5"/>
      <c r="B359" s="5"/>
      <c r="C359" s="43"/>
      <c r="D359" s="43"/>
      <c r="E359" s="43"/>
    </row>
    <row r="360" spans="1:5">
      <c r="A360" s="25"/>
      <c r="B360" s="41"/>
      <c r="C360" s="43"/>
      <c r="D360" s="43"/>
      <c r="E360" s="43"/>
    </row>
    <row r="361" spans="1:5">
      <c r="A361" s="25"/>
      <c r="B361" s="41"/>
      <c r="C361" s="43"/>
      <c r="D361" s="43"/>
      <c r="E361" s="43"/>
    </row>
    <row r="362" spans="1:5">
      <c r="A362" s="25"/>
      <c r="B362" s="41"/>
      <c r="C362" s="43"/>
      <c r="D362" s="43"/>
      <c r="E362" s="43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7.399999999999999">
      <c r="A365" s="40"/>
      <c r="B365" s="40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41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42"/>
      <c r="B371" s="25"/>
      <c r="C371" s="25"/>
      <c r="D371" s="55"/>
      <c r="E371" s="55"/>
    </row>
    <row r="372" spans="1:5">
      <c r="A372" s="42"/>
      <c r="B372" s="25"/>
      <c r="C372" s="25"/>
      <c r="D372" s="55"/>
      <c r="E372" s="55"/>
    </row>
    <row r="373" spans="1:5">
      <c r="A373" s="42"/>
      <c r="B373" s="42"/>
      <c r="C373" s="42"/>
      <c r="D373" s="55"/>
      <c r="E373" s="55"/>
    </row>
    <row r="374" spans="1:5">
      <c r="A374" s="42"/>
      <c r="B374" s="42"/>
      <c r="C374" s="42"/>
      <c r="D374" s="55"/>
      <c r="E374" s="55"/>
    </row>
    <row r="375" spans="1:5">
      <c r="A375" s="42"/>
      <c r="B375" s="2"/>
      <c r="C375" s="2"/>
      <c r="D375" s="55"/>
      <c r="E375" s="55"/>
    </row>
    <row r="376" spans="1:5">
      <c r="A376" s="42"/>
      <c r="B376" s="2"/>
      <c r="C376" s="2"/>
      <c r="D376" s="55"/>
      <c r="E376" s="55"/>
    </row>
    <row r="377" spans="1:5">
      <c r="A377" s="25"/>
      <c r="B377" s="25"/>
      <c r="C377" s="25"/>
      <c r="D377" s="55"/>
      <c r="E377" s="55"/>
    </row>
    <row r="378" spans="1:5">
      <c r="A378" s="42"/>
      <c r="B378" s="25"/>
      <c r="C378" s="25"/>
      <c r="D378" s="55"/>
      <c r="E378" s="55"/>
    </row>
    <row r="379" spans="1:5">
      <c r="A379" s="42"/>
      <c r="B379" s="25"/>
      <c r="C379" s="25"/>
      <c r="D379" s="55"/>
      <c r="E379" s="55"/>
    </row>
    <row r="380" spans="1:5">
      <c r="A380" s="42"/>
      <c r="B380" s="25"/>
      <c r="C380" s="25"/>
      <c r="D380" s="55"/>
      <c r="E380" s="55"/>
    </row>
    <row r="381" spans="1:5">
      <c r="A381" s="42"/>
      <c r="B381" s="25"/>
      <c r="C381" s="25"/>
      <c r="D381" s="55"/>
      <c r="E381" s="55"/>
    </row>
    <row r="382" spans="1:5">
      <c r="A382" s="42"/>
      <c r="B382" s="25"/>
      <c r="C382" s="25"/>
      <c r="D382" s="55"/>
      <c r="E382" s="55"/>
    </row>
    <row r="383" spans="1:5">
      <c r="A383" s="42"/>
      <c r="B383" s="25"/>
      <c r="C383" s="25"/>
      <c r="D383" s="55"/>
      <c r="E383" s="55"/>
    </row>
    <row r="384" spans="1:5">
      <c r="A384" s="42"/>
      <c r="B384" s="25"/>
      <c r="C384" s="25"/>
      <c r="D384" s="55"/>
      <c r="E384" s="55"/>
    </row>
    <row r="385" spans="1:5">
      <c r="A385" s="42"/>
      <c r="B385" s="25"/>
      <c r="C385" s="25"/>
      <c r="D385" s="55"/>
      <c r="E385" s="55"/>
    </row>
    <row r="386" spans="1:5">
      <c r="A386" s="42"/>
      <c r="B386" s="25"/>
      <c r="C386" s="25"/>
      <c r="D386" s="55"/>
      <c r="E386" s="55"/>
    </row>
    <row r="387" spans="1:5">
      <c r="A387" s="42"/>
      <c r="B387" s="25"/>
      <c r="C387" s="25"/>
      <c r="D387" s="55"/>
      <c r="E387" s="55"/>
    </row>
    <row r="388" spans="1:5">
      <c r="A388" s="42"/>
      <c r="B388" s="42"/>
      <c r="C388" s="42"/>
      <c r="D388" s="55"/>
      <c r="E388" s="55"/>
    </row>
    <row r="389" spans="1:5">
      <c r="A389" s="42"/>
      <c r="B389" s="42"/>
      <c r="C389" s="42"/>
      <c r="D389" s="55"/>
      <c r="E389" s="55"/>
    </row>
    <row r="390" spans="1:5">
      <c r="A390" s="25"/>
      <c r="B390" s="25"/>
      <c r="C390" s="25"/>
      <c r="D390" s="55"/>
      <c r="E390" s="55"/>
    </row>
    <row r="391" spans="1:5">
      <c r="A391" s="5"/>
      <c r="B391" s="25"/>
      <c r="C391" s="25"/>
      <c r="D391" s="55"/>
      <c r="E391" s="55"/>
    </row>
    <row r="392" spans="1:5">
      <c r="A392" s="42"/>
      <c r="B392" s="42"/>
      <c r="C392" s="42"/>
      <c r="D392" s="55"/>
      <c r="E392" s="55"/>
    </row>
    <row r="393" spans="1:5">
      <c r="A393" s="25"/>
      <c r="B393" s="25"/>
      <c r="C393" s="25"/>
      <c r="D393" s="55"/>
      <c r="E393" s="55"/>
    </row>
    <row r="394" spans="1:5">
      <c r="A394" s="42"/>
      <c r="B394" s="44"/>
      <c r="C394" s="44"/>
      <c r="D394" s="55"/>
      <c r="E394" s="55"/>
    </row>
    <row r="395" spans="1:5">
      <c r="A395" s="25"/>
      <c r="B395" s="25"/>
      <c r="C395" s="25"/>
      <c r="D395" s="55"/>
      <c r="E395" s="55"/>
    </row>
    <row r="396" spans="1:5">
      <c r="A396" s="25"/>
      <c r="B396" s="25"/>
      <c r="C396" s="25"/>
      <c r="D396" s="55"/>
      <c r="E396" s="55"/>
    </row>
    <row r="397" spans="1:5">
      <c r="A397" s="25"/>
      <c r="B397" s="25"/>
      <c r="C397" s="25"/>
      <c r="D397" s="55"/>
      <c r="E397" s="55"/>
    </row>
    <row r="398" spans="1:5">
      <c r="A398" s="25"/>
      <c r="B398" s="41"/>
      <c r="C398" s="41"/>
      <c r="D398" s="55"/>
      <c r="E398" s="55"/>
    </row>
    <row r="399" spans="1:5">
      <c r="A399" s="25"/>
      <c r="B399" s="41"/>
      <c r="C399" s="41"/>
      <c r="D399" s="55"/>
      <c r="E399" s="55"/>
    </row>
    <row r="400" spans="1:5">
      <c r="A400" s="25"/>
      <c r="B400" s="41"/>
      <c r="C400" s="41"/>
      <c r="D400" s="55"/>
      <c r="E400" s="55"/>
    </row>
    <row r="401" spans="1:5">
      <c r="A401" s="25"/>
      <c r="B401" s="41"/>
      <c r="C401" s="41"/>
      <c r="D401" s="55"/>
      <c r="E401" s="55"/>
    </row>
    <row r="402" spans="1:5">
      <c r="A402" s="25"/>
      <c r="B402" s="41"/>
      <c r="C402" s="41"/>
      <c r="D402" s="55"/>
      <c r="E402" s="55"/>
    </row>
    <row r="403" spans="1:5">
      <c r="A403" s="5"/>
      <c r="B403" s="41"/>
      <c r="C403" s="41"/>
      <c r="D403" s="55"/>
      <c r="E403" s="55"/>
    </row>
    <row r="404" spans="1:5">
      <c r="A404" s="5"/>
      <c r="B404" s="55"/>
      <c r="C404" s="41"/>
      <c r="D404" s="55"/>
      <c r="E404" s="55"/>
    </row>
    <row r="405" spans="1:5">
      <c r="A405" s="5"/>
      <c r="B405" s="41"/>
      <c r="C405" s="41"/>
      <c r="D405" s="55"/>
      <c r="E405" s="55"/>
    </row>
    <row r="406" spans="1:5">
      <c r="A406" s="5"/>
      <c r="B406" s="41"/>
      <c r="C406" s="41"/>
      <c r="D406" s="55"/>
      <c r="E406" s="55"/>
    </row>
    <row r="407" spans="1:5">
      <c r="A407" s="5"/>
      <c r="B407" s="41"/>
      <c r="C407" s="41"/>
      <c r="D407" s="55"/>
      <c r="E407" s="55"/>
    </row>
    <row r="408" spans="1:5">
      <c r="A408" s="5"/>
      <c r="B408" s="41"/>
      <c r="C408" s="41"/>
      <c r="D408" s="55"/>
      <c r="E408" s="55"/>
    </row>
    <row r="409" spans="1:5">
      <c r="A409" s="25"/>
      <c r="B409" s="41"/>
      <c r="C409" s="41"/>
      <c r="D409" s="55"/>
      <c r="E409" s="55"/>
    </row>
    <row r="410" spans="1:5">
      <c r="A410" s="5"/>
      <c r="B410" s="41"/>
      <c r="C410" s="41"/>
      <c r="D410" s="55"/>
      <c r="E410" s="55"/>
    </row>
    <row r="411" spans="1:5">
      <c r="A411" s="5"/>
      <c r="B411" s="41"/>
      <c r="C411" s="41"/>
      <c r="D411" s="55"/>
      <c r="E411" s="55"/>
    </row>
    <row r="412" spans="1:5">
      <c r="A412" s="25"/>
      <c r="B412" s="41"/>
      <c r="C412" s="41"/>
      <c r="D412" s="55"/>
      <c r="E412" s="55"/>
    </row>
    <row r="413" spans="1:5">
      <c r="A413" s="25"/>
      <c r="B413" s="41"/>
      <c r="C413" s="41"/>
      <c r="D413" s="55"/>
      <c r="E413" s="55"/>
    </row>
    <row r="414" spans="1:5">
      <c r="A414" s="5"/>
      <c r="B414" s="41"/>
      <c r="C414" s="41"/>
      <c r="D414" s="55"/>
      <c r="E414" s="55"/>
    </row>
    <row r="415" spans="1:5">
      <c r="A415" s="5"/>
      <c r="B415" s="41"/>
      <c r="C415" s="41"/>
      <c r="D415" s="55"/>
      <c r="E415" s="55"/>
    </row>
    <row r="416" spans="1:5">
      <c r="A416" s="5"/>
      <c r="B416" s="41"/>
      <c r="C416" s="41"/>
      <c r="D416" s="55"/>
      <c r="E416" s="55"/>
    </row>
    <row r="417" spans="1:5">
      <c r="A417" s="5"/>
      <c r="B417" s="41"/>
      <c r="C417" s="41"/>
      <c r="D417" s="55"/>
      <c r="E417" s="55"/>
    </row>
    <row r="418" spans="1:5">
      <c r="A418" s="5"/>
      <c r="B418" s="41"/>
      <c r="C418" s="41"/>
      <c r="D418" s="55"/>
      <c r="E418" s="55"/>
    </row>
    <row r="419" spans="1:5">
      <c r="A419" s="5"/>
      <c r="B419" s="41"/>
      <c r="C419" s="41"/>
      <c r="D419" s="55"/>
      <c r="E419" s="55"/>
    </row>
    <row r="420" spans="1:5">
      <c r="A420" s="5"/>
      <c r="B420" s="41"/>
      <c r="C420" s="41"/>
      <c r="D420" s="55"/>
      <c r="E420" s="55"/>
    </row>
    <row r="421" spans="1:5">
      <c r="A421" s="5"/>
      <c r="B421" s="41"/>
      <c r="C421" s="41"/>
      <c r="D421" s="55"/>
      <c r="E421" s="55"/>
    </row>
    <row r="422" spans="1:5">
      <c r="A422" s="25"/>
      <c r="B422" s="41"/>
      <c r="C422" s="41"/>
      <c r="D422" s="55"/>
      <c r="E422" s="55"/>
    </row>
    <row r="423" spans="1:5">
      <c r="A423" s="25"/>
      <c r="B423" s="41"/>
      <c r="C423" s="41"/>
      <c r="D423" s="55"/>
      <c r="E423" s="55"/>
    </row>
    <row r="424" spans="1:5">
      <c r="A424" s="25"/>
      <c r="B424" s="41"/>
      <c r="C424" s="41"/>
      <c r="D424" s="55"/>
      <c r="E424" s="55"/>
    </row>
    <row r="425" spans="1:5">
      <c r="A425" s="25"/>
      <c r="B425" s="41"/>
      <c r="C425" s="41"/>
      <c r="D425" s="55"/>
      <c r="E425" s="55"/>
    </row>
    <row r="426" spans="1:5">
      <c r="A426" s="25"/>
      <c r="B426" s="41"/>
      <c r="C426" s="41"/>
      <c r="D426" s="56"/>
      <c r="E426" s="56"/>
    </row>
    <row r="427" spans="1:5">
      <c r="A427" s="5"/>
      <c r="B427" s="5"/>
      <c r="C427" s="5"/>
      <c r="D427" s="5"/>
      <c r="E427" s="5"/>
    </row>
    <row r="428" spans="1:5" ht="17.399999999999999">
      <c r="A428" s="39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2"/>
      <c r="B439" s="5"/>
      <c r="C439" s="5"/>
      <c r="D439" s="5"/>
      <c r="E439" s="5"/>
    </row>
    <row r="440" spans="1:5">
      <c r="A440" s="52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6"/>
      <c r="D442" s="56"/>
      <c r="E442" s="56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7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60" customFormat="1" ht="17.399999999999999">
      <c r="A449" s="58"/>
      <c r="B449" s="59"/>
      <c r="C449" s="59"/>
      <c r="D449" s="59"/>
      <c r="E449" s="59"/>
    </row>
    <row r="450" spans="1:5" s="60" customFormat="1">
      <c r="A450" s="59"/>
      <c r="B450" s="59"/>
      <c r="C450" s="59"/>
      <c r="D450" s="61"/>
      <c r="E450" s="59"/>
    </row>
    <row r="451" spans="1:5" s="60" customFormat="1">
      <c r="A451" s="59"/>
      <c r="B451" s="62"/>
      <c r="C451" s="62"/>
      <c r="D451" s="63"/>
      <c r="E451" s="62"/>
    </row>
    <row r="452" spans="1:5" s="60" customFormat="1">
      <c r="A452" s="59"/>
      <c r="B452" s="45"/>
      <c r="C452" s="45"/>
      <c r="D452" s="45"/>
      <c r="E452" s="45"/>
    </row>
    <row r="453" spans="1:5" s="60" customFormat="1">
      <c r="A453" s="64"/>
      <c r="B453" s="61"/>
      <c r="C453" s="61"/>
      <c r="D453" s="61"/>
      <c r="E453" s="61"/>
    </row>
    <row r="454" spans="1:5" s="60" customFormat="1">
      <c r="A454" s="35"/>
      <c r="B454" s="59"/>
      <c r="C454" s="59"/>
      <c r="D454" s="59"/>
      <c r="E454" s="59"/>
    </row>
    <row r="455" spans="1:5" s="60" customFormat="1">
      <c r="A455" s="34"/>
      <c r="B455" s="59"/>
      <c r="C455" s="65"/>
      <c r="D455" s="65"/>
      <c r="E455" s="65"/>
    </row>
    <row r="456" spans="1:5" s="60" customFormat="1">
      <c r="A456" s="34"/>
      <c r="B456" s="66"/>
      <c r="C456" s="65"/>
      <c r="D456" s="65"/>
      <c r="E456" s="65"/>
    </row>
    <row r="457" spans="1:5" s="60" customFormat="1">
      <c r="A457" s="34"/>
      <c r="B457" s="67"/>
      <c r="C457" s="65"/>
      <c r="D457" s="65"/>
      <c r="E457" s="65"/>
    </row>
    <row r="458" spans="1:5" s="60" customFormat="1">
      <c r="A458" s="33"/>
      <c r="B458" s="64"/>
      <c r="C458" s="65"/>
      <c r="D458" s="65"/>
      <c r="E458" s="65"/>
    </row>
    <row r="459" spans="1:5" s="60" customFormat="1">
      <c r="A459" s="28"/>
      <c r="C459" s="65"/>
      <c r="D459" s="65"/>
      <c r="E459" s="65"/>
    </row>
    <row r="460" spans="1:5" s="60" customFormat="1">
      <c r="A460" s="35"/>
      <c r="B460" s="59"/>
      <c r="C460" s="65"/>
      <c r="D460" s="65"/>
      <c r="E460" s="65"/>
    </row>
    <row r="461" spans="1:5" s="60" customFormat="1">
      <c r="A461" s="68"/>
      <c r="B461" s="69"/>
      <c r="C461" s="65"/>
      <c r="D461" s="65"/>
      <c r="E461" s="65"/>
    </row>
    <row r="462" spans="1:5" s="60" customFormat="1">
      <c r="A462" s="68"/>
      <c r="B462" s="69"/>
      <c r="C462" s="65"/>
      <c r="D462" s="65"/>
      <c r="E462" s="65"/>
    </row>
    <row r="463" spans="1:5" s="60" customFormat="1">
      <c r="A463" s="68"/>
      <c r="B463" s="69"/>
      <c r="C463" s="65"/>
      <c r="D463" s="65"/>
      <c r="E463" s="65"/>
    </row>
    <row r="464" spans="1:5" s="60" customFormat="1">
      <c r="A464" s="68"/>
      <c r="B464" s="69"/>
      <c r="C464" s="65"/>
      <c r="D464" s="65"/>
      <c r="E464" s="65"/>
    </row>
    <row r="465" spans="1:5" s="60" customFormat="1">
      <c r="A465" s="68"/>
      <c r="B465" s="69"/>
      <c r="C465" s="65"/>
      <c r="D465" s="65"/>
      <c r="E465" s="65"/>
    </row>
    <row r="466" spans="1:5" s="60" customFormat="1">
      <c r="A466" s="38"/>
      <c r="B466" s="69"/>
      <c r="C466" s="65"/>
      <c r="D466" s="65"/>
      <c r="E466" s="65"/>
    </row>
    <row r="467" spans="1:5" s="60" customFormat="1">
      <c r="A467" s="68"/>
      <c r="B467" s="69"/>
      <c r="C467" s="65"/>
      <c r="D467" s="65"/>
      <c r="E467" s="65"/>
    </row>
    <row r="468" spans="1:5" s="60" customFormat="1">
      <c r="A468" s="68"/>
      <c r="B468" s="69"/>
      <c r="C468" s="65"/>
      <c r="D468" s="65"/>
      <c r="E468" s="65"/>
    </row>
    <row r="469" spans="1:5" s="60" customFormat="1">
      <c r="A469" s="68"/>
      <c r="B469" s="69"/>
      <c r="C469" s="65"/>
      <c r="D469" s="65"/>
      <c r="E469" s="65"/>
    </row>
    <row r="470" spans="1:5" s="60" customFormat="1">
      <c r="A470" s="68"/>
      <c r="B470" s="69"/>
      <c r="C470" s="65"/>
      <c r="D470" s="65"/>
      <c r="E470" s="65"/>
    </row>
    <row r="471" spans="1:5" s="60" customFormat="1">
      <c r="A471" s="68"/>
      <c r="B471" s="70"/>
      <c r="C471" s="65"/>
      <c r="D471" s="65"/>
      <c r="E471" s="65"/>
    </row>
    <row r="472" spans="1:5" s="60" customFormat="1">
      <c r="A472" s="35"/>
      <c r="B472" s="69"/>
      <c r="C472" s="65"/>
      <c r="D472" s="65"/>
      <c r="E472" s="65"/>
    </row>
    <row r="473" spans="1:5" s="60" customFormat="1">
      <c r="A473" s="35"/>
      <c r="B473" s="69"/>
      <c r="C473" s="65"/>
      <c r="D473" s="65"/>
      <c r="E473" s="65"/>
    </row>
    <row r="474" spans="1:5" s="60" customFormat="1">
      <c r="A474" s="35"/>
      <c r="B474" s="69"/>
      <c r="C474" s="65"/>
      <c r="D474" s="65"/>
      <c r="E474" s="65"/>
    </row>
    <row r="475" spans="1:5" s="60" customFormat="1">
      <c r="A475" s="35"/>
      <c r="B475" s="69"/>
      <c r="C475" s="65"/>
      <c r="D475" s="65"/>
      <c r="E475" s="65"/>
    </row>
    <row r="476" spans="1:5" s="60" customFormat="1">
      <c r="A476" s="34"/>
      <c r="B476" s="69"/>
      <c r="C476" s="65"/>
      <c r="D476" s="65"/>
      <c r="E476" s="65"/>
    </row>
    <row r="477" spans="1:5" s="60" customFormat="1">
      <c r="A477" s="34"/>
      <c r="B477" s="69"/>
      <c r="C477" s="65"/>
      <c r="D477" s="65"/>
      <c r="E477" s="65"/>
    </row>
    <row r="478" spans="1:5" s="60" customFormat="1">
      <c r="A478" s="35"/>
      <c r="B478" s="69"/>
      <c r="C478" s="65"/>
      <c r="D478" s="65"/>
      <c r="E478" s="65"/>
    </row>
    <row r="479" spans="1:5" s="60" customFormat="1">
      <c r="A479" s="37"/>
      <c r="B479" s="69"/>
      <c r="C479" s="71"/>
      <c r="D479" s="71"/>
      <c r="E479" s="71"/>
    </row>
    <row r="480" spans="1:5" s="60" customFormat="1">
      <c r="A480" s="34"/>
      <c r="B480" s="72"/>
      <c r="C480" s="65"/>
      <c r="D480" s="65"/>
      <c r="E480" s="65"/>
    </row>
    <row r="481" spans="1:5" s="60" customFormat="1" ht="13.95" customHeight="1">
      <c r="A481" s="33"/>
      <c r="B481" s="72"/>
      <c r="C481" s="65"/>
      <c r="D481" s="65"/>
      <c r="E481" s="65"/>
    </row>
    <row r="482" spans="1:5" s="75" customFormat="1">
      <c r="A482" s="73"/>
      <c r="B482" s="74"/>
      <c r="C482" s="65"/>
      <c r="D482" s="65"/>
      <c r="E482" s="65"/>
    </row>
    <row r="483" spans="1:5" s="60" customFormat="1">
      <c r="A483" s="33"/>
      <c r="B483" s="66"/>
      <c r="C483" s="65"/>
      <c r="D483" s="65"/>
      <c r="E483" s="65"/>
    </row>
    <row r="484" spans="1:5" s="60" customFormat="1">
      <c r="A484" s="34"/>
      <c r="B484" s="66"/>
      <c r="C484" s="65"/>
      <c r="D484" s="65"/>
      <c r="E484" s="65"/>
    </row>
    <row r="485" spans="1:5" s="60" customFormat="1">
      <c r="A485" s="34"/>
      <c r="B485" s="76"/>
      <c r="C485" s="65"/>
      <c r="D485" s="65"/>
      <c r="E485" s="65"/>
    </row>
    <row r="486" spans="1:5" s="60" customFormat="1">
      <c r="A486" s="34"/>
      <c r="B486" s="76"/>
      <c r="C486" s="65"/>
      <c r="D486" s="65"/>
      <c r="E486" s="65"/>
    </row>
    <row r="487" spans="1:5" s="60" customFormat="1">
      <c r="A487" s="34"/>
      <c r="B487" s="76"/>
      <c r="C487" s="65"/>
      <c r="D487" s="65"/>
      <c r="E487" s="65"/>
    </row>
    <row r="488" spans="1:5" s="60" customFormat="1">
      <c r="A488" s="35"/>
      <c r="C488" s="65"/>
      <c r="D488" s="65"/>
      <c r="E488" s="65"/>
    </row>
    <row r="489" spans="1:5" s="75" customFormat="1">
      <c r="A489" s="77"/>
      <c r="B489" s="78"/>
      <c r="C489" s="65"/>
      <c r="D489" s="65"/>
      <c r="E489" s="65"/>
    </row>
    <row r="490" spans="1:5" s="60" customFormat="1">
      <c r="A490" s="34"/>
      <c r="B490" s="59"/>
      <c r="C490" s="65"/>
      <c r="D490" s="65"/>
      <c r="E490" s="65"/>
    </row>
    <row r="491" spans="1:5" s="60" customFormat="1">
      <c r="A491" s="37"/>
      <c r="B491" s="59"/>
      <c r="C491" s="65"/>
      <c r="D491" s="65"/>
      <c r="E491" s="65"/>
    </row>
    <row r="492" spans="1:5" s="60" customFormat="1">
      <c r="A492" s="37"/>
      <c r="B492" s="59"/>
      <c r="C492" s="65"/>
      <c r="D492" s="65"/>
      <c r="E492" s="65"/>
    </row>
    <row r="493" spans="1:5" s="60" customFormat="1">
      <c r="A493" s="37"/>
      <c r="B493" s="59"/>
      <c r="C493" s="65"/>
      <c r="D493" s="65"/>
      <c r="E493" s="65"/>
    </row>
    <row r="494" spans="1:5" s="60" customFormat="1">
      <c r="A494" s="34"/>
      <c r="B494" s="59"/>
      <c r="C494" s="65"/>
      <c r="D494" s="65"/>
      <c r="E494" s="65"/>
    </row>
    <row r="495" spans="1:5" s="75" customFormat="1">
      <c r="A495" s="73"/>
      <c r="B495" s="78"/>
      <c r="C495" s="65"/>
      <c r="D495" s="65"/>
      <c r="E495" s="65"/>
    </row>
    <row r="496" spans="1:5" s="60" customFormat="1">
      <c r="A496" s="34"/>
      <c r="B496" s="79"/>
      <c r="C496" s="65"/>
      <c r="D496" s="65"/>
      <c r="E496" s="65"/>
    </row>
    <row r="497" spans="1:5" s="60" customFormat="1">
      <c r="A497" s="37"/>
      <c r="B497" s="79"/>
      <c r="C497" s="65"/>
      <c r="D497" s="65"/>
      <c r="E497" s="65"/>
    </row>
    <row r="498" spans="1:5" s="60" customFormat="1">
      <c r="A498" s="33"/>
      <c r="B498" s="72"/>
      <c r="C498" s="65"/>
      <c r="D498" s="65"/>
      <c r="E498" s="65"/>
    </row>
    <row r="499" spans="1:5" s="75" customFormat="1">
      <c r="A499" s="77"/>
      <c r="B499" s="78"/>
      <c r="C499" s="65"/>
      <c r="D499" s="65"/>
      <c r="E499" s="65"/>
    </row>
    <row r="500" spans="1:5" s="60" customFormat="1">
      <c r="A500" s="35"/>
      <c r="B500" s="59"/>
      <c r="C500" s="65"/>
      <c r="D500" s="65"/>
      <c r="E500" s="65"/>
    </row>
    <row r="501" spans="1:5" s="75" customFormat="1">
      <c r="A501" s="77"/>
      <c r="B501" s="78"/>
      <c r="C501" s="65"/>
      <c r="D501" s="65"/>
      <c r="E501" s="65"/>
    </row>
    <row r="502" spans="1:5" s="60" customFormat="1">
      <c r="A502" s="35"/>
      <c r="B502" s="72"/>
      <c r="C502" s="65"/>
      <c r="D502" s="65"/>
      <c r="E502" s="65"/>
    </row>
    <row r="503" spans="1:5" s="60" customFormat="1">
      <c r="A503" s="35"/>
      <c r="B503" s="72"/>
      <c r="C503" s="65"/>
      <c r="D503" s="65"/>
      <c r="E503" s="65"/>
    </row>
    <row r="504" spans="1:5" s="60" customFormat="1">
      <c r="A504" s="35"/>
      <c r="B504" s="72"/>
      <c r="C504" s="65"/>
      <c r="D504" s="65"/>
      <c r="E504" s="6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7.399999999999999">
      <c r="A508" s="40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80"/>
      <c r="B510" s="5"/>
      <c r="C510" s="5"/>
      <c r="D510" s="50"/>
      <c r="E510" s="50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42"/>
      <c r="B514" s="5"/>
      <c r="C514" s="5"/>
      <c r="D514" s="43"/>
      <c r="E514" s="43"/>
    </row>
    <row r="515" spans="1:5">
      <c r="A515" s="42"/>
      <c r="B515" s="5"/>
      <c r="C515" s="5"/>
      <c r="D515" s="43"/>
      <c r="E515" s="43"/>
    </row>
    <row r="516" spans="1:5">
      <c r="A516" s="81"/>
      <c r="B516" s="5"/>
      <c r="C516" s="5"/>
      <c r="D516" s="43"/>
      <c r="E516" s="43"/>
    </row>
    <row r="517" spans="1:5">
      <c r="A517" s="42"/>
      <c r="B517" s="5"/>
      <c r="C517" s="5"/>
      <c r="D517" s="43"/>
      <c r="E517" s="43"/>
    </row>
    <row r="518" spans="1:5">
      <c r="A518" s="5"/>
      <c r="B518" s="5"/>
      <c r="C518" s="5"/>
      <c r="D518" s="43"/>
      <c r="E518" s="43"/>
    </row>
    <row r="519" spans="1:5">
      <c r="A519" s="25"/>
      <c r="B519" s="5"/>
      <c r="C519" s="5"/>
      <c r="D519" s="43"/>
      <c r="E519" s="43"/>
    </row>
    <row r="520" spans="1:5">
      <c r="A520" s="42"/>
      <c r="B520" s="5"/>
      <c r="C520" s="5"/>
      <c r="D520" s="43"/>
      <c r="E520" s="43"/>
    </row>
    <row r="521" spans="1:5">
      <c r="A521" s="42"/>
      <c r="B521" s="5"/>
      <c r="C521" s="5"/>
      <c r="D521" s="43"/>
      <c r="E521" s="43"/>
    </row>
    <row r="522" spans="1:5">
      <c r="A522" s="42"/>
      <c r="B522" s="5"/>
      <c r="C522" s="5"/>
      <c r="D522" s="43"/>
      <c r="E522" s="43"/>
    </row>
    <row r="523" spans="1:5">
      <c r="A523" s="42"/>
      <c r="B523" s="5"/>
      <c r="C523" s="5"/>
      <c r="D523" s="43"/>
      <c r="E523" s="43"/>
    </row>
    <row r="524" spans="1:5">
      <c r="A524" s="42"/>
      <c r="B524" s="5"/>
      <c r="C524" s="5"/>
      <c r="D524" s="43"/>
      <c r="E524" s="43"/>
    </row>
    <row r="525" spans="1:5">
      <c r="A525" s="42"/>
      <c r="B525" s="5"/>
      <c r="C525" s="5"/>
      <c r="D525" s="43"/>
      <c r="E525" s="43"/>
    </row>
    <row r="526" spans="1:5">
      <c r="A526" s="42"/>
      <c r="B526" s="5"/>
      <c r="C526" s="5"/>
      <c r="D526" s="43"/>
      <c r="E526" s="43"/>
    </row>
    <row r="527" spans="1:5">
      <c r="A527" s="42"/>
      <c r="B527" s="5"/>
      <c r="C527" s="5"/>
      <c r="D527" s="43"/>
      <c r="E527" s="43"/>
    </row>
    <row r="528" spans="1:5">
      <c r="A528" s="42"/>
      <c r="B528" s="5"/>
      <c r="C528" s="5"/>
      <c r="D528" s="43"/>
      <c r="E528" s="43"/>
    </row>
    <row r="529" spans="1:5">
      <c r="A529" s="42"/>
      <c r="B529" s="5"/>
      <c r="C529" s="5"/>
      <c r="D529" s="43"/>
      <c r="E529" s="43"/>
    </row>
    <row r="530" spans="1:5">
      <c r="A530" s="5"/>
      <c r="B530" s="5"/>
      <c r="C530" s="5"/>
      <c r="D530" s="43"/>
      <c r="E530" s="43"/>
    </row>
    <row r="531" spans="1:5">
      <c r="A531" s="5"/>
      <c r="B531" s="5"/>
      <c r="C531" s="5"/>
      <c r="D531" s="43"/>
      <c r="E531" s="43"/>
    </row>
    <row r="532" spans="1:5">
      <c r="A532" s="5"/>
      <c r="B532" s="5"/>
      <c r="C532" s="5"/>
      <c r="D532" s="43"/>
      <c r="E532" s="43"/>
    </row>
    <row r="533" spans="1:5">
      <c r="A533" s="42"/>
      <c r="B533" s="5"/>
      <c r="C533" s="5"/>
      <c r="D533" s="43"/>
      <c r="E533" s="43"/>
    </row>
    <row r="534" spans="1:5">
      <c r="A534" s="5"/>
      <c r="B534" s="5"/>
      <c r="C534" s="5"/>
      <c r="D534" s="43"/>
      <c r="E534" s="43"/>
    </row>
    <row r="535" spans="1:5">
      <c r="A535" s="5"/>
      <c r="B535" s="5"/>
      <c r="C535" s="5"/>
      <c r="D535" s="43"/>
      <c r="E535" s="43"/>
    </row>
    <row r="536" spans="1:5">
      <c r="A536" s="25"/>
      <c r="B536" s="5"/>
      <c r="C536" s="5"/>
      <c r="D536" s="43"/>
      <c r="E536" s="43"/>
    </row>
    <row r="537" spans="1:5">
      <c r="A537" s="42"/>
      <c r="B537" s="5"/>
      <c r="C537" s="5"/>
      <c r="D537" s="43"/>
      <c r="E537" s="43"/>
    </row>
    <row r="538" spans="1:5">
      <c r="A538" s="25"/>
      <c r="B538" s="5"/>
      <c r="C538" s="5"/>
      <c r="D538" s="43"/>
      <c r="E538" s="43"/>
    </row>
    <row r="539" spans="1:5">
      <c r="A539" s="25"/>
      <c r="B539" s="5"/>
      <c r="C539" s="5"/>
      <c r="D539" s="43"/>
      <c r="E539" s="43"/>
    </row>
    <row r="540" spans="1:5">
      <c r="A540" s="25"/>
      <c r="B540" s="5"/>
      <c r="C540" s="5"/>
      <c r="D540" s="43"/>
      <c r="E540" s="43"/>
    </row>
    <row r="541" spans="1:5">
      <c r="A541" s="5"/>
      <c r="B541" s="5"/>
      <c r="C541" s="5"/>
      <c r="D541" s="43"/>
      <c r="E541" s="43"/>
    </row>
    <row r="542" spans="1:5">
      <c r="A542" s="5"/>
      <c r="B542" s="5"/>
      <c r="C542" s="5"/>
      <c r="D542" s="43"/>
      <c r="E542" s="43"/>
    </row>
    <row r="543" spans="1:5">
      <c r="A543" s="25"/>
      <c r="B543" s="5"/>
      <c r="C543" s="5"/>
      <c r="D543" s="43"/>
      <c r="E543" s="43"/>
    </row>
    <row r="544" spans="1:5">
      <c r="A544" s="25"/>
      <c r="B544" s="5"/>
      <c r="C544" s="5"/>
      <c r="D544" s="43"/>
      <c r="E544" s="43"/>
    </row>
    <row r="545" spans="1:5">
      <c r="A545" s="25"/>
      <c r="B545" s="5"/>
      <c r="C545" s="5"/>
      <c r="D545" s="43"/>
      <c r="E545" s="43"/>
    </row>
    <row r="546" spans="1:5">
      <c r="A546" s="25"/>
      <c r="B546" s="5"/>
      <c r="C546" s="5"/>
      <c r="D546" s="43"/>
      <c r="E546" s="43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</sheetData>
  <mergeCells count="1">
    <mergeCell ref="E61:G61"/>
  </mergeCells>
  <pageMargins left="0.5" right="0.5" top="0.75" bottom="0.75" header="0.17" footer="0.21"/>
  <pageSetup scale="32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RowHeight="13.2"/>
  <cols>
    <col min="1" max="1" width="41.109375" style="234" customWidth="1"/>
    <col min="2" max="2" width="17.109375" style="234" bestFit="1" customWidth="1"/>
    <col min="3" max="5" width="14.6640625" style="235" customWidth="1"/>
    <col min="6" max="52" width="8.88671875" style="235" customWidth="1"/>
    <col min="53" max="16384" width="8.88671875" style="234"/>
  </cols>
  <sheetData>
    <row r="1" spans="1:52" s="206" customFormat="1">
      <c r="A1" s="227" t="s">
        <v>121</v>
      </c>
      <c r="B1" s="227"/>
      <c r="C1" s="227"/>
      <c r="D1" s="227"/>
      <c r="E1" s="227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</row>
    <row r="2" spans="1:52" s="206" customFormat="1">
      <c r="A2" s="227" t="s">
        <v>73</v>
      </c>
      <c r="B2" s="227"/>
      <c r="C2" s="227"/>
      <c r="D2" s="227"/>
      <c r="E2" s="227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</row>
    <row r="3" spans="1:52" s="206" customFormat="1">
      <c r="A3" s="229" t="s">
        <v>74</v>
      </c>
      <c r="B3" s="229"/>
      <c r="C3" s="229"/>
      <c r="D3" s="229"/>
      <c r="E3" s="229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</row>
    <row r="4" spans="1:52" s="206" customFormat="1">
      <c r="A4" s="286">
        <v>36616</v>
      </c>
      <c r="B4" s="230"/>
      <c r="C4" s="230"/>
      <c r="D4" s="230"/>
      <c r="E4" s="230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</row>
    <row r="5" spans="1:52" s="206" customFormat="1">
      <c r="A5" s="231"/>
      <c r="B5" s="231"/>
      <c r="C5" s="232"/>
      <c r="D5" s="232"/>
      <c r="E5" s="232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</row>
    <row r="6" spans="1:52" s="206" customFormat="1">
      <c r="A6" s="233"/>
      <c r="B6" s="233"/>
      <c r="C6" s="232"/>
      <c r="D6" s="232"/>
      <c r="E6" s="232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</row>
    <row r="7" spans="1:52" s="206" customFormat="1">
      <c r="A7" s="233"/>
      <c r="B7" s="233"/>
      <c r="C7" s="416" t="s">
        <v>119</v>
      </c>
      <c r="D7" s="416"/>
      <c r="E7" s="416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</row>
    <row r="8" spans="1:52">
      <c r="C8" s="287" t="s">
        <v>3</v>
      </c>
      <c r="D8" s="287" t="s">
        <v>4</v>
      </c>
      <c r="E8" s="287" t="s">
        <v>5</v>
      </c>
    </row>
    <row r="9" spans="1:52" s="203" customFormat="1">
      <c r="C9" s="221" t="str">
        <f>"Source:  "&amp;"99 O&amp;M analysis - 0001.xls"</f>
        <v>Source:  99 O&amp;M analysis - 0001.xls</v>
      </c>
      <c r="D9" s="204"/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</row>
    <row r="11" spans="1:52" ht="13.8" thickBot="1">
      <c r="A11" s="206" t="s">
        <v>72</v>
      </c>
      <c r="B11" s="206"/>
      <c r="C11" s="236">
        <f>'[1]BRN Summ'!$J11</f>
        <v>0</v>
      </c>
      <c r="D11" s="236">
        <f>'[1]CAL Summ'!$J11</f>
        <v>0</v>
      </c>
      <c r="E11" s="236">
        <f>'[1]NA Summ'!$J11</f>
        <v>0</v>
      </c>
    </row>
    <row r="13" spans="1:52">
      <c r="A13" s="206" t="s">
        <v>75</v>
      </c>
      <c r="B13" s="219" t="s">
        <v>115</v>
      </c>
      <c r="I13" s="206"/>
    </row>
    <row r="14" spans="1:52">
      <c r="A14" s="207" t="s">
        <v>76</v>
      </c>
      <c r="B14" s="207"/>
      <c r="I14" s="207"/>
    </row>
    <row r="15" spans="1:52">
      <c r="A15" s="208" t="s">
        <v>77</v>
      </c>
      <c r="B15" s="281" t="s">
        <v>116</v>
      </c>
      <c r="C15" s="235">
        <f>'[1]BRN Summ'!$J16</f>
        <v>7328</v>
      </c>
      <c r="D15" s="235">
        <f>'[1]CAL Summ'!$J16</f>
        <v>13504.04</v>
      </c>
      <c r="E15" s="235">
        <f>'[1]NA Summ'!$J16</f>
        <v>7328</v>
      </c>
      <c r="I15" s="208"/>
    </row>
    <row r="16" spans="1:52">
      <c r="A16" s="208" t="s">
        <v>78</v>
      </c>
      <c r="B16" s="281" t="s">
        <v>281</v>
      </c>
      <c r="C16" s="235">
        <f>'[1]BRN Summ'!$J20</f>
        <v>0</v>
      </c>
      <c r="D16" s="235">
        <f>'[1]CAL Summ'!$J20</f>
        <v>0</v>
      </c>
      <c r="E16" s="235">
        <f>'[1]NA Summ'!$J20</f>
        <v>0</v>
      </c>
      <c r="I16" s="208"/>
    </row>
    <row r="17" spans="1:9">
      <c r="A17" s="208" t="s">
        <v>124</v>
      </c>
      <c r="B17" s="281" t="s">
        <v>116</v>
      </c>
      <c r="C17" s="235">
        <f>'[1]BRN Summ'!$J21</f>
        <v>0</v>
      </c>
      <c r="D17" s="235">
        <f>'[1]CAL Summ'!$J21</f>
        <v>1413</v>
      </c>
      <c r="E17" s="235">
        <f>'[1]NA Summ'!$J21</f>
        <v>15773.9</v>
      </c>
      <c r="I17" s="208"/>
    </row>
    <row r="18" spans="1:9">
      <c r="A18" s="208" t="s">
        <v>271</v>
      </c>
      <c r="B18" s="281" t="s">
        <v>116</v>
      </c>
      <c r="C18" s="235">
        <f>'[1]BRN Summ'!$J22</f>
        <v>10028</v>
      </c>
      <c r="I18" s="208"/>
    </row>
    <row r="19" spans="1:9">
      <c r="A19" s="208" t="s">
        <v>79</v>
      </c>
      <c r="B19" s="281" t="s">
        <v>116</v>
      </c>
      <c r="C19" s="235">
        <f>'[1]BRN Summ'!$J23</f>
        <v>3668</v>
      </c>
      <c r="D19" s="235">
        <f>'[1]CAL Summ'!$J23</f>
        <v>3811</v>
      </c>
      <c r="E19" s="235">
        <f>'[1]NA Summ'!$J23</f>
        <v>7618</v>
      </c>
      <c r="I19" s="208"/>
    </row>
    <row r="20" spans="1:9">
      <c r="A20" s="208" t="s">
        <v>80</v>
      </c>
      <c r="B20" s="281" t="s">
        <v>281</v>
      </c>
      <c r="C20" s="235">
        <f>'[1]BRN Summ'!$J24</f>
        <v>129514</v>
      </c>
      <c r="D20" s="235">
        <f>'[1]CAL Summ'!$J24</f>
        <v>67381</v>
      </c>
      <c r="E20" s="235">
        <f>'[1]NA Summ'!$J24</f>
        <v>66156</v>
      </c>
      <c r="I20" s="208"/>
    </row>
    <row r="21" spans="1:9">
      <c r="A21" s="208" t="s">
        <v>81</v>
      </c>
      <c r="B21" s="281" t="s">
        <v>116</v>
      </c>
      <c r="C21" s="235">
        <f>'[1]BRN Summ'!$J25</f>
        <v>1156</v>
      </c>
      <c r="D21" s="235">
        <f>'[1]CAL Summ'!$J25</f>
        <v>1958</v>
      </c>
      <c r="E21" s="235">
        <f>'[1]NA Summ'!$J25</f>
        <v>1156</v>
      </c>
      <c r="I21" s="208"/>
    </row>
    <row r="22" spans="1:9">
      <c r="A22" s="208" t="s">
        <v>82</v>
      </c>
      <c r="B22" s="281" t="s">
        <v>116</v>
      </c>
      <c r="C22" s="235">
        <f>'[1]BRN Summ'!$J26</f>
        <v>3856</v>
      </c>
      <c r="D22" s="235">
        <f>'[1]CAL Summ'!$J26</f>
        <v>3856</v>
      </c>
      <c r="E22" s="235">
        <f>'[1]NA Summ'!$J26</f>
        <v>11572</v>
      </c>
      <c r="I22" s="208"/>
    </row>
    <row r="23" spans="1:9">
      <c r="A23" s="208" t="s">
        <v>83</v>
      </c>
      <c r="B23" s="281" t="s">
        <v>116</v>
      </c>
      <c r="C23" s="235">
        <f>'[1]BRN Summ'!$J28</f>
        <v>9507.94</v>
      </c>
      <c r="D23" s="235">
        <f>'[1]CAL Summ'!$J28</f>
        <v>11323</v>
      </c>
      <c r="E23" s="235">
        <f>'[1]NA Summ'!$J28</f>
        <v>7917.6</v>
      </c>
      <c r="I23" s="208"/>
    </row>
    <row r="24" spans="1:9">
      <c r="A24" s="208" t="s">
        <v>84</v>
      </c>
      <c r="B24" s="281" t="s">
        <v>116</v>
      </c>
      <c r="C24" s="235">
        <f>'[1]BRN Summ'!$J29</f>
        <v>18357.72</v>
      </c>
      <c r="D24" s="235">
        <f>'[1]CAL Summ'!$J29</f>
        <v>12670.33</v>
      </c>
      <c r="E24" s="235">
        <f>'[1]NA Summ'!$J29</f>
        <v>28748.49</v>
      </c>
      <c r="I24" s="208"/>
    </row>
    <row r="25" spans="1:9">
      <c r="A25" s="208" t="s">
        <v>234</v>
      </c>
      <c r="B25" s="281" t="s">
        <v>116</v>
      </c>
      <c r="C25" s="235">
        <f>'[1]BRN Summ'!$J30</f>
        <v>0</v>
      </c>
      <c r="D25" s="235">
        <f>'[1]CAL Summ'!$J30</f>
        <v>11</v>
      </c>
      <c r="E25" s="235">
        <f>'[1]NA Summ'!$J30</f>
        <v>0</v>
      </c>
      <c r="I25" s="208"/>
    </row>
    <row r="26" spans="1:9">
      <c r="A26" s="208" t="s">
        <v>85</v>
      </c>
      <c r="B26" s="281" t="s">
        <v>116</v>
      </c>
      <c r="C26" s="235">
        <f>'[1]BRN Summ'!$J31</f>
        <v>9061.35</v>
      </c>
      <c r="D26" s="235">
        <f>'[1]CAL Summ'!$J31</f>
        <v>50100</v>
      </c>
      <c r="E26" s="235">
        <f>'[1]NA Summ'!$J31</f>
        <v>50147</v>
      </c>
      <c r="I26" s="208"/>
    </row>
    <row r="27" spans="1:9">
      <c r="A27" s="208" t="s">
        <v>86</v>
      </c>
      <c r="B27" s="281" t="s">
        <v>116</v>
      </c>
      <c r="C27" s="235">
        <f>'[1]BRN Summ'!$J32</f>
        <v>47513.43</v>
      </c>
      <c r="D27" s="235">
        <f>'[1]CAL Summ'!$J32</f>
        <v>50754.74</v>
      </c>
      <c r="E27" s="235">
        <f>'[1]NA Summ'!$J32</f>
        <v>54828.14</v>
      </c>
      <c r="I27" s="208"/>
    </row>
    <row r="28" spans="1:9">
      <c r="A28" s="208" t="s">
        <v>87</v>
      </c>
      <c r="B28" s="281" t="s">
        <v>116</v>
      </c>
      <c r="C28" s="235">
        <f>'[1]BRN Summ'!$J33</f>
        <v>234983.05</v>
      </c>
      <c r="D28" s="235">
        <f>'[1]CAL Summ'!$J33</f>
        <v>271658.25</v>
      </c>
      <c r="E28" s="235">
        <f>'[1]NA Summ'!$J33</f>
        <v>283341.74</v>
      </c>
      <c r="I28" s="208"/>
    </row>
    <row r="29" spans="1:9">
      <c r="A29" s="208" t="s">
        <v>88</v>
      </c>
      <c r="B29" s="281" t="s">
        <v>116</v>
      </c>
      <c r="C29" s="235">
        <f>'[1]BRN Summ'!$J34</f>
        <v>723929.07</v>
      </c>
      <c r="D29" s="235">
        <f>'[1]CAL Summ'!$J34</f>
        <v>769874.32</v>
      </c>
      <c r="E29" s="235">
        <f>'[1]NA Summ'!$J34</f>
        <v>1016310.71</v>
      </c>
      <c r="I29" s="208"/>
    </row>
    <row r="30" spans="1:9">
      <c r="A30" s="208" t="s">
        <v>89</v>
      </c>
      <c r="B30" s="281" t="s">
        <v>116</v>
      </c>
      <c r="C30" s="235">
        <f>'[1]BRN Summ'!$J35</f>
        <v>73629.039999999994</v>
      </c>
      <c r="D30" s="235">
        <f>'[1]CAL Summ'!$J35</f>
        <v>38773.769999999997</v>
      </c>
      <c r="E30" s="235">
        <f>'[1]NA Summ'!$J35</f>
        <v>57229.72</v>
      </c>
      <c r="I30" s="208"/>
    </row>
    <row r="31" spans="1:9">
      <c r="A31" s="208" t="s">
        <v>90</v>
      </c>
      <c r="B31" s="281" t="s">
        <v>116</v>
      </c>
      <c r="C31" s="235">
        <f>'[1]BRN Summ'!$J36</f>
        <v>359412.87</v>
      </c>
      <c r="D31" s="235">
        <f>'[1]CAL Summ'!$J36</f>
        <v>449134.98</v>
      </c>
      <c r="E31" s="235">
        <f>'[1]NA Summ'!$J36</f>
        <v>286787.90000000002</v>
      </c>
      <c r="I31" s="208"/>
    </row>
    <row r="32" spans="1:9">
      <c r="A32" s="208" t="s">
        <v>91</v>
      </c>
      <c r="B32" s="281" t="s">
        <v>116</v>
      </c>
      <c r="C32" s="235">
        <f>'[1]BRN Summ'!$J38</f>
        <v>1672</v>
      </c>
      <c r="D32" s="235">
        <f>'[1]CAL Summ'!$J38</f>
        <v>1166</v>
      </c>
      <c r="E32" s="235">
        <f>'[1]NA Summ'!$J38</f>
        <v>1208</v>
      </c>
      <c r="I32" s="208"/>
    </row>
    <row r="33" spans="1:9">
      <c r="A33" s="208" t="s">
        <v>92</v>
      </c>
      <c r="B33" s="281" t="s">
        <v>281</v>
      </c>
      <c r="C33" s="235">
        <f>'[1]BRN Summ'!$J39</f>
        <v>235202.26</v>
      </c>
      <c r="D33" s="235">
        <f>'[1]CAL Summ'!$J39</f>
        <v>181947.83</v>
      </c>
      <c r="E33" s="235">
        <f>'[1]NA Summ'!$J39</f>
        <v>158582.15</v>
      </c>
      <c r="I33" s="208"/>
    </row>
    <row r="34" spans="1:9">
      <c r="A34" s="208" t="s">
        <v>93</v>
      </c>
      <c r="B34" s="281" t="s">
        <v>281</v>
      </c>
      <c r="C34" s="235">
        <f>'[1]BRN Summ'!$J40</f>
        <v>61646.83</v>
      </c>
      <c r="D34" s="235">
        <f>'[1]CAL Summ'!$J40</f>
        <v>0</v>
      </c>
      <c r="E34" s="235">
        <f>'[1]NA Summ'!$J40</f>
        <v>0</v>
      </c>
      <c r="I34" s="208"/>
    </row>
    <row r="35" spans="1:9">
      <c r="A35" s="208" t="s">
        <v>94</v>
      </c>
      <c r="B35" s="281" t="s">
        <v>116</v>
      </c>
      <c r="C35" s="235">
        <f>'[1]BRN Summ'!$J41</f>
        <v>59529</v>
      </c>
      <c r="D35" s="235">
        <f>'[1]CAL Summ'!$J41</f>
        <v>41293.53</v>
      </c>
      <c r="E35" s="235">
        <f>'[1]NA Summ'!$J41</f>
        <v>48099.39</v>
      </c>
      <c r="I35" s="208"/>
    </row>
    <row r="36" spans="1:9">
      <c r="A36" s="209" t="s">
        <v>95</v>
      </c>
      <c r="B36" s="207"/>
      <c r="C36" s="237">
        <f>SUM(C15:C35)</f>
        <v>1989994.5600000003</v>
      </c>
      <c r="D36" s="237">
        <f>SUM(D15:D35)</f>
        <v>1970630.79</v>
      </c>
      <c r="E36" s="237">
        <f>SUM(E15:E35)</f>
        <v>2102804.7400000002</v>
      </c>
      <c r="I36" s="209"/>
    </row>
    <row r="37" spans="1:9">
      <c r="A37" s="209"/>
      <c r="B37" s="207"/>
      <c r="C37" s="238"/>
      <c r="D37" s="238"/>
      <c r="E37" s="238"/>
      <c r="I37" s="209"/>
    </row>
    <row r="38" spans="1:9">
      <c r="A38" s="207" t="s">
        <v>96</v>
      </c>
      <c r="B38" s="207"/>
      <c r="C38" s="238">
        <f>'[1]BRN Summ'!$J45</f>
        <v>207019</v>
      </c>
      <c r="D38" s="238">
        <f>'[1]CAL Summ'!$J45</f>
        <v>207019</v>
      </c>
      <c r="E38" s="238">
        <f>'[1]NA Summ'!$J45</f>
        <v>207019</v>
      </c>
      <c r="I38" s="207"/>
    </row>
    <row r="39" spans="1:9">
      <c r="A39" s="207"/>
      <c r="B39" s="207"/>
      <c r="C39" s="238"/>
      <c r="D39" s="238"/>
      <c r="E39" s="238"/>
      <c r="I39" s="207"/>
    </row>
    <row r="40" spans="1:9">
      <c r="A40" s="207" t="s">
        <v>97</v>
      </c>
      <c r="B40" s="207"/>
      <c r="C40" s="238">
        <f>'[1]BRN Summ'!$J47</f>
        <v>1000000</v>
      </c>
      <c r="D40" s="238">
        <f>'[1]CAL Summ'!$J47</f>
        <v>1006000</v>
      </c>
      <c r="E40" s="238">
        <f>'[1]NA Summ'!$J47</f>
        <v>1000000</v>
      </c>
      <c r="I40" s="207"/>
    </row>
    <row r="41" spans="1:9">
      <c r="A41" s="207"/>
      <c r="B41" s="207"/>
      <c r="I41" s="207"/>
    </row>
    <row r="42" spans="1:9">
      <c r="A42" s="209" t="s">
        <v>98</v>
      </c>
      <c r="B42" s="207"/>
      <c r="C42" s="239">
        <f>SUM(C36:C40)</f>
        <v>3197013.5600000005</v>
      </c>
      <c r="D42" s="239">
        <f>SUM(D36:D40)</f>
        <v>3183649.79</v>
      </c>
      <c r="E42" s="239">
        <f>SUM(E36:E40)</f>
        <v>3309823.74</v>
      </c>
      <c r="I42" s="312"/>
    </row>
    <row r="43" spans="1:9">
      <c r="A43" s="206"/>
      <c r="B43" s="207"/>
      <c r="I43" s="206"/>
    </row>
    <row r="44" spans="1:9">
      <c r="A44" s="206" t="s">
        <v>99</v>
      </c>
      <c r="B44" s="207"/>
      <c r="I44" s="206"/>
    </row>
    <row r="45" spans="1:9">
      <c r="A45" s="208" t="s">
        <v>17</v>
      </c>
      <c r="B45" s="282" t="s">
        <v>117</v>
      </c>
      <c r="C45" s="235">
        <f>'[1]BRN Summ'!$J52</f>
        <v>284061</v>
      </c>
      <c r="D45" s="235">
        <f>'[1]CAL Summ'!$J52</f>
        <v>261456</v>
      </c>
      <c r="E45" s="235">
        <f>'[1]NA Summ'!$J52</f>
        <v>270554</v>
      </c>
      <c r="I45" s="313"/>
    </row>
    <row r="46" spans="1:9">
      <c r="A46" s="208" t="s">
        <v>100</v>
      </c>
      <c r="B46" s="207"/>
      <c r="C46" s="235">
        <f>'[1]BRN Summ'!$J53</f>
        <v>250000</v>
      </c>
      <c r="D46" s="235">
        <f>'[1]CAL Summ'!$J53</f>
        <v>591200</v>
      </c>
      <c r="E46" s="235">
        <f>'[1]NA Summ'!$J53</f>
        <v>488800</v>
      </c>
      <c r="I46" s="313"/>
    </row>
    <row r="47" spans="1:9">
      <c r="A47" s="208" t="s">
        <v>90</v>
      </c>
      <c r="B47" s="282" t="s">
        <v>117</v>
      </c>
      <c r="C47" s="235">
        <v>0</v>
      </c>
      <c r="D47" s="235">
        <v>0</v>
      </c>
      <c r="E47" s="235">
        <v>0</v>
      </c>
      <c r="I47" s="313"/>
    </row>
    <row r="48" spans="1:9">
      <c r="A48" s="208" t="s">
        <v>101</v>
      </c>
      <c r="B48" s="282" t="s">
        <v>117</v>
      </c>
      <c r="C48" s="235">
        <f>'[1]BRN Summ'!$J54</f>
        <v>68416.666666666672</v>
      </c>
      <c r="D48" s="235">
        <f>'[1]CAL Summ'!$J54</f>
        <v>68416.666666666672</v>
      </c>
      <c r="E48" s="235">
        <f>'[1]NA Summ'!$J54</f>
        <v>68416.666666666672</v>
      </c>
      <c r="I48" s="313"/>
    </row>
    <row r="49" spans="1:9">
      <c r="A49" s="208" t="s">
        <v>102</v>
      </c>
      <c r="B49" s="282" t="s">
        <v>117</v>
      </c>
      <c r="C49" s="235">
        <f>'[1]BRN Summ'!$J55</f>
        <v>20525</v>
      </c>
      <c r="D49" s="235">
        <f>'[1]CAL Summ'!$J55</f>
        <v>20525</v>
      </c>
      <c r="E49" s="235">
        <f>'[1]NA Summ'!$J55</f>
        <v>20525</v>
      </c>
      <c r="I49" s="313"/>
    </row>
    <row r="50" spans="1:9">
      <c r="A50" s="208" t="s">
        <v>103</v>
      </c>
      <c r="B50" s="282" t="s">
        <v>117</v>
      </c>
      <c r="C50" s="235">
        <f>'[1]BRN Summ'!$J56</f>
        <v>58782.5</v>
      </c>
      <c r="D50" s="235">
        <f>'[1]CAL Summ'!$J56</f>
        <v>60533</v>
      </c>
      <c r="E50" s="235">
        <f>'[1]NA Summ'!$J56</f>
        <v>3176.5</v>
      </c>
      <c r="I50" s="313"/>
    </row>
    <row r="51" spans="1:9">
      <c r="A51" s="208" t="s">
        <v>104</v>
      </c>
      <c r="B51" s="282" t="s">
        <v>117</v>
      </c>
      <c r="C51" s="235">
        <f>'[1]BRN Summ'!$J57</f>
        <v>0</v>
      </c>
      <c r="D51" s="235">
        <f>'[1]CAL Summ'!$J57</f>
        <v>0</v>
      </c>
      <c r="E51" s="235">
        <f>'[1]NA Summ'!$J57</f>
        <v>0</v>
      </c>
      <c r="I51" s="313"/>
    </row>
    <row r="52" spans="1:9">
      <c r="A52" s="208"/>
      <c r="B52" s="208"/>
      <c r="E52" s="235">
        <v>0</v>
      </c>
      <c r="I52" s="313"/>
    </row>
    <row r="53" spans="1:9">
      <c r="A53" s="209" t="s">
        <v>105</v>
      </c>
      <c r="B53" s="209"/>
      <c r="C53" s="239">
        <f>SUM(C45:C51)</f>
        <v>681785.16666666663</v>
      </c>
      <c r="D53" s="239">
        <f>SUM(D45:D51)</f>
        <v>1002130.6666666666</v>
      </c>
      <c r="E53" s="239">
        <f>SUM(E45:E51)</f>
        <v>851472.16666666663</v>
      </c>
      <c r="I53" s="312"/>
    </row>
    <row r="54" spans="1:9" ht="13.8" thickBot="1">
      <c r="A54" s="208"/>
      <c r="B54" s="208"/>
      <c r="I54" s="313"/>
    </row>
    <row r="55" spans="1:9" ht="13.8" thickBot="1">
      <c r="A55" s="283" t="s">
        <v>120</v>
      </c>
      <c r="B55" s="284"/>
      <c r="C55" s="285">
        <f>C11+C42+C53</f>
        <v>3878798.726666667</v>
      </c>
      <c r="D55" s="285">
        <f>D11+D42+D53</f>
        <v>4185780.4566666665</v>
      </c>
      <c r="E55" s="285">
        <f>E11+E42+E53</f>
        <v>4161295.9066666667</v>
      </c>
      <c r="I55" s="206"/>
    </row>
    <row r="56" spans="1:9">
      <c r="A56" s="208"/>
      <c r="B56" s="208"/>
      <c r="I56" s="313"/>
    </row>
    <row r="57" spans="1:9">
      <c r="A57" s="316" t="s">
        <v>106</v>
      </c>
      <c r="B57" s="316"/>
      <c r="C57" s="317"/>
      <c r="D57" s="317"/>
      <c r="E57" s="317"/>
      <c r="I57" s="313"/>
    </row>
    <row r="58" spans="1:9">
      <c r="A58" s="318" t="s">
        <v>107</v>
      </c>
      <c r="B58" s="318"/>
      <c r="C58" s="317">
        <f>'[1]BRN Summ'!$J62</f>
        <v>0</v>
      </c>
      <c r="D58" s="317">
        <f>'[1]CAL Summ'!$J62</f>
        <v>0</v>
      </c>
      <c r="E58" s="317">
        <f>'[1]NA Summ'!$J62</f>
        <v>0</v>
      </c>
      <c r="I58" s="313"/>
    </row>
    <row r="59" spans="1:9">
      <c r="A59" s="318" t="s">
        <v>108</v>
      </c>
      <c r="B59" s="318"/>
      <c r="C59" s="317">
        <f>'[1]BRN Summ'!$J63</f>
        <v>5447002.3959462279</v>
      </c>
      <c r="D59" s="317">
        <f>'[1]CAL Summ'!$J63</f>
        <v>6745353.2014422277</v>
      </c>
      <c r="E59" s="317">
        <f>'[1]NA Summ'!$J63</f>
        <v>6706426.8651125086</v>
      </c>
      <c r="I59" s="313"/>
    </row>
    <row r="60" spans="1:9">
      <c r="A60" s="318" t="s">
        <v>109</v>
      </c>
      <c r="B60" s="318"/>
      <c r="C60" s="317">
        <f>'[1]BRN Summ'!$J64</f>
        <v>3805252</v>
      </c>
      <c r="D60" s="317">
        <f>'[1]CAL Summ'!$J64</f>
        <v>4590793</v>
      </c>
      <c r="E60" s="317">
        <f>'[1]NA Summ'!$J64</f>
        <v>4488989</v>
      </c>
      <c r="I60" s="312"/>
    </row>
    <row r="61" spans="1:9">
      <c r="A61" s="318"/>
      <c r="B61" s="318"/>
      <c r="C61" s="317"/>
      <c r="D61" s="317"/>
      <c r="E61" s="317"/>
      <c r="I61"/>
    </row>
    <row r="62" spans="1:9" ht="13.8" thickBot="1">
      <c r="A62" s="319" t="s">
        <v>110</v>
      </c>
      <c r="B62" s="319"/>
      <c r="C62" s="320">
        <f>SUM(C58:C61)</f>
        <v>9252254.395946227</v>
      </c>
      <c r="D62" s="320">
        <f>SUM(D58:D61)</f>
        <v>11336146.201442227</v>
      </c>
      <c r="E62" s="320">
        <f>SUM(E58:E61)</f>
        <v>11195415.86511251</v>
      </c>
      <c r="I62" s="206"/>
    </row>
    <row r="63" spans="1:9">
      <c r="I63" s="206"/>
    </row>
    <row r="64" spans="1:9" ht="13.8" thickBot="1">
      <c r="A64" s="206" t="s">
        <v>111</v>
      </c>
      <c r="B64" s="206"/>
      <c r="C64" s="240">
        <f>C62+C53+C42</f>
        <v>13131053.122612894</v>
      </c>
      <c r="D64" s="240">
        <f>D62+D53+D42</f>
        <v>15521926.658108894</v>
      </c>
      <c r="E64" s="240">
        <f>E62+E53+E42</f>
        <v>15356711.771779176</v>
      </c>
      <c r="I64"/>
    </row>
    <row r="65" spans="1:9" ht="13.8" thickTop="1">
      <c r="A65" s="206"/>
      <c r="B65" s="206"/>
      <c r="C65" s="238"/>
      <c r="I65"/>
    </row>
    <row r="66" spans="1:9">
      <c r="B66" s="222" t="s">
        <v>123</v>
      </c>
      <c r="C66" s="235">
        <f>'[1]BRN Summ'!$J68</f>
        <v>13131053.122612894</v>
      </c>
      <c r="D66" s="235">
        <f>'[1]CAL Summ'!$J68</f>
        <v>15521926.658108894</v>
      </c>
      <c r="E66" s="235">
        <f>'[1]NA Summ'!$J68</f>
        <v>15356711.771779176</v>
      </c>
      <c r="I66"/>
    </row>
    <row r="67" spans="1:9">
      <c r="B67" s="222" t="s">
        <v>183</v>
      </c>
      <c r="C67" s="392">
        <f>C64-C66</f>
        <v>0</v>
      </c>
      <c r="D67" s="392">
        <f>D64-D66</f>
        <v>0</v>
      </c>
      <c r="E67" s="392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5" right="0.5" top="0.75" bottom="0.75" header="0.17" footer="0.21"/>
  <pageSetup scale="61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RowHeight="13.2"/>
  <cols>
    <col min="1" max="1" width="41.109375" style="234" customWidth="1"/>
    <col min="2" max="2" width="17.109375" style="234" customWidth="1"/>
    <col min="3" max="5" width="14.6640625" style="235" customWidth="1"/>
    <col min="6" max="6" width="2.6640625" style="235" customWidth="1"/>
    <col min="7" max="7" width="10.33203125" style="235" bestFit="1" customWidth="1"/>
    <col min="8" max="55" width="8.88671875" style="235" customWidth="1"/>
    <col min="56" max="16384" width="8.88671875" style="234"/>
  </cols>
  <sheetData>
    <row r="1" spans="1:55" s="206" customFormat="1">
      <c r="A1" s="227" t="s">
        <v>122</v>
      </c>
      <c r="B1" s="227"/>
      <c r="C1" s="227"/>
      <c r="D1" s="227"/>
      <c r="E1" s="227"/>
      <c r="F1" s="22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</row>
    <row r="2" spans="1:55" s="206" customFormat="1">
      <c r="A2" s="227" t="s">
        <v>73</v>
      </c>
      <c r="B2" s="227"/>
      <c r="C2" s="227"/>
      <c r="D2" s="227"/>
      <c r="E2" s="227"/>
      <c r="F2" s="227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</row>
    <row r="3" spans="1:55" s="206" customFormat="1">
      <c r="A3" s="229" t="s">
        <v>74</v>
      </c>
      <c r="B3" s="229"/>
      <c r="C3" s="229"/>
      <c r="D3" s="229"/>
      <c r="E3" s="229"/>
      <c r="F3" s="229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</row>
    <row r="4" spans="1:55" s="206" customFormat="1">
      <c r="A4" s="286">
        <v>36616</v>
      </c>
      <c r="B4" s="230"/>
      <c r="C4" s="230"/>
      <c r="D4" s="230"/>
      <c r="E4" s="230"/>
      <c r="F4" s="230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</row>
    <row r="5" spans="1:55" s="206" customFormat="1">
      <c r="A5" s="231"/>
      <c r="B5" s="231"/>
      <c r="C5" s="232"/>
      <c r="D5" s="232"/>
      <c r="E5" s="232"/>
      <c r="F5" s="232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</row>
    <row r="6" spans="1:55" s="206" customFormat="1">
      <c r="A6" s="233"/>
      <c r="B6" s="233"/>
      <c r="C6" s="232"/>
      <c r="D6" s="232"/>
      <c r="E6" s="232"/>
      <c r="F6" s="232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</row>
    <row r="7" spans="1:55" s="206" customFormat="1">
      <c r="A7" s="233"/>
      <c r="B7" s="233"/>
      <c r="C7" s="416" t="s">
        <v>118</v>
      </c>
      <c r="D7" s="416"/>
      <c r="E7" s="416"/>
      <c r="F7" s="241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</row>
    <row r="8" spans="1:55">
      <c r="C8" s="287" t="s">
        <v>34</v>
      </c>
      <c r="D8" s="287" t="s">
        <v>6</v>
      </c>
      <c r="E8" s="287" t="s">
        <v>7</v>
      </c>
      <c r="F8" s="202"/>
    </row>
    <row r="9" spans="1:55" s="203" customFormat="1">
      <c r="C9" s="221" t="str">
        <f>"Source:  "&amp;"00 O&amp;M analysis - 0001.xls"</f>
        <v>Source:  00 O&amp;M analysis - 0001.xls</v>
      </c>
      <c r="D9" s="204"/>
      <c r="E9" s="204"/>
      <c r="F9" s="204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</row>
    <row r="11" spans="1:55" ht="13.8" thickBot="1">
      <c r="A11" s="206" t="s">
        <v>72</v>
      </c>
      <c r="B11" s="206"/>
      <c r="C11" s="236">
        <f>'[2]Gl Summ'!$J11</f>
        <v>845041</v>
      </c>
      <c r="D11" s="236">
        <f>'[2]WH Summ'!$J11</f>
        <v>921914</v>
      </c>
      <c r="E11" s="236">
        <f>'[2]WC Summ'!$J11</f>
        <v>858480</v>
      </c>
    </row>
    <row r="13" spans="1:55">
      <c r="A13" s="206" t="s">
        <v>75</v>
      </c>
      <c r="B13" s="219" t="s">
        <v>115</v>
      </c>
    </row>
    <row r="14" spans="1:55">
      <c r="A14" s="207" t="s">
        <v>76</v>
      </c>
      <c r="B14" s="207"/>
    </row>
    <row r="15" spans="1:55">
      <c r="A15" s="208" t="s">
        <v>124</v>
      </c>
      <c r="B15" s="281" t="s">
        <v>116</v>
      </c>
      <c r="C15" s="235">
        <f>'[2]Gl Summ'!$J21</f>
        <v>19723</v>
      </c>
      <c r="D15" s="235">
        <f>'[2]WH Summ'!$J21</f>
        <v>19745</v>
      </c>
      <c r="E15" s="235">
        <f>'[2]WC Summ'!$J21</f>
        <v>19735</v>
      </c>
    </row>
    <row r="16" spans="1:55">
      <c r="A16" s="208" t="s">
        <v>78</v>
      </c>
      <c r="B16" s="281" t="s">
        <v>281</v>
      </c>
      <c r="C16" s="235">
        <f>'[2]Gl Summ'!$J20</f>
        <v>0</v>
      </c>
      <c r="D16" s="235">
        <f>'[2]WH Summ'!$J20</f>
        <v>0</v>
      </c>
      <c r="E16" s="235">
        <f>'[2]WC Summ'!$J20</f>
        <v>0</v>
      </c>
    </row>
    <row r="17" spans="1:5">
      <c r="A17" s="208" t="s">
        <v>79</v>
      </c>
      <c r="B17" s="281" t="s">
        <v>116</v>
      </c>
      <c r="C17" s="235">
        <f>'[2]Gl Summ'!$J23</f>
        <v>0</v>
      </c>
      <c r="D17" s="235">
        <f>'[2]WH Summ'!$J23</f>
        <v>0</v>
      </c>
      <c r="E17" s="235">
        <f>'[2]WC Summ'!$J23</f>
        <v>0</v>
      </c>
    </row>
    <row r="18" spans="1:5">
      <c r="A18" s="208" t="s">
        <v>80</v>
      </c>
      <c r="B18" s="281" t="s">
        <v>281</v>
      </c>
      <c r="C18" s="235">
        <f>'[2]Gl Summ'!$J24</f>
        <v>79695</v>
      </c>
      <c r="D18" s="235">
        <f>'[2]WH Summ'!$J24</f>
        <v>106260</v>
      </c>
      <c r="E18" s="235">
        <f>'[2]WC Summ'!$J24</f>
        <v>0</v>
      </c>
    </row>
    <row r="19" spans="1:5">
      <c r="A19" s="208" t="s">
        <v>81</v>
      </c>
      <c r="B19" s="281" t="s">
        <v>116</v>
      </c>
      <c r="C19" s="235">
        <f>'[2]Gl Summ'!$J25</f>
        <v>0</v>
      </c>
      <c r="D19" s="235">
        <f>'[2]WH Summ'!$J25</f>
        <v>0</v>
      </c>
      <c r="E19" s="235">
        <f>'[2]WC Summ'!$J25</f>
        <v>0</v>
      </c>
    </row>
    <row r="20" spans="1:5">
      <c r="A20" s="208" t="s">
        <v>82</v>
      </c>
      <c r="B20" s="281" t="s">
        <v>116</v>
      </c>
      <c r="C20" s="235">
        <f>'[2]Gl Summ'!$J26</f>
        <v>0</v>
      </c>
      <c r="D20" s="235">
        <f>'[2]WH Summ'!$J26</f>
        <v>0</v>
      </c>
      <c r="E20" s="235">
        <f>'[2]WC Summ'!$J26</f>
        <v>0</v>
      </c>
    </row>
    <row r="21" spans="1:5">
      <c r="A21" s="208" t="s">
        <v>83</v>
      </c>
      <c r="B21" s="281" t="s">
        <v>116</v>
      </c>
      <c r="C21" s="235">
        <f>'[2]Gl Summ'!$J28</f>
        <v>2246</v>
      </c>
      <c r="D21" s="235">
        <f>'[2]WH Summ'!$J28</f>
        <v>2246</v>
      </c>
      <c r="E21" s="235">
        <f>'[2]WC Summ'!$J28</f>
        <v>2246</v>
      </c>
    </row>
    <row r="22" spans="1:5">
      <c r="A22" s="208" t="s">
        <v>84</v>
      </c>
      <c r="B22" s="281" t="s">
        <v>116</v>
      </c>
      <c r="C22" s="235">
        <f>'[2]Gl Summ'!$J29</f>
        <v>11929</v>
      </c>
      <c r="D22" s="235">
        <f>'[2]WH Summ'!$J29</f>
        <v>11929</v>
      </c>
      <c r="E22" s="235">
        <f>'[2]WC Summ'!$J29</f>
        <v>11929</v>
      </c>
    </row>
    <row r="23" spans="1:5">
      <c r="A23" s="208" t="s">
        <v>85</v>
      </c>
      <c r="B23" s="281" t="s">
        <v>116</v>
      </c>
      <c r="C23" s="235">
        <f>'[2]Gl Summ'!$J31</f>
        <v>4667</v>
      </c>
      <c r="D23" s="235">
        <f>'[2]WH Summ'!$J31</f>
        <v>4667</v>
      </c>
      <c r="E23" s="235">
        <f>'[2]WC Summ'!$J31</f>
        <v>4667</v>
      </c>
    </row>
    <row r="24" spans="1:5">
      <c r="A24" s="208" t="s">
        <v>86</v>
      </c>
      <c r="B24" s="281" t="s">
        <v>116</v>
      </c>
      <c r="C24" s="235">
        <f>'[2]Gl Summ'!$J32</f>
        <v>9654</v>
      </c>
      <c r="D24" s="235">
        <f>'[2]WH Summ'!$J32</f>
        <v>9654</v>
      </c>
      <c r="E24" s="235">
        <f>'[2]WC Summ'!$J32</f>
        <v>9654</v>
      </c>
    </row>
    <row r="25" spans="1:5">
      <c r="A25" s="208" t="s">
        <v>87</v>
      </c>
      <c r="B25" s="281" t="s">
        <v>116</v>
      </c>
      <c r="C25" s="235">
        <f>'[2]Gl Summ'!$J33</f>
        <v>118140</v>
      </c>
      <c r="D25" s="235">
        <f>'[2]WH Summ'!$J33</f>
        <v>118140</v>
      </c>
      <c r="E25" s="235">
        <f>'[2]WC Summ'!$J33</f>
        <v>118140</v>
      </c>
    </row>
    <row r="26" spans="1:5">
      <c r="A26" s="208" t="s">
        <v>88</v>
      </c>
      <c r="B26" s="281" t="s">
        <v>116</v>
      </c>
      <c r="C26" s="235">
        <f>'[2]Gl Summ'!$J34</f>
        <v>444047</v>
      </c>
      <c r="D26" s="235">
        <f>'[2]WH Summ'!$J34</f>
        <v>589750</v>
      </c>
      <c r="E26" s="235">
        <f>'[2]WC Summ'!$J34</f>
        <v>458186</v>
      </c>
    </row>
    <row r="27" spans="1:5">
      <c r="A27" s="208" t="s">
        <v>89</v>
      </c>
      <c r="B27" s="281" t="s">
        <v>116</v>
      </c>
      <c r="C27" s="235">
        <f>'[2]Gl Summ'!$J35</f>
        <v>11000</v>
      </c>
      <c r="D27" s="235">
        <f>'[2]WH Summ'!$J35</f>
        <v>15550</v>
      </c>
      <c r="E27" s="235">
        <f>'[2]WC Summ'!$J35</f>
        <v>11000</v>
      </c>
    </row>
    <row r="28" spans="1:5">
      <c r="A28" s="208" t="s">
        <v>90</v>
      </c>
      <c r="B28" s="281" t="s">
        <v>116</v>
      </c>
      <c r="C28" s="235">
        <f>'[2]Gl Summ'!$J36</f>
        <v>92729</v>
      </c>
      <c r="D28" s="235">
        <f>'[2]WH Summ'!$J36</f>
        <v>101885</v>
      </c>
      <c r="E28" s="235">
        <f>'[2]WC Summ'!$J36</f>
        <v>198779</v>
      </c>
    </row>
    <row r="29" spans="1:5">
      <c r="A29" s="208" t="s">
        <v>91</v>
      </c>
      <c r="B29" s="281" t="s">
        <v>116</v>
      </c>
      <c r="C29" s="235">
        <f>'[2]Gl Summ'!$J38</f>
        <v>438</v>
      </c>
      <c r="D29" s="235">
        <f>'[2]WH Summ'!$J38</f>
        <v>438</v>
      </c>
      <c r="E29" s="235">
        <f>'[2]WC Summ'!$J38</f>
        <v>438</v>
      </c>
    </row>
    <row r="30" spans="1:5">
      <c r="A30" s="208" t="s">
        <v>92</v>
      </c>
      <c r="B30" s="281" t="s">
        <v>281</v>
      </c>
      <c r="C30" s="235">
        <f>'[2]Gl Summ'!$J39</f>
        <v>139125</v>
      </c>
      <c r="D30" s="235">
        <f>'[2]WH Summ'!$J39</f>
        <v>154000</v>
      </c>
      <c r="E30" s="235">
        <f>'[2]WC Summ'!$J39</f>
        <v>308000</v>
      </c>
    </row>
    <row r="31" spans="1:5">
      <c r="A31" s="208" t="s">
        <v>93</v>
      </c>
      <c r="B31" s="281" t="s">
        <v>281</v>
      </c>
      <c r="C31" s="235">
        <f>'[2]Gl Summ'!$J40</f>
        <v>0</v>
      </c>
      <c r="D31" s="235">
        <f>'[2]WH Summ'!$J40</f>
        <v>0</v>
      </c>
      <c r="E31" s="235">
        <f>'[2]WC Summ'!$J40</f>
        <v>0</v>
      </c>
    </row>
    <row r="32" spans="1:5">
      <c r="A32" s="208" t="s">
        <v>94</v>
      </c>
      <c r="B32" s="281" t="s">
        <v>116</v>
      </c>
      <c r="C32" s="235">
        <f>'[2]Gl Summ'!$J41</f>
        <v>10208</v>
      </c>
      <c r="D32" s="235">
        <f>'[2]WH Summ'!$J41</f>
        <v>10207</v>
      </c>
      <c r="E32" s="235">
        <f>'[2]WC Summ'!$J41</f>
        <v>10208</v>
      </c>
    </row>
    <row r="33" spans="1:6">
      <c r="A33" s="209" t="s">
        <v>95</v>
      </c>
      <c r="B33" s="209"/>
      <c r="C33" s="237">
        <f>SUM(C15:C32)</f>
        <v>943601</v>
      </c>
      <c r="D33" s="237">
        <f>SUM(D15:D32)</f>
        <v>1144471</v>
      </c>
      <c r="E33" s="237">
        <f>SUM(E15:E32)</f>
        <v>1152982</v>
      </c>
    </row>
    <row r="34" spans="1:6">
      <c r="A34" s="209"/>
      <c r="B34" s="209"/>
      <c r="C34" s="238"/>
      <c r="D34" s="238"/>
      <c r="E34" s="238"/>
    </row>
    <row r="35" spans="1:6">
      <c r="A35" s="207" t="s">
        <v>96</v>
      </c>
      <c r="B35" s="207"/>
      <c r="C35" s="238">
        <f>'[2]Gl Summ'!$J45</f>
        <v>200000</v>
      </c>
      <c r="D35" s="238">
        <f>'[2]WH Summ'!$J45</f>
        <v>200000</v>
      </c>
      <c r="E35" s="238">
        <f>'[2]WC Summ'!$J45</f>
        <v>200000</v>
      </c>
    </row>
    <row r="36" spans="1:6">
      <c r="A36" s="207"/>
      <c r="B36" s="207"/>
      <c r="C36" s="238"/>
      <c r="D36" s="238"/>
      <c r="E36" s="238"/>
    </row>
    <row r="37" spans="1:6">
      <c r="A37" s="207" t="s">
        <v>97</v>
      </c>
      <c r="B37" s="207"/>
      <c r="C37" s="238">
        <f>'[2]Gl Summ'!$J47</f>
        <v>600000</v>
      </c>
      <c r="D37" s="238">
        <f>'[2]WH Summ'!$J47</f>
        <v>600000</v>
      </c>
      <c r="E37" s="238">
        <f>'[2]WC Summ'!$J47</f>
        <v>600000</v>
      </c>
    </row>
    <row r="38" spans="1:6">
      <c r="A38" s="207"/>
      <c r="B38" s="207"/>
    </row>
    <row r="39" spans="1:6">
      <c r="A39" s="209" t="s">
        <v>98</v>
      </c>
      <c r="B39" s="209"/>
      <c r="C39" s="239">
        <f>SUM(C33:C37)</f>
        <v>1743601</v>
      </c>
      <c r="D39" s="239">
        <f>SUM(D33:D37)</f>
        <v>1944471</v>
      </c>
      <c r="E39" s="239">
        <f>SUM(E33:E37)</f>
        <v>1952982</v>
      </c>
    </row>
    <row r="40" spans="1:6">
      <c r="A40" s="206"/>
      <c r="B40" s="206"/>
    </row>
    <row r="41" spans="1:6">
      <c r="A41" s="206" t="s">
        <v>99</v>
      </c>
      <c r="B41" s="206"/>
    </row>
    <row r="42" spans="1:6">
      <c r="A42" s="208" t="s">
        <v>17</v>
      </c>
      <c r="B42" s="282" t="s">
        <v>117</v>
      </c>
      <c r="C42" s="238">
        <f>'[2]Gl Summ'!$J52</f>
        <v>120686.5</v>
      </c>
      <c r="D42" s="238">
        <f>'[2]WH Summ'!$J52</f>
        <v>111362.83333333331</v>
      </c>
      <c r="E42" s="238">
        <f>'[2]WC Summ'!$J52</f>
        <v>155602.5</v>
      </c>
      <c r="F42" s="238"/>
    </row>
    <row r="43" spans="1:6">
      <c r="A43" s="208" t="s">
        <v>100</v>
      </c>
      <c r="B43" s="220"/>
      <c r="C43" s="238">
        <f>'[2]Gl Summ'!$J53</f>
        <v>92225</v>
      </c>
      <c r="D43" s="238">
        <f>'[2]WH Summ'!$J53</f>
        <v>101637</v>
      </c>
      <c r="E43" s="238">
        <f>'[2]WC Summ'!$J53</f>
        <v>333700</v>
      </c>
      <c r="F43" s="238"/>
    </row>
    <row r="44" spans="1:6">
      <c r="A44" s="208" t="s">
        <v>90</v>
      </c>
      <c r="B44" s="282" t="s">
        <v>117</v>
      </c>
      <c r="C44" s="238">
        <v>0</v>
      </c>
      <c r="D44" s="238">
        <v>0</v>
      </c>
      <c r="E44" s="238">
        <v>0</v>
      </c>
      <c r="F44" s="238"/>
    </row>
    <row r="45" spans="1:6">
      <c r="A45" s="208" t="s">
        <v>101</v>
      </c>
      <c r="B45" s="282" t="s">
        <v>117</v>
      </c>
      <c r="C45" s="238">
        <f>'[2]Gl Summ'!$J54</f>
        <v>49268.333333333336</v>
      </c>
      <c r="D45" s="238">
        <f>'[2]WH Summ'!$J54</f>
        <v>49268.333333333336</v>
      </c>
      <c r="E45" s="238">
        <f>'[2]WC Summ'!$J54</f>
        <v>60083.333333333343</v>
      </c>
      <c r="F45" s="238"/>
    </row>
    <row r="46" spans="1:6">
      <c r="A46" s="208" t="s">
        <v>102</v>
      </c>
      <c r="B46" s="282" t="s">
        <v>117</v>
      </c>
      <c r="C46" s="238">
        <f>'[2]Gl Summ'!$J55</f>
        <v>18025</v>
      </c>
      <c r="D46" s="238">
        <f>'[2]WH Summ'!$J55</f>
        <v>18025</v>
      </c>
      <c r="E46" s="238">
        <f>'[2]WC Summ'!$J55</f>
        <v>18025</v>
      </c>
      <c r="F46" s="238"/>
    </row>
    <row r="47" spans="1:6">
      <c r="A47" s="208" t="s">
        <v>103</v>
      </c>
      <c r="B47" s="282" t="s">
        <v>117</v>
      </c>
      <c r="C47" s="238">
        <f>'[2]Gl Summ'!$J56</f>
        <v>0</v>
      </c>
      <c r="D47" s="238">
        <f>'[2]WH Summ'!$J56</f>
        <v>0</v>
      </c>
      <c r="E47" s="238">
        <f>'[2]WC Summ'!$J56</f>
        <v>0</v>
      </c>
      <c r="F47" s="238"/>
    </row>
    <row r="48" spans="1:6">
      <c r="A48" s="208" t="s">
        <v>104</v>
      </c>
      <c r="B48" s="282" t="s">
        <v>117</v>
      </c>
      <c r="C48" s="238">
        <f>'[2]Gl Summ'!$J57</f>
        <v>0</v>
      </c>
      <c r="D48" s="238">
        <f>'[2]WH Summ'!$J57</f>
        <v>0</v>
      </c>
      <c r="E48" s="238">
        <f>'[2]WC Summ'!$J57</f>
        <v>0</v>
      </c>
      <c r="F48" s="238"/>
    </row>
    <row r="49" spans="1:5">
      <c r="A49" s="208"/>
      <c r="B49" s="208"/>
    </row>
    <row r="50" spans="1:5">
      <c r="A50" s="209" t="s">
        <v>105</v>
      </c>
      <c r="B50" s="209"/>
      <c r="C50" s="239">
        <f>SUM(C42:C48)</f>
        <v>280204.83333333331</v>
      </c>
      <c r="D50" s="239">
        <f>SUM(D42:D48)</f>
        <v>280293.16666666663</v>
      </c>
      <c r="E50" s="239">
        <f>SUM(E42:E48)</f>
        <v>567410.83333333337</v>
      </c>
    </row>
    <row r="51" spans="1:5" ht="13.8" thickBot="1">
      <c r="A51" s="208"/>
      <c r="B51" s="208"/>
    </row>
    <row r="52" spans="1:5" ht="13.8" thickBot="1">
      <c r="A52" s="283" t="s">
        <v>120</v>
      </c>
      <c r="B52" s="284"/>
      <c r="C52" s="285">
        <f>C11+C39+C50</f>
        <v>2868846.8333333335</v>
      </c>
      <c r="D52" s="285">
        <f>D11+D39+D50</f>
        <v>3146678.1666666665</v>
      </c>
      <c r="E52" s="285">
        <f>E11+E39+E50</f>
        <v>3378872.8333333335</v>
      </c>
    </row>
    <row r="53" spans="1:5">
      <c r="A53" s="208"/>
      <c r="B53" s="208"/>
    </row>
    <row r="54" spans="1:5">
      <c r="A54" s="316" t="s">
        <v>106</v>
      </c>
      <c r="B54" s="316"/>
      <c r="C54" s="317"/>
      <c r="D54" s="317"/>
      <c r="E54" s="317"/>
    </row>
    <row r="55" spans="1:5">
      <c r="A55" s="318" t="s">
        <v>107</v>
      </c>
      <c r="B55" s="318"/>
      <c r="C55" s="317">
        <f>'[2]Gl Summ'!$J62</f>
        <v>0</v>
      </c>
      <c r="D55" s="317">
        <f>'[2]WH Summ'!$J62</f>
        <v>0</v>
      </c>
      <c r="E55" s="317">
        <f>'[2]WC Summ'!$J62</f>
        <v>0</v>
      </c>
    </row>
    <row r="56" spans="1:5">
      <c r="A56" s="318" t="s">
        <v>108</v>
      </c>
      <c r="B56" s="318"/>
      <c r="C56" s="317">
        <f>'[2]Gl Summ'!$J63</f>
        <v>5491946</v>
      </c>
      <c r="D56" s="317">
        <f>'[2]WH Summ'!$J63</f>
        <v>6096180</v>
      </c>
      <c r="E56" s="317">
        <f>'[2]WC Summ'!$J63</f>
        <v>9322568</v>
      </c>
    </row>
    <row r="57" spans="1:5">
      <c r="A57" s="318" t="s">
        <v>109</v>
      </c>
      <c r="B57" s="318"/>
      <c r="C57" s="317">
        <f>'[2]Gl Summ'!$J64</f>
        <v>2448114</v>
      </c>
      <c r="D57" s="317">
        <f>'[2]WH Summ'!$J64</f>
        <v>2676594</v>
      </c>
      <c r="E57" s="317">
        <f>'[2]WC Summ'!$J64</f>
        <v>4015032</v>
      </c>
    </row>
    <row r="58" spans="1:5">
      <c r="A58" s="318"/>
      <c r="B58" s="318"/>
      <c r="C58" s="317"/>
      <c r="D58" s="317"/>
      <c r="E58" s="317">
        <v>0</v>
      </c>
    </row>
    <row r="59" spans="1:5" ht="13.8" thickBot="1">
      <c r="A59" s="319" t="s">
        <v>110</v>
      </c>
      <c r="B59" s="319"/>
      <c r="C59" s="320">
        <f>SUM(C55:C58)</f>
        <v>7940060</v>
      </c>
      <c r="D59" s="320">
        <f>SUM(D55:D58)</f>
        <v>8772774</v>
      </c>
      <c r="E59" s="320">
        <f>SUM(E55:E58)</f>
        <v>13337600</v>
      </c>
    </row>
    <row r="61" spans="1:5" ht="13.8" thickBot="1">
      <c r="A61" s="206" t="s">
        <v>111</v>
      </c>
      <c r="B61" s="206"/>
      <c r="C61" s="240">
        <f>C11+C59+C50+C39</f>
        <v>10808906.833333334</v>
      </c>
      <c r="D61" s="240">
        <f>D11+D59+D50+D39</f>
        <v>11919452.166666666</v>
      </c>
      <c r="E61" s="240">
        <f>E11+E59+E50+E39</f>
        <v>16716472.833333334</v>
      </c>
    </row>
    <row r="62" spans="1:5" ht="13.8" thickTop="1">
      <c r="A62" s="206"/>
      <c r="B62" s="206"/>
      <c r="C62" s="238"/>
    </row>
    <row r="63" spans="1:5">
      <c r="B63" s="222" t="s">
        <v>123</v>
      </c>
      <c r="C63" s="235">
        <f>'[2]Gl Summ'!$J68</f>
        <v>10808906.833333334</v>
      </c>
      <c r="D63" s="235">
        <f>'[2]WH Summ'!$J68</f>
        <v>11919452.166666666</v>
      </c>
      <c r="E63" s="235">
        <f>'[2]WC Summ'!$J68</f>
        <v>16716472.833333334</v>
      </c>
    </row>
    <row r="64" spans="1:5">
      <c r="B64" s="222" t="s">
        <v>183</v>
      </c>
      <c r="C64" s="392">
        <f>C61-C63</f>
        <v>0</v>
      </c>
      <c r="D64" s="392">
        <f>D61-D63</f>
        <v>0</v>
      </c>
      <c r="E64" s="392">
        <f>E61-E63</f>
        <v>0</v>
      </c>
    </row>
  </sheetData>
  <mergeCells count="1">
    <mergeCell ref="C7:E7"/>
  </mergeCells>
  <pageMargins left="0.5" right="0.5" top="0.75" bottom="0.75" header="0.17" footer="0.21"/>
  <pageSetup scale="6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1" spans="1:34">
      <c r="F1" s="223"/>
    </row>
    <row r="2" spans="1:34" ht="20.399999999999999">
      <c r="A2" s="183" t="s">
        <v>60</v>
      </c>
      <c r="C2" s="83"/>
      <c r="D2" s="83"/>
      <c r="E2" s="83"/>
      <c r="F2" s="223"/>
    </row>
    <row r="3" spans="1:34">
      <c r="A3" s="1"/>
      <c r="F3" s="223"/>
    </row>
    <row r="4" spans="1:34" ht="14.4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F4" s="314" t="s">
        <v>123</v>
      </c>
    </row>
    <row r="5" spans="1:34" ht="13.8">
      <c r="A5" s="2"/>
      <c r="B5" s="7"/>
      <c r="C5" s="7"/>
      <c r="D5" s="7"/>
      <c r="E5" s="7"/>
      <c r="F5" s="315"/>
    </row>
    <row r="6" spans="1:34" ht="13.8">
      <c r="A6" s="2" t="s">
        <v>71</v>
      </c>
      <c r="B6" s="7"/>
      <c r="C6" s="201">
        <f>'Spark-Spread'!B93</f>
        <v>13.192592388827517</v>
      </c>
      <c r="D6" s="201">
        <f>'Spark-Spread'!C93</f>
        <v>7.5736225796780205</v>
      </c>
      <c r="E6" s="201">
        <f>'Spark-Spread'!D93</f>
        <v>5.6774905401985567</v>
      </c>
      <c r="F6" s="315"/>
    </row>
    <row r="7" spans="1:34" ht="13.8">
      <c r="A7" s="2"/>
      <c r="B7" s="7"/>
      <c r="C7" s="7"/>
      <c r="D7" s="7"/>
      <c r="E7" s="7"/>
      <c r="F7" s="315"/>
    </row>
    <row r="8" spans="1:34" s="10" customFormat="1" ht="13.8">
      <c r="A8" s="2" t="s">
        <v>35</v>
      </c>
      <c r="C8" s="26">
        <f>'Spark-Spread'!B71</f>
        <v>305545.41605536174</v>
      </c>
      <c r="D8" s="26">
        <f>'Spark-Spread'!C71</f>
        <v>203041.00291684704</v>
      </c>
      <c r="E8" s="26">
        <f>'Spark-Spread'!D71</f>
        <v>141980.14129195496</v>
      </c>
      <c r="F8" s="315"/>
    </row>
    <row r="9" spans="1:34" s="10" customFormat="1" ht="13.8">
      <c r="A9" s="2"/>
      <c r="F9" s="315"/>
    </row>
    <row r="10" spans="1:34" s="10" customFormat="1">
      <c r="A10" s="2" t="s">
        <v>36</v>
      </c>
      <c r="C10" s="199">
        <f>'Spark-Spread'!B82</f>
        <v>311203.36000814952</v>
      </c>
      <c r="D10" s="199">
        <f>'Spark-Spread'!C82</f>
        <v>221626.91754911793</v>
      </c>
      <c r="E10" s="199">
        <f>'Spark-Spread'!D82</f>
        <v>166140.40567783036</v>
      </c>
      <c r="F10" s="393"/>
    </row>
    <row r="11" spans="1:34">
      <c r="A11" s="2"/>
      <c r="B11" s="24"/>
      <c r="C11" s="24"/>
      <c r="D11" s="24"/>
      <c r="E11" s="24"/>
      <c r="F11" s="393"/>
    </row>
    <row r="12" spans="1:34">
      <c r="A12" s="1" t="s">
        <v>19</v>
      </c>
      <c r="B12" s="10"/>
      <c r="C12" s="10"/>
      <c r="D12" s="10"/>
      <c r="E12" s="10"/>
      <c r="F12" s="39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9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9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9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9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9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9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9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28330.557090000002</v>
      </c>
      <c r="D20" s="224">
        <f>SUM(D13:D19)</f>
        <v>24477.673956985716</v>
      </c>
      <c r="E20" s="224">
        <f>SUM(E13:E19)</f>
        <v>25144.972415695291</v>
      </c>
      <c r="F20" s="39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39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282872.80291814951</v>
      </c>
      <c r="D22" s="86">
        <f>D10-D20</f>
        <v>197149.24359213223</v>
      </c>
      <c r="E22" s="86">
        <f>E10-E20</f>
        <v>140995.43326213508</v>
      </c>
      <c r="F22" s="39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  <c r="F23" s="393"/>
    </row>
    <row r="24" spans="1:34">
      <c r="A24" s="28"/>
      <c r="B24" s="26"/>
      <c r="C24" s="26"/>
      <c r="D24" s="26"/>
      <c r="E24" s="26"/>
      <c r="F24" s="393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933259.17961511563</v>
      </c>
      <c r="F25" s="393">
        <f>SUM(Brownsville!E25,Caledonia!E25,'New Albany'!E25,Gleason!E25,Wheatland!E25,Wilton!E25)</f>
        <v>933259.17961511575</v>
      </c>
      <c r="G25" s="243"/>
    </row>
    <row r="26" spans="1:34" s="10" customFormat="1">
      <c r="C26" s="26"/>
      <c r="D26" s="26"/>
      <c r="E26" s="26"/>
      <c r="F26" s="393"/>
    </row>
    <row r="27" spans="1:34" s="10" customFormat="1">
      <c r="A27" s="187" t="s">
        <v>49</v>
      </c>
      <c r="C27" s="186"/>
      <c r="D27" s="186"/>
      <c r="E27" s="186"/>
      <c r="F27" s="393"/>
    </row>
    <row r="28" spans="1:34" s="10" customFormat="1">
      <c r="A28" s="10" t="s">
        <v>37</v>
      </c>
      <c r="B28" s="12">
        <v>0</v>
      </c>
      <c r="C28" s="185">
        <f>C22</f>
        <v>282872.80291814951</v>
      </c>
      <c r="D28" s="185">
        <f>D22</f>
        <v>197149.24359213223</v>
      </c>
      <c r="E28" s="185">
        <f>E22</f>
        <v>140995.43326213508</v>
      </c>
      <c r="F28" s="393"/>
    </row>
    <row r="29" spans="1:34">
      <c r="A29" s="10"/>
      <c r="B29" s="10"/>
      <c r="C29" s="186"/>
      <c r="D29" s="186"/>
      <c r="E29" s="186"/>
      <c r="F29" s="393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  <c r="F30" s="393"/>
    </row>
    <row r="31" spans="1:34" ht="13.8" thickBot="1">
      <c r="A31" s="10"/>
      <c r="B31" s="10"/>
      <c r="C31" s="186"/>
      <c r="D31" s="186"/>
      <c r="E31" s="186"/>
      <c r="F31" s="393"/>
    </row>
    <row r="32" spans="1:34" ht="16.2" thickBot="1">
      <c r="A32" s="189" t="s">
        <v>39</v>
      </c>
      <c r="B32" s="190">
        <f>XNPV(B30,B28:E28,B4:E4)</f>
        <v>490968.88111493509</v>
      </c>
      <c r="D32" s="186"/>
      <c r="E32" s="186"/>
      <c r="F32" s="393">
        <f>SUM(Brownsville!B32,Caledonia!B32,'New Albany'!B32,Gleason!B32,Wheatland!B32,Wilton!B32)</f>
        <v>490968.88111493515</v>
      </c>
    </row>
    <row r="33" spans="1:6">
      <c r="A33" s="10"/>
      <c r="B33" s="10"/>
      <c r="C33" s="186"/>
      <c r="D33" s="186"/>
      <c r="E33" s="186"/>
      <c r="F33" s="393"/>
    </row>
    <row r="34" spans="1:6">
      <c r="A34" s="10"/>
      <c r="B34" s="191"/>
      <c r="C34" s="186"/>
      <c r="D34" s="186"/>
      <c r="E34" s="186"/>
      <c r="F34" s="393"/>
    </row>
    <row r="35" spans="1:6">
      <c r="A35" s="187" t="s">
        <v>50</v>
      </c>
      <c r="B35" s="191"/>
      <c r="C35" s="186"/>
      <c r="D35" s="186"/>
      <c r="E35" s="186"/>
      <c r="F35" s="393"/>
    </row>
    <row r="36" spans="1:6">
      <c r="A36" s="10" t="s">
        <v>37</v>
      </c>
      <c r="B36" s="12">
        <v>0</v>
      </c>
      <c r="C36" s="185">
        <f>C28+C25</f>
        <v>282872.80291814951</v>
      </c>
      <c r="D36" s="185">
        <f>D28+D25</f>
        <v>197149.24359213223</v>
      </c>
      <c r="E36" s="185">
        <f>E28+E25</f>
        <v>1074254.6128772506</v>
      </c>
      <c r="F36" s="393"/>
    </row>
    <row r="37" spans="1:6">
      <c r="A37" s="10"/>
      <c r="B37" s="10"/>
      <c r="C37" s="186"/>
      <c r="D37" s="186"/>
      <c r="E37" s="186"/>
      <c r="F37" s="393"/>
    </row>
    <row r="38" spans="1:6">
      <c r="A38" s="10" t="s">
        <v>38</v>
      </c>
      <c r="B38" s="188">
        <f>Summary!$F$25</f>
        <v>0.14553333333333332</v>
      </c>
      <c r="C38" s="5"/>
      <c r="D38" s="5"/>
      <c r="E38" s="5"/>
      <c r="F38" s="393"/>
    </row>
    <row r="39" spans="1:6" ht="13.8" thickBot="1">
      <c r="A39" s="10"/>
      <c r="B39" s="10"/>
      <c r="C39" s="186"/>
      <c r="D39" s="186"/>
      <c r="E39" s="186"/>
      <c r="F39" s="393"/>
    </row>
    <row r="40" spans="1:6" ht="16.2" thickBot="1">
      <c r="A40" s="189" t="s">
        <v>39</v>
      </c>
      <c r="B40" s="190">
        <f>XNPV(B38,B36:E36,B4:E4)</f>
        <v>1111808.0048348345</v>
      </c>
      <c r="D40" s="186"/>
      <c r="E40" s="186"/>
      <c r="F40" s="393">
        <f>SUM(Brownsville!B40,Caledonia!B40,'New Albany'!B40,Gleason!B40,Wheatland!B40,Wilton!B40)</f>
        <v>1111808.0048348347</v>
      </c>
    </row>
    <row r="41" spans="1:6">
      <c r="A41" s="10"/>
      <c r="B41" s="10"/>
      <c r="C41" s="49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4"/>
      <c r="B43" s="5"/>
      <c r="C43" s="26"/>
      <c r="D43" s="26"/>
      <c r="E43" s="26"/>
    </row>
    <row r="44" spans="1:6">
      <c r="A44" s="34"/>
      <c r="B44" s="5"/>
      <c r="C44" s="26"/>
      <c r="D44" s="26"/>
      <c r="E44" s="26"/>
    </row>
    <row r="45" spans="1:6">
      <c r="A45" s="34"/>
      <c r="B45" s="5"/>
      <c r="C45" s="26"/>
      <c r="D45" s="26"/>
      <c r="E45" s="26"/>
    </row>
    <row r="46" spans="1:6">
      <c r="A46" s="34"/>
      <c r="B46" s="5"/>
      <c r="C46" s="26"/>
      <c r="D46" s="26"/>
      <c r="E46" s="26"/>
    </row>
    <row r="47" spans="1:6">
      <c r="A47" s="34"/>
      <c r="B47" s="5"/>
      <c r="C47" s="26"/>
      <c r="D47" s="26"/>
      <c r="E47" s="26"/>
    </row>
    <row r="48" spans="1:6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>
      <selection activeCell="C10" sqref="C10"/>
    </sheetView>
  </sheetViews>
  <sheetFormatPr defaultColWidth="9.109375" defaultRowHeight="13.2"/>
  <cols>
    <col min="1" max="1" width="58.44140625" style="4" bestFit="1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30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'Spark-Spread'!B86</f>
        <v>10.740153461397195</v>
      </c>
      <c r="D6" s="201">
        <f>'Spark-Spread'!C86</f>
        <v>7.6779916077314345</v>
      </c>
      <c r="E6" s="201">
        <f>'Spark-Spread'!D86</f>
        <v>5.7264785114401988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48889.990666776946</v>
      </c>
      <c r="D8" s="26">
        <f>'Spark-Spread'!C64</f>
        <v>32601.145927981714</v>
      </c>
      <c r="E8" s="26">
        <f>'Spark-Spread'!D64</f>
        <v>22681.007901243862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'Spark-Spread'!B75</f>
        <v>49780.611293576003</v>
      </c>
      <c r="D10" s="199">
        <f>'Spark-Spread'!C75</f>
        <v>35587.4911018352</v>
      </c>
      <c r="E10" s="199">
        <f>'Spark-Spread'!D75</f>
        <v>26542.227900525322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3878.7987266666669</v>
      </c>
      <c r="D20" s="224">
        <f>SUM(D13:D19)</f>
        <v>3987.6626884666671</v>
      </c>
      <c r="E20" s="224">
        <f>SUM(E13:E19)</f>
        <v>4099.7925691206674</v>
      </c>
      <c r="F20" s="10"/>
      <c r="G20" s="395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45901.812566909335</v>
      </c>
      <c r="D22" s="86">
        <f>D10-D20</f>
        <v>31599.828413368534</v>
      </c>
      <c r="E22" s="86">
        <f>E10-E20</f>
        <v>22442.435331404653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149710.96066861329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45901.812566909335</v>
      </c>
      <c r="D28" s="185">
        <f>D22</f>
        <v>31599.828413368534</v>
      </c>
      <c r="E28" s="185">
        <f>E22</f>
        <v>22442.435331404653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79080.515880272302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45901.812566909335</v>
      </c>
      <c r="D36" s="185">
        <f>D28+D25</f>
        <v>31599.828413368534</v>
      </c>
      <c r="E36" s="185">
        <f>E28+E25</f>
        <v>172153.39600001794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178673.88036354279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31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'Spark-Spread'!B87</f>
        <v>11.122998273908639</v>
      </c>
      <c r="D6" s="201">
        <f>'Spark-Spread'!C87</f>
        <v>7.3025556827963714</v>
      </c>
      <c r="E6" s="201">
        <f>'Spark-Spread'!D87</f>
        <v>5.4416993986312887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51034.719695699008</v>
      </c>
      <c r="D8" s="26">
        <f>'Spark-Spread'!C65</f>
        <v>31228.63868774848</v>
      </c>
      <c r="E8" s="26">
        <f>'Spark-Spread'!D65</f>
        <v>21707.281978251292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'Spark-Spread'!B76</f>
        <v>51924.936692174</v>
      </c>
      <c r="D10" s="199">
        <f>'Spark-Spread'!C76</f>
        <v>34090.155566214162</v>
      </c>
      <c r="E10" s="199">
        <f>'Spark-Spread'!D76</f>
        <v>25403.213217660512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4185.7804566666673</v>
      </c>
      <c r="D20" s="224">
        <f>SUM(D13:D19)</f>
        <v>4293.6178703666674</v>
      </c>
      <c r="E20" s="224">
        <f>SUM(E13:E19)</f>
        <v>4404.6904064776672</v>
      </c>
      <c r="F20" s="10"/>
      <c r="G20" s="395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47739.156235507333</v>
      </c>
      <c r="D22" s="86">
        <f>D10-D20</f>
        <v>29796.537695847495</v>
      </c>
      <c r="E22" s="86">
        <f>E10-E20</f>
        <v>20998.522811182844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151536.70409140125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47739.156235507333</v>
      </c>
      <c r="D28" s="185">
        <f>D22</f>
        <v>29796.537695847495</v>
      </c>
      <c r="E28" s="185">
        <f>E22</f>
        <v>20998.522811182844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78349.689724854077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47739.156235507333</v>
      </c>
      <c r="D36" s="185">
        <f>D28+D25</f>
        <v>29796.537695847495</v>
      </c>
      <c r="E36" s="185">
        <f>E28+E25</f>
        <v>172535.22690258408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179157.60743353033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32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'Spark-Spread'!B88</f>
        <v>10.05758321274252</v>
      </c>
      <c r="D6" s="201">
        <f>'Spark-Spread'!C88</f>
        <v>6.9686619690633487</v>
      </c>
      <c r="E6" s="201">
        <f>'Spark-Spread'!D88</f>
        <v>5.1993915171838347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38054.482122134919</v>
      </c>
      <c r="D8" s="26">
        <f>'Spark-Spread'!C66</f>
        <v>24603.688209436023</v>
      </c>
      <c r="E8" s="26">
        <f>'Spark-Spread'!D66</f>
        <v>17123.968166351766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'Spark-Spread'!B77</f>
        <v>38761.925701909669</v>
      </c>
      <c r="D10" s="199">
        <f>'Spark-Spread'!C77</f>
        <v>26857.223228770144</v>
      </c>
      <c r="E10" s="199">
        <f>'Spark-Spread'!D77</f>
        <v>20038.4549072265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4161.2959066666663</v>
      </c>
      <c r="D20" s="224">
        <f>SUM(D13:D19)</f>
        <v>4271.4707838666673</v>
      </c>
      <c r="E20" s="224">
        <f>SUM(E13:E19)</f>
        <v>4384.9509073826666</v>
      </c>
      <c r="F20" s="10"/>
      <c r="G20" s="395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34600.629795243003</v>
      </c>
      <c r="D22" s="86">
        <f>D10-D20</f>
        <v>22585.752444903475</v>
      </c>
      <c r="E22" s="86">
        <f>E10-E20</f>
        <v>15653.503999843833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118977.61305168251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34600.629795243003</v>
      </c>
      <c r="D28" s="185">
        <f>D22</f>
        <v>22585.752444903475</v>
      </c>
      <c r="E28" s="185">
        <f>E22</f>
        <v>15653.503999843833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57829.636406521429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34600.629795243003</v>
      </c>
      <c r="D36" s="185">
        <f>D28+D25</f>
        <v>22585.752444903475</v>
      </c>
      <c r="E36" s="185">
        <f>E28+E25</f>
        <v>134631.11705152635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136978.02159546202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33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'Spark-Spread'!B90</f>
        <v>18.230121170124022</v>
      </c>
      <c r="D6" s="201">
        <f>'Spark-Spread'!C90</f>
        <v>8.1445784606413003</v>
      </c>
      <c r="E6" s="201">
        <f>'Spark-Spread'!D90</f>
        <v>6.1042460134484413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53034.23256627925</v>
      </c>
      <c r="D8" s="26">
        <f>'Spark-Spread'!C68</f>
        <v>38102.07111637271</v>
      </c>
      <c r="E8" s="26">
        <f>'Spark-Spread'!D68</f>
        <v>26637.547594156989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'Spark-Spread'!B79</f>
        <v>54052.309269417725</v>
      </c>
      <c r="D10" s="199">
        <f>'Spark-Spread'!C79</f>
        <v>41588.253764649642</v>
      </c>
      <c r="E10" s="199">
        <f>'Spark-Spread'!D79</f>
        <v>31169.806206171103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4918.0231428571424</v>
      </c>
      <c r="D20" s="224">
        <f>SUM(D13:D19)</f>
        <v>3568.719871428571</v>
      </c>
      <c r="E20" s="224">
        <f>SUM(E13:E19)</f>
        <v>3671.0384675714281</v>
      </c>
      <c r="F20" s="10"/>
      <c r="G20" s="395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49134.286126560582</v>
      </c>
      <c r="D22" s="86">
        <f>D10-D20</f>
        <v>38019.533893221073</v>
      </c>
      <c r="E22" s="86">
        <f>E10-E20</f>
        <v>27498.767738599676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162186.87405766439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49134.286126560582</v>
      </c>
      <c r="D28" s="185">
        <f>D22</f>
        <v>38019.533893221073</v>
      </c>
      <c r="E28" s="185">
        <f>E22</f>
        <v>27498.767738599676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90158.133715199336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49134.286126560582</v>
      </c>
      <c r="D36" s="185">
        <f>D28+D25</f>
        <v>38019.533893221073</v>
      </c>
      <c r="E36" s="185">
        <f>E28+E25</f>
        <v>189685.64179626407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198050.9452387424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21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'Spark-Spread'!B91</f>
        <v>16.443980831419545</v>
      </c>
      <c r="D6" s="201">
        <f>'Spark-Spread'!C91</f>
        <v>7.7013975195013371</v>
      </c>
      <c r="E6" s="201">
        <f>'Spark-Spread'!D91</f>
        <v>5.8055293902611025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52494.243786208906</v>
      </c>
      <c r="D8" s="26">
        <f>'Spark-Spread'!C69</f>
        <v>33742.083855983466</v>
      </c>
      <c r="E8" s="26">
        <f>'Spark-Spread'!D69</f>
        <v>23726.120465788255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'Spark-Spread'!B80</f>
        <v>53475.825663776362</v>
      </c>
      <c r="D10" s="199">
        <f>'Spark-Spread'!C80</f>
        <v>36828.082938255393</v>
      </c>
      <c r="E10" s="199">
        <f>'Spark-Spread'!D80</f>
        <v>27762.041544228592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5394.3054285714288</v>
      </c>
      <c r="D20" s="224">
        <f>SUM(D13:D19)</f>
        <v>3923.0708257142855</v>
      </c>
      <c r="E20" s="224">
        <f>SUM(E13:E19)</f>
        <v>4035.5359047714287</v>
      </c>
      <c r="F20" s="10"/>
      <c r="G20" s="395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48081.520235204931</v>
      </c>
      <c r="D22" s="86">
        <f>D10-D20</f>
        <v>32905.01211254111</v>
      </c>
      <c r="E22" s="86">
        <f>E10-E20</f>
        <v>23726.505639457162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153058.15694372455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48081.520235204931</v>
      </c>
      <c r="D28" s="185">
        <f>D22</f>
        <v>32905.01211254111</v>
      </c>
      <c r="E28" s="185">
        <f>E22</f>
        <v>23726.505639457162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82832.133970170107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48081.520235204931</v>
      </c>
      <c r="D36" s="185">
        <f>D28+D25</f>
        <v>32905.01211254111</v>
      </c>
      <c r="E36" s="185">
        <f>E28+E25</f>
        <v>176784.66258318172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184652.17936668446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61.10937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152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'Spark-Spread'!B92</f>
        <v>14.995907802442648</v>
      </c>
      <c r="D6" s="201">
        <f>'Spark-Spread'!C92</f>
        <v>7.5071509367741669</v>
      </c>
      <c r="E6" s="201">
        <f>'Spark-Spread'!D92</f>
        <v>5.6654060156040726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62037.747218262724</v>
      </c>
      <c r="D8" s="26">
        <f>'Spark-Spread'!C70</f>
        <v>42763.375119324635</v>
      </c>
      <c r="E8" s="26">
        <f>'Spark-Spread'!D70</f>
        <v>30104.215186162797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'Spark-Spread'!B81</f>
        <v>63207.751387295764</v>
      </c>
      <c r="D10" s="199">
        <f>'Spark-Spread'!C81</f>
        <v>46675.710949393382</v>
      </c>
      <c r="E10" s="199">
        <f>'Spark-Spread'!D81</f>
        <v>35224.661902018321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5792.3534285714286</v>
      </c>
      <c r="D20" s="224">
        <f>SUM(D13:D19)</f>
        <v>4433.1319171428577</v>
      </c>
      <c r="E20" s="224">
        <f>SUM(E13:E19)</f>
        <v>4548.964160371429</v>
      </c>
      <c r="F20" s="10"/>
      <c r="G20" s="395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57415.397958724338</v>
      </c>
      <c r="D22" s="86">
        <f>D10-D20</f>
        <v>42242.579032250527</v>
      </c>
      <c r="E22" s="86">
        <f>E10-E20</f>
        <v>30675.697741646891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197788.87080202973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57415.397958724338</v>
      </c>
      <c r="D28" s="185">
        <f>D22</f>
        <v>42242.579032250527</v>
      </c>
      <c r="E28" s="185">
        <f>E22</f>
        <v>30675.697741646891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102718.77141791787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57415.397958724338</v>
      </c>
      <c r="D36" s="185">
        <f>D28+D25</f>
        <v>42242.579032250527</v>
      </c>
      <c r="E36" s="185">
        <f>E28+E25</f>
        <v>228464.56854367664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234295.37083687278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zoomScale="75" zoomScaleNormal="75" workbookViewId="0"/>
  </sheetViews>
  <sheetFormatPr defaultColWidth="9.109375" defaultRowHeight="13.2"/>
  <cols>
    <col min="1" max="1" width="60.44140625" style="10" customWidth="1"/>
    <col min="2" max="2" width="19" style="10" bestFit="1" customWidth="1"/>
    <col min="3" max="3" width="15.88671875" style="10" customWidth="1"/>
    <col min="4" max="7" width="15.88671875" style="244" customWidth="1"/>
    <col min="8" max="9" width="15.88671875" style="10" customWidth="1"/>
    <col min="10" max="16384" width="9.109375" style="10"/>
  </cols>
  <sheetData>
    <row r="1" spans="1:9">
      <c r="D1" s="10"/>
      <c r="E1" s="10"/>
      <c r="F1" s="10"/>
      <c r="G1" s="10"/>
    </row>
    <row r="2" spans="1:9" ht="20.399999999999999">
      <c r="A2" s="183" t="s">
        <v>162</v>
      </c>
      <c r="B2" s="252"/>
    </row>
    <row r="3" spans="1:9">
      <c r="D3" s="269" t="s">
        <v>164</v>
      </c>
    </row>
    <row r="4" spans="1:9" s="245" customFormat="1" ht="14.4" thickBot="1">
      <c r="A4" s="134" t="s">
        <v>18</v>
      </c>
      <c r="B4" s="134" t="s">
        <v>156</v>
      </c>
      <c r="C4" s="157">
        <v>36525</v>
      </c>
      <c r="D4" s="272">
        <f>Summary!C4</f>
        <v>36696</v>
      </c>
      <c r="E4" s="157">
        <v>36891</v>
      </c>
      <c r="F4" s="157">
        <v>37256</v>
      </c>
      <c r="G4" s="157">
        <v>37621</v>
      </c>
      <c r="H4" s="417" t="s">
        <v>123</v>
      </c>
      <c r="I4" s="417"/>
    </row>
    <row r="5" spans="1:9">
      <c r="D5" s="259"/>
    </row>
    <row r="6" spans="1:9" s="247" customFormat="1">
      <c r="A6" s="246" t="s">
        <v>161</v>
      </c>
      <c r="B6" s="246"/>
      <c r="C6"/>
      <c r="D6" s="260"/>
      <c r="E6" s="244"/>
      <c r="F6" s="244"/>
      <c r="G6" s="244"/>
    </row>
    <row r="7" spans="1:9" s="247" customFormat="1">
      <c r="D7" s="261"/>
      <c r="E7" s="244"/>
      <c r="F7" s="244"/>
      <c r="G7" s="244"/>
    </row>
    <row r="8" spans="1:9">
      <c r="D8" s="262"/>
      <c r="E8" s="10"/>
      <c r="F8" s="10"/>
      <c r="G8" s="10"/>
    </row>
    <row r="9" spans="1:9">
      <c r="A9" s="187" t="s">
        <v>3</v>
      </c>
      <c r="B9" s="187"/>
      <c r="D9" s="262"/>
      <c r="E9" s="10"/>
      <c r="F9" s="10"/>
      <c r="G9" s="10"/>
    </row>
    <row r="10" spans="1:9">
      <c r="A10" s="248" t="s">
        <v>154</v>
      </c>
      <c r="B10" s="248"/>
      <c r="C10" s="258">
        <f>($C$4-Assumptions!$B$8)/365.25*12</f>
        <v>6.537987679671458</v>
      </c>
      <c r="D10" s="263">
        <f>($D$4-$C$4)/365.25*12</f>
        <v>5.6180698151950716</v>
      </c>
      <c r="E10" s="258">
        <f>12-D10</f>
        <v>6.3819301848049284</v>
      </c>
      <c r="F10" s="258">
        <v>12</v>
      </c>
      <c r="G10" s="258">
        <v>12</v>
      </c>
      <c r="H10" s="258"/>
      <c r="I10" s="92"/>
    </row>
    <row r="11" spans="1:9">
      <c r="A11" s="10" t="s">
        <v>155</v>
      </c>
      <c r="C11" s="251">
        <f>90%/30*C10/12</f>
        <v>1.6344969199178647E-2</v>
      </c>
      <c r="D11" s="264">
        <f>90%/30*D10/12</f>
        <v>1.4045174537987681E-2</v>
      </c>
      <c r="E11" s="251">
        <f>90%/30-D11</f>
        <v>1.5954825462012323E-2</v>
      </c>
      <c r="F11" s="251">
        <f>90%/30</f>
        <v>3.0000000000000002E-2</v>
      </c>
      <c r="G11" s="251">
        <f>90%/30</f>
        <v>3.0000000000000002E-2</v>
      </c>
      <c r="H11" s="398">
        <f>SUM(C11:G11)</f>
        <v>0.10634496919917866</v>
      </c>
      <c r="I11" s="398">
        <f>0.9/30*(($G$4-Assumptions!$B$8)/365.25)</f>
        <v>0.10636550308008215</v>
      </c>
    </row>
    <row r="12" spans="1:9">
      <c r="D12" s="262"/>
      <c r="E12" s="10"/>
      <c r="F12" s="10"/>
      <c r="G12" s="10"/>
      <c r="H12" s="399"/>
      <c r="I12" s="399"/>
    </row>
    <row r="13" spans="1:9">
      <c r="A13" s="10" t="s">
        <v>157</v>
      </c>
      <c r="B13" s="254">
        <v>128000.72200000001</v>
      </c>
      <c r="C13" s="12">
        <f>B13</f>
        <v>128000.72200000001</v>
      </c>
      <c r="D13" s="265">
        <f>C15</f>
        <v>125908.55414143737</v>
      </c>
      <c r="E13" s="12">
        <f>D15</f>
        <v>124110.76165995894</v>
      </c>
      <c r="F13" s="12">
        <f>E15</f>
        <v>122068.53248143737</v>
      </c>
      <c r="G13" s="12">
        <f>F15</f>
        <v>118228.51082143738</v>
      </c>
      <c r="H13" s="399"/>
      <c r="I13" s="399"/>
    </row>
    <row r="14" spans="1:9">
      <c r="A14" s="10" t="s">
        <v>158</v>
      </c>
      <c r="B14" s="255">
        <v>0</v>
      </c>
      <c r="C14" s="255">
        <f>$B$13*C11</f>
        <v>2092.1678585626287</v>
      </c>
      <c r="D14" s="266">
        <f>$B$13*D11</f>
        <v>1797.7924814784396</v>
      </c>
      <c r="E14" s="255">
        <f>$B$13*E11</f>
        <v>2042.2291785215612</v>
      </c>
      <c r="F14" s="255">
        <f>$B$13*F11</f>
        <v>3840.0216600000008</v>
      </c>
      <c r="G14" s="255">
        <f>$B$13*G11</f>
        <v>3840.0216600000008</v>
      </c>
      <c r="H14" s="399"/>
      <c r="I14" s="399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65">
        <f>D13-D14</f>
        <v>124110.76165995894</v>
      </c>
      <c r="E15" s="12">
        <f>E13-E14</f>
        <v>122068.53248143737</v>
      </c>
      <c r="F15" s="12">
        <f>F13-F14</f>
        <v>118228.51082143738</v>
      </c>
      <c r="G15" s="12">
        <f>G13-G14</f>
        <v>114388.48916143738</v>
      </c>
      <c r="H15" s="399"/>
      <c r="I15" s="399"/>
    </row>
    <row r="16" spans="1:9">
      <c r="D16" s="262"/>
      <c r="E16" s="10"/>
      <c r="F16" s="10"/>
      <c r="G16" s="10"/>
      <c r="H16" s="399"/>
      <c r="I16" s="399"/>
    </row>
    <row r="17" spans="1:9">
      <c r="B17" s="256"/>
      <c r="D17" s="262"/>
      <c r="E17" s="10"/>
      <c r="F17" s="10"/>
      <c r="G17" s="10"/>
      <c r="H17" s="399"/>
      <c r="I17" s="399"/>
    </row>
    <row r="18" spans="1:9">
      <c r="A18" s="187" t="s">
        <v>4</v>
      </c>
      <c r="B18" s="187"/>
      <c r="D18" s="262"/>
      <c r="E18" s="10"/>
      <c r="F18" s="10"/>
      <c r="G18" s="10"/>
      <c r="H18" s="399"/>
      <c r="I18" s="399"/>
    </row>
    <row r="19" spans="1:9">
      <c r="A19" s="248" t="s">
        <v>154</v>
      </c>
      <c r="B19" s="248"/>
      <c r="C19" s="258">
        <f>($C$4-Assumptions!$C$8)/365.25*12</f>
        <v>6.537987679671458</v>
      </c>
      <c r="D19" s="263">
        <f>($D$4-$C$4)/365.25*12</f>
        <v>5.6180698151950716</v>
      </c>
      <c r="E19" s="258">
        <f>12-D19</f>
        <v>6.3819301848049284</v>
      </c>
      <c r="F19" s="258">
        <v>12</v>
      </c>
      <c r="G19" s="258">
        <v>12</v>
      </c>
      <c r="H19" s="400"/>
      <c r="I19" s="399"/>
    </row>
    <row r="20" spans="1:9">
      <c r="A20" s="10" t="s">
        <v>155</v>
      </c>
      <c r="C20" s="251">
        <f>90%/30*C19/12</f>
        <v>1.6344969199178647E-2</v>
      </c>
      <c r="D20" s="264">
        <f>90%/30*D19/12</f>
        <v>1.4045174537987681E-2</v>
      </c>
      <c r="E20" s="251">
        <f>90%/30-D20</f>
        <v>1.5954825462012323E-2</v>
      </c>
      <c r="F20" s="251">
        <f>90%/30</f>
        <v>3.0000000000000002E-2</v>
      </c>
      <c r="G20" s="251">
        <f>90%/30</f>
        <v>3.0000000000000002E-2</v>
      </c>
      <c r="H20" s="398">
        <f>SUM(C20:G20)</f>
        <v>0.10634496919917866</v>
      </c>
      <c r="I20" s="398">
        <f>0.9/30*(($G$4-Assumptions!$C$8)/365.25)</f>
        <v>0.10636550308008215</v>
      </c>
    </row>
    <row r="21" spans="1:9">
      <c r="D21" s="262"/>
      <c r="E21" s="10"/>
      <c r="F21" s="10"/>
      <c r="G21" s="10"/>
      <c r="H21" s="399"/>
      <c r="I21" s="399"/>
    </row>
    <row r="22" spans="1:9">
      <c r="A22" s="10" t="s">
        <v>157</v>
      </c>
      <c r="B22" s="254">
        <v>154763.97100000002</v>
      </c>
      <c r="C22" s="12">
        <f>B22</f>
        <v>154763.97100000002</v>
      </c>
      <c r="D22" s="265">
        <f>C24</f>
        <v>152234.35866086243</v>
      </c>
      <c r="E22" s="12">
        <f>D24</f>
        <v>150060.67167597538</v>
      </c>
      <c r="F22" s="12">
        <f>E24</f>
        <v>147591.43953086244</v>
      </c>
      <c r="G22" s="12">
        <f>F24</f>
        <v>142948.52040086244</v>
      </c>
      <c r="H22" s="399"/>
      <c r="I22" s="399"/>
    </row>
    <row r="23" spans="1:9">
      <c r="A23" s="10" t="s">
        <v>158</v>
      </c>
      <c r="B23" s="255">
        <v>0</v>
      </c>
      <c r="C23" s="255">
        <f>$B$22*C20</f>
        <v>2529.6123391375777</v>
      </c>
      <c r="D23" s="266">
        <f>$B$22*D20</f>
        <v>2173.6869848870642</v>
      </c>
      <c r="E23" s="255">
        <f>$B$22*E20</f>
        <v>2469.2321451129369</v>
      </c>
      <c r="F23" s="255">
        <f>$B$22*F20</f>
        <v>4642.9191300000011</v>
      </c>
      <c r="G23" s="255">
        <f>$B$22*G20</f>
        <v>4642.9191300000011</v>
      </c>
      <c r="H23" s="399"/>
      <c r="I23" s="399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65">
        <f>D22-D23</f>
        <v>150060.67167597538</v>
      </c>
      <c r="E24" s="12">
        <f>E22-E23</f>
        <v>147591.43953086244</v>
      </c>
      <c r="F24" s="12">
        <f>F22-F23</f>
        <v>142948.52040086244</v>
      </c>
      <c r="G24" s="12">
        <f>G22-G23</f>
        <v>138305.60127086245</v>
      </c>
      <c r="H24" s="399"/>
      <c r="I24" s="399"/>
    </row>
    <row r="25" spans="1:9">
      <c r="D25" s="262"/>
      <c r="E25" s="10"/>
      <c r="F25" s="10"/>
      <c r="G25" s="10"/>
      <c r="H25" s="399"/>
      <c r="I25" s="399"/>
    </row>
    <row r="26" spans="1:9">
      <c r="B26" s="256"/>
      <c r="D26" s="262"/>
      <c r="E26" s="10"/>
      <c r="F26" s="10"/>
      <c r="G26" s="10"/>
      <c r="H26" s="399"/>
      <c r="I26" s="399"/>
    </row>
    <row r="27" spans="1:9">
      <c r="A27" s="187" t="s">
        <v>5</v>
      </c>
      <c r="B27" s="187"/>
      <c r="D27" s="262"/>
      <c r="E27" s="10"/>
      <c r="F27" s="10"/>
      <c r="G27" s="10"/>
      <c r="H27" s="399"/>
      <c r="I27" s="399"/>
    </row>
    <row r="28" spans="1:9">
      <c r="A28" s="248" t="s">
        <v>154</v>
      </c>
      <c r="B28" s="248"/>
      <c r="C28" s="258">
        <f>($C$4-Assumptions!$D$8)/365.25*12</f>
        <v>6.0123203285420939</v>
      </c>
      <c r="D28" s="263">
        <f>($D$4-$C$4)/365.25*12</f>
        <v>5.6180698151950716</v>
      </c>
      <c r="E28" s="258">
        <f>12-D28</f>
        <v>6.3819301848049284</v>
      </c>
      <c r="F28" s="258">
        <v>12</v>
      </c>
      <c r="G28" s="258">
        <v>12</v>
      </c>
      <c r="H28" s="399"/>
      <c r="I28" s="399"/>
    </row>
    <row r="29" spans="1:9">
      <c r="A29" s="10" t="s">
        <v>155</v>
      </c>
      <c r="C29" s="251">
        <f>90%/30*C28/12</f>
        <v>1.5030800821355236E-2</v>
      </c>
      <c r="D29" s="264">
        <f>90%/30*D28/12</f>
        <v>1.4045174537987681E-2</v>
      </c>
      <c r="E29" s="251">
        <f>90%/30-D29</f>
        <v>1.5954825462012323E-2</v>
      </c>
      <c r="F29" s="251">
        <f>90%/30</f>
        <v>3.0000000000000002E-2</v>
      </c>
      <c r="G29" s="251">
        <f>90%/30</f>
        <v>3.0000000000000002E-2</v>
      </c>
      <c r="H29" s="398">
        <f>SUM(C29:G29)</f>
        <v>0.10503080082135524</v>
      </c>
      <c r="I29" s="398">
        <f>0.9/30*(($G$4-Assumptions!$D$8)/365.25)</f>
        <v>0.10505133470225873</v>
      </c>
    </row>
    <row r="30" spans="1:9">
      <c r="D30" s="262"/>
      <c r="E30" s="10"/>
      <c r="F30" s="10"/>
      <c r="G30" s="10"/>
      <c r="H30" s="399"/>
      <c r="I30" s="399"/>
    </row>
    <row r="31" spans="1:9">
      <c r="A31" s="10" t="s">
        <v>157</v>
      </c>
      <c r="B31" s="254">
        <v>148835.46800000002</v>
      </c>
      <c r="C31" s="12">
        <f>B31</f>
        <v>148835.46800000002</v>
      </c>
      <c r="D31" s="265">
        <f>C33</f>
        <v>146598.35172533884</v>
      </c>
      <c r="E31" s="12">
        <f>D33</f>
        <v>144507.93159983575</v>
      </c>
      <c r="F31" s="12">
        <f>E33</f>
        <v>142133.28768533882</v>
      </c>
      <c r="G31" s="12">
        <f>F33</f>
        <v>137668.22364533882</v>
      </c>
      <c r="H31" s="399"/>
      <c r="I31" s="399"/>
    </row>
    <row r="32" spans="1:9">
      <c r="A32" s="10" t="s">
        <v>158</v>
      </c>
      <c r="B32" s="255">
        <v>0</v>
      </c>
      <c r="C32" s="255">
        <f>$B$31*C29</f>
        <v>2237.1162746611913</v>
      </c>
      <c r="D32" s="266">
        <f>$B$31*D29</f>
        <v>2090.4201255030807</v>
      </c>
      <c r="E32" s="255">
        <f>$B$31*E29</f>
        <v>2374.6439144969208</v>
      </c>
      <c r="F32" s="255">
        <f>$B$31*F29</f>
        <v>4465.0640400000011</v>
      </c>
      <c r="G32" s="255">
        <f>$B$31*G29</f>
        <v>4465.0640400000011</v>
      </c>
      <c r="H32" s="399"/>
      <c r="I32" s="399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65">
        <f>D31-D32</f>
        <v>144507.93159983575</v>
      </c>
      <c r="E33" s="12">
        <f>E31-E32</f>
        <v>142133.28768533882</v>
      </c>
      <c r="F33" s="12">
        <f>F31-F32</f>
        <v>137668.22364533882</v>
      </c>
      <c r="G33" s="12">
        <f>G31-G32</f>
        <v>133203.15960533882</v>
      </c>
      <c r="H33" s="399"/>
      <c r="I33" s="399"/>
    </row>
    <row r="34" spans="1:9">
      <c r="D34" s="262"/>
      <c r="E34" s="10"/>
      <c r="F34" s="10"/>
      <c r="G34" s="10"/>
      <c r="H34" s="399"/>
      <c r="I34" s="399"/>
    </row>
    <row r="35" spans="1:9">
      <c r="B35" s="256"/>
      <c r="D35" s="262"/>
      <c r="E35" s="10"/>
      <c r="F35" s="10"/>
      <c r="G35" s="10"/>
      <c r="H35" s="399"/>
      <c r="I35" s="399"/>
    </row>
    <row r="36" spans="1:9">
      <c r="A36" s="187" t="s">
        <v>34</v>
      </c>
      <c r="B36" s="187"/>
      <c r="D36" s="262"/>
      <c r="E36" s="10"/>
      <c r="F36" s="10"/>
      <c r="G36" s="10"/>
      <c r="H36" s="399"/>
      <c r="I36" s="399"/>
    </row>
    <row r="37" spans="1:9">
      <c r="A37" s="248" t="s">
        <v>154</v>
      </c>
      <c r="B37" s="248"/>
      <c r="C37" s="258">
        <v>0</v>
      </c>
      <c r="D37" s="263">
        <f>IF($D$4&gt;Assumptions!$F$8,(Depreciation!$D$4-Assumptions!$F$8)/30.5,0)</f>
        <v>0.5901639344262295</v>
      </c>
      <c r="E37" s="258">
        <f>7-D37</f>
        <v>6.4098360655737707</v>
      </c>
      <c r="F37" s="258">
        <v>12</v>
      </c>
      <c r="G37" s="258">
        <v>12</v>
      </c>
      <c r="H37" s="399"/>
      <c r="I37" s="399"/>
    </row>
    <row r="38" spans="1:9">
      <c r="A38" s="10" t="s">
        <v>155</v>
      </c>
      <c r="C38" s="251">
        <f>90%/30*C37/12</f>
        <v>0</v>
      </c>
      <c r="D38" s="264">
        <f>90%/30*D37/12</f>
        <v>1.475409836065574E-3</v>
      </c>
      <c r="E38" s="251">
        <f>90%/30*E37/12-D38</f>
        <v>1.4549180327868855E-2</v>
      </c>
      <c r="F38" s="251">
        <f>90%/30</f>
        <v>3.0000000000000002E-2</v>
      </c>
      <c r="G38" s="251">
        <f>90%/30</f>
        <v>3.0000000000000002E-2</v>
      </c>
      <c r="H38" s="398">
        <f>SUM(C38:G38)</f>
        <v>7.6024590163934438E-2</v>
      </c>
      <c r="I38" s="398">
        <f>0.9/30*(($G$4-Assumptions!$F$8)/365.25)</f>
        <v>7.7453798767967152E-2</v>
      </c>
    </row>
    <row r="39" spans="1:9">
      <c r="D39" s="262"/>
      <c r="E39" s="10"/>
      <c r="F39" s="10"/>
      <c r="G39" s="10"/>
      <c r="H39" s="399"/>
      <c r="I39" s="399"/>
    </row>
    <row r="40" spans="1:9">
      <c r="A40" s="10" t="s">
        <v>157</v>
      </c>
      <c r="B40" s="254">
        <f>[3]Gleason!$BT$225/1000</f>
        <v>175029.35721731206</v>
      </c>
      <c r="C40" s="12">
        <f>B40</f>
        <v>175029.35721731206</v>
      </c>
      <c r="D40" s="265">
        <f>C42</f>
        <v>175029.35721731206</v>
      </c>
      <c r="E40" s="12">
        <f>D42</f>
        <v>174771.11718207342</v>
      </c>
      <c r="F40" s="12">
        <f>E42</f>
        <v>172224.58350124778</v>
      </c>
      <c r="G40" s="12">
        <f>F42</f>
        <v>166973.7027847284</v>
      </c>
      <c r="H40" s="399"/>
      <c r="I40" s="399"/>
    </row>
    <row r="41" spans="1:9">
      <c r="A41" s="10" t="s">
        <v>158</v>
      </c>
      <c r="B41" s="255">
        <v>0</v>
      </c>
      <c r="C41" s="255">
        <f>$B$40*C38</f>
        <v>0</v>
      </c>
      <c r="D41" s="266">
        <f>$B$40*D38</f>
        <v>258.24003523865719</v>
      </c>
      <c r="E41" s="255">
        <f>$B$40*E38</f>
        <v>2546.5336808256475</v>
      </c>
      <c r="F41" s="255">
        <f>$B$40*F38</f>
        <v>5250.8807165193621</v>
      </c>
      <c r="G41" s="255">
        <f>$B$40*G38</f>
        <v>5250.8807165193621</v>
      </c>
      <c r="H41" s="399"/>
      <c r="I41" s="399"/>
    </row>
    <row r="42" spans="1:9">
      <c r="A42" s="10" t="s">
        <v>159</v>
      </c>
      <c r="B42" s="12">
        <f>B40</f>
        <v>175029.35721731206</v>
      </c>
      <c r="C42" s="12">
        <f>C40-C41</f>
        <v>175029.35721731206</v>
      </c>
      <c r="D42" s="265">
        <f>D40-D41</f>
        <v>174771.11718207342</v>
      </c>
      <c r="E42" s="12">
        <f>E40-E41</f>
        <v>172224.58350124778</v>
      </c>
      <c r="F42" s="12">
        <f>F40-F41</f>
        <v>166973.7027847284</v>
      </c>
      <c r="G42" s="12">
        <f>G40-G41</f>
        <v>161722.82206820903</v>
      </c>
      <c r="H42" s="399"/>
      <c r="I42" s="399"/>
    </row>
    <row r="43" spans="1:9">
      <c r="D43" s="262"/>
      <c r="E43" s="10"/>
      <c r="F43" s="10"/>
      <c r="G43" s="10"/>
      <c r="H43" s="399"/>
      <c r="I43" s="399"/>
    </row>
    <row r="44" spans="1:9">
      <c r="B44" s="256"/>
      <c r="D44" s="262"/>
      <c r="E44" s="10"/>
      <c r="F44" s="10"/>
      <c r="G44" s="10"/>
      <c r="H44" s="399"/>
      <c r="I44" s="399"/>
    </row>
    <row r="45" spans="1:9">
      <c r="A45" s="187" t="s">
        <v>6</v>
      </c>
      <c r="B45" s="187"/>
      <c r="D45" s="262"/>
      <c r="E45" s="10"/>
      <c r="F45" s="10"/>
      <c r="G45" s="10"/>
      <c r="H45" s="399"/>
      <c r="I45" s="399"/>
    </row>
    <row r="46" spans="1:9">
      <c r="A46" s="248" t="s">
        <v>154</v>
      </c>
      <c r="B46" s="248"/>
      <c r="C46" s="258">
        <v>0</v>
      </c>
      <c r="D46" s="263">
        <f>IF($D$4&gt;Assumptions!$G$8,(Depreciation!$D$4-Assumptions!$G$8)/30.5,0)</f>
        <v>0.5901639344262295</v>
      </c>
      <c r="E46" s="258">
        <f>7-D46</f>
        <v>6.4098360655737707</v>
      </c>
      <c r="F46" s="258">
        <v>12</v>
      </c>
      <c r="G46" s="258">
        <v>12</v>
      </c>
      <c r="H46" s="399"/>
      <c r="I46" s="399"/>
    </row>
    <row r="47" spans="1:9">
      <c r="A47" s="10" t="s">
        <v>155</v>
      </c>
      <c r="C47" s="251">
        <f>90%/30*C46/12</f>
        <v>0</v>
      </c>
      <c r="D47" s="264">
        <f>90%/30*D46/12</f>
        <v>1.475409836065574E-3</v>
      </c>
      <c r="E47" s="251">
        <f>90%/30*E46/12-D47</f>
        <v>1.4549180327868855E-2</v>
      </c>
      <c r="F47" s="251">
        <f>90%/30</f>
        <v>3.0000000000000002E-2</v>
      </c>
      <c r="G47" s="251">
        <f>90%/30</f>
        <v>3.0000000000000002E-2</v>
      </c>
      <c r="H47" s="398">
        <f>SUM(C47:G47)</f>
        <v>7.6024590163934438E-2</v>
      </c>
      <c r="I47" s="398">
        <f>0.9/30*(($G$4-Assumptions!$G$8)/365.25)</f>
        <v>7.7453798767967152E-2</v>
      </c>
    </row>
    <row r="48" spans="1:9">
      <c r="D48" s="262"/>
      <c r="E48" s="10"/>
      <c r="F48" s="10"/>
      <c r="G48" s="10"/>
      <c r="H48" s="399"/>
      <c r="I48" s="399"/>
    </row>
    <row r="49" spans="1:9">
      <c r="A49" s="10" t="s">
        <v>157</v>
      </c>
      <c r="B49" s="254">
        <f>[3]Wheatland!$BR$200/1000</f>
        <v>159992.68809976525</v>
      </c>
      <c r="C49" s="12">
        <f>B49</f>
        <v>159992.68809976525</v>
      </c>
      <c r="D49" s="265">
        <f>C51</f>
        <v>159992.68809976525</v>
      </c>
      <c r="E49" s="12">
        <f>D51</f>
        <v>159756.63331404427</v>
      </c>
      <c r="F49" s="12">
        <f>E51</f>
        <v>157428.8708437403</v>
      </c>
      <c r="G49" s="12">
        <f>F51</f>
        <v>152629.09020074733</v>
      </c>
      <c r="H49" s="399"/>
      <c r="I49" s="399"/>
    </row>
    <row r="50" spans="1:9">
      <c r="A50" s="10" t="s">
        <v>158</v>
      </c>
      <c r="B50" s="255">
        <v>0</v>
      </c>
      <c r="C50" s="255">
        <f>$B$49*C47</f>
        <v>0</v>
      </c>
      <c r="D50" s="266">
        <f>$B$49*D47</f>
        <v>236.05478572096516</v>
      </c>
      <c r="E50" s="255">
        <f>$B$49*E47</f>
        <v>2327.7624703039619</v>
      </c>
      <c r="F50" s="255">
        <f>$B$49*F47</f>
        <v>4799.7806429929578</v>
      </c>
      <c r="G50" s="255">
        <f>$B$49*G47</f>
        <v>4799.7806429929578</v>
      </c>
      <c r="H50" s="399"/>
      <c r="I50" s="399"/>
    </row>
    <row r="51" spans="1:9">
      <c r="A51" s="10" t="s">
        <v>159</v>
      </c>
      <c r="B51" s="12">
        <f>B49</f>
        <v>159992.68809976525</v>
      </c>
      <c r="C51" s="12">
        <f>C49-C50</f>
        <v>159992.68809976525</v>
      </c>
      <c r="D51" s="265">
        <f>D49-D50</f>
        <v>159756.63331404427</v>
      </c>
      <c r="E51" s="12">
        <f>E49-E50</f>
        <v>157428.8708437403</v>
      </c>
      <c r="F51" s="12">
        <f>F49-F50</f>
        <v>152629.09020074733</v>
      </c>
      <c r="G51" s="12">
        <f>G49-G50</f>
        <v>147829.30955775437</v>
      </c>
      <c r="H51" s="399"/>
      <c r="I51" s="399"/>
    </row>
    <row r="52" spans="1:9">
      <c r="D52" s="262"/>
      <c r="E52" s="10"/>
      <c r="F52" s="10"/>
      <c r="G52" s="10"/>
      <c r="H52" s="399"/>
      <c r="I52" s="399"/>
    </row>
    <row r="53" spans="1:9">
      <c r="B53" s="256"/>
      <c r="D53" s="262"/>
      <c r="E53" s="10"/>
      <c r="F53" s="10"/>
      <c r="G53" s="10"/>
      <c r="H53" s="399"/>
      <c r="I53" s="399"/>
    </row>
    <row r="54" spans="1:9">
      <c r="A54" s="187" t="s">
        <v>7</v>
      </c>
      <c r="B54" s="187"/>
      <c r="D54" s="262"/>
      <c r="E54" s="10"/>
      <c r="F54" s="10"/>
      <c r="G54" s="10"/>
      <c r="H54" s="399"/>
      <c r="I54" s="399"/>
    </row>
    <row r="55" spans="1:9">
      <c r="A55" s="248" t="s">
        <v>154</v>
      </c>
      <c r="B55" s="248"/>
      <c r="C55" s="258">
        <v>0</v>
      </c>
      <c r="D55" s="263">
        <f>IF($D$4&gt;Assumptions!$H$8,(Depreciation!$D$4-Assumptions!$H$8)/30.5,0)</f>
        <v>0.5901639344262295</v>
      </c>
      <c r="E55" s="258">
        <f>7-D55</f>
        <v>6.4098360655737707</v>
      </c>
      <c r="F55" s="258">
        <v>12</v>
      </c>
      <c r="G55" s="258">
        <v>12</v>
      </c>
      <c r="H55" s="399"/>
      <c r="I55" s="399"/>
    </row>
    <row r="56" spans="1:9">
      <c r="A56" s="10" t="s">
        <v>155</v>
      </c>
      <c r="C56" s="251">
        <f>90%/30*C55/12</f>
        <v>0</v>
      </c>
      <c r="D56" s="264">
        <f>90%/30*D55/12</f>
        <v>1.475409836065574E-3</v>
      </c>
      <c r="E56" s="251">
        <f>90%/30*E55/12-D56</f>
        <v>1.4549180327868855E-2</v>
      </c>
      <c r="F56" s="251">
        <f>90%/30</f>
        <v>3.0000000000000002E-2</v>
      </c>
      <c r="G56" s="251">
        <f>90%/30</f>
        <v>3.0000000000000002E-2</v>
      </c>
      <c r="H56" s="398">
        <f>SUM(C56:G56)</f>
        <v>7.6024590163934438E-2</v>
      </c>
      <c r="I56" s="398">
        <f>0.9/30*(($G$4-Assumptions!$H$8)/365.25)</f>
        <v>7.7453798767967152E-2</v>
      </c>
    </row>
    <row r="57" spans="1:9">
      <c r="D57" s="262"/>
      <c r="E57" s="10"/>
      <c r="F57" s="10"/>
      <c r="G57" s="10"/>
      <c r="H57" s="399"/>
      <c r="I57" s="399"/>
    </row>
    <row r="58" spans="1:9">
      <c r="A58" s="10" t="s">
        <v>157</v>
      </c>
      <c r="B58" s="254">
        <f>[3]Wilton!$BR$200/1000</f>
        <v>257376.76070157162</v>
      </c>
      <c r="C58" s="12">
        <f>B58</f>
        <v>257376.76070157162</v>
      </c>
      <c r="D58" s="265">
        <f>C60</f>
        <v>257376.76070157162</v>
      </c>
      <c r="E58" s="12">
        <f>D60</f>
        <v>256997.02449725784</v>
      </c>
      <c r="F58" s="12">
        <f>E60</f>
        <v>253252.40359360792</v>
      </c>
      <c r="G58" s="12">
        <f>F60</f>
        <v>245531.10077256078</v>
      </c>
      <c r="H58" s="399"/>
      <c r="I58" s="399"/>
    </row>
    <row r="59" spans="1:9">
      <c r="A59" s="10" t="s">
        <v>158</v>
      </c>
      <c r="B59" s="255">
        <v>0</v>
      </c>
      <c r="C59" s="255">
        <f>$B$58*C56</f>
        <v>0</v>
      </c>
      <c r="D59" s="266">
        <f>$B$58*D56</f>
        <v>379.73620431379425</v>
      </c>
      <c r="E59" s="255">
        <f>$B$58*E56</f>
        <v>3744.6209036499158</v>
      </c>
      <c r="F59" s="255">
        <f>$B$58*F56</f>
        <v>7721.3028210471493</v>
      </c>
      <c r="G59" s="255">
        <f>$B$58*G56</f>
        <v>7721.3028210471493</v>
      </c>
      <c r="H59" s="399"/>
      <c r="I59" s="399"/>
    </row>
    <row r="60" spans="1:9">
      <c r="A60" s="10" t="s">
        <v>159</v>
      </c>
      <c r="B60" s="12">
        <f>B58</f>
        <v>257376.76070157162</v>
      </c>
      <c r="C60" s="12">
        <f>C58-C59</f>
        <v>257376.76070157162</v>
      </c>
      <c r="D60" s="265">
        <f>D58-D59</f>
        <v>256997.02449725784</v>
      </c>
      <c r="E60" s="12">
        <f>E58-E59</f>
        <v>253252.40359360792</v>
      </c>
      <c r="F60" s="12">
        <f>F58-F59</f>
        <v>245531.10077256078</v>
      </c>
      <c r="G60" s="12">
        <f>G58-G59</f>
        <v>237809.79795151364</v>
      </c>
      <c r="H60" s="399"/>
      <c r="I60" s="399"/>
    </row>
    <row r="61" spans="1:9">
      <c r="D61" s="262"/>
      <c r="E61" s="10"/>
      <c r="F61" s="10"/>
      <c r="G61" s="10"/>
      <c r="H61" s="399"/>
      <c r="I61" s="399"/>
    </row>
    <row r="62" spans="1:9">
      <c r="D62" s="262"/>
      <c r="E62" s="10"/>
      <c r="F62" s="10"/>
      <c r="G62" s="10"/>
      <c r="H62" s="399"/>
      <c r="I62" s="399"/>
    </row>
    <row r="63" spans="1:9">
      <c r="B63" s="256"/>
      <c r="D63" s="262"/>
      <c r="E63" s="10"/>
      <c r="F63" s="10"/>
      <c r="G63" s="10"/>
      <c r="H63" s="399"/>
      <c r="I63" s="399"/>
    </row>
    <row r="64" spans="1:9">
      <c r="A64" s="250" t="s">
        <v>51</v>
      </c>
      <c r="B64" s="243">
        <f t="shared" ref="B64:G64" si="0">SUM(B15,B24,B33)</f>
        <v>431600.16100000008</v>
      </c>
      <c r="C64" s="243">
        <f t="shared" si="0"/>
        <v>424741.26452763868</v>
      </c>
      <c r="D64" s="267">
        <f t="shared" si="0"/>
        <v>418679.36493577005</v>
      </c>
      <c r="E64" s="243">
        <f t="shared" si="0"/>
        <v>411793.25969763863</v>
      </c>
      <c r="F64" s="243">
        <f t="shared" si="0"/>
        <v>398845.25486763864</v>
      </c>
      <c r="G64" s="243">
        <f t="shared" si="0"/>
        <v>385897.25003763865</v>
      </c>
      <c r="H64" s="399"/>
      <c r="I64" s="399"/>
    </row>
    <row r="65" spans="1:9">
      <c r="A65" s="187" t="s">
        <v>52</v>
      </c>
      <c r="B65" s="257">
        <f t="shared" ref="B65:G65" si="1">SUM(B42,B51,B60)</f>
        <v>592398.8060186489</v>
      </c>
      <c r="C65" s="257">
        <f t="shared" si="1"/>
        <v>592398.8060186489</v>
      </c>
      <c r="D65" s="268">
        <f t="shared" si="1"/>
        <v>591524.77499337553</v>
      </c>
      <c r="E65" s="257">
        <f t="shared" si="1"/>
        <v>582905.85793859605</v>
      </c>
      <c r="F65" s="257">
        <f t="shared" si="1"/>
        <v>565133.89375803655</v>
      </c>
      <c r="G65" s="257">
        <f t="shared" si="1"/>
        <v>547361.92957747704</v>
      </c>
      <c r="H65" s="399"/>
      <c r="I65" s="399"/>
    </row>
    <row r="66" spans="1:9">
      <c r="A66" s="250" t="s">
        <v>160</v>
      </c>
      <c r="B66" s="243">
        <f t="shared" ref="B66:G66" si="2">SUM(B64:B65)</f>
        <v>1023998.967018649</v>
      </c>
      <c r="C66" s="243">
        <f t="shared" si="2"/>
        <v>1017140.0705462876</v>
      </c>
      <c r="D66" s="267">
        <f t="shared" si="2"/>
        <v>1010204.1399291456</v>
      </c>
      <c r="E66" s="243">
        <f t="shared" si="2"/>
        <v>994699.11763623473</v>
      </c>
      <c r="F66" s="243">
        <f t="shared" si="2"/>
        <v>963979.14862567512</v>
      </c>
      <c r="G66" s="243">
        <f t="shared" si="2"/>
        <v>933259.17961511575</v>
      </c>
      <c r="H66" s="399"/>
      <c r="I66" s="399"/>
    </row>
    <row r="67" spans="1:9">
      <c r="D67" s="10"/>
      <c r="E67" s="10"/>
      <c r="F67" s="10"/>
      <c r="G67" s="10"/>
      <c r="H67" s="399"/>
      <c r="I67" s="399"/>
    </row>
    <row r="68" spans="1:9">
      <c r="D68" s="10"/>
      <c r="E68" s="10"/>
      <c r="F68" s="10"/>
      <c r="G68" s="10"/>
      <c r="H68" s="399"/>
      <c r="I68" s="399"/>
    </row>
    <row r="69" spans="1:9">
      <c r="A69" s="250" t="s">
        <v>280</v>
      </c>
      <c r="D69" s="10"/>
      <c r="E69" s="10"/>
      <c r="F69" s="10"/>
      <c r="G69" s="10"/>
      <c r="H69" s="399"/>
      <c r="I69" s="399"/>
    </row>
    <row r="70" spans="1:9">
      <c r="A70" s="10" t="s">
        <v>3</v>
      </c>
      <c r="B70" s="411">
        <f>B13/$B$66</f>
        <v>0.12500083117531979</v>
      </c>
      <c r="D70" s="10"/>
      <c r="E70" s="10"/>
      <c r="F70" s="10"/>
      <c r="G70" s="10"/>
      <c r="H70" s="399"/>
      <c r="I70" s="399"/>
    </row>
    <row r="71" spans="1:9">
      <c r="A71" s="10" t="s">
        <v>4</v>
      </c>
      <c r="B71" s="411">
        <f>B22/B66</f>
        <v>0.15113684289212909</v>
      </c>
      <c r="D71" s="10"/>
      <c r="E71" s="10"/>
      <c r="F71" s="10"/>
      <c r="G71" s="10"/>
      <c r="H71" s="399"/>
      <c r="I71" s="399"/>
    </row>
    <row r="72" spans="1:9">
      <c r="A72" s="10" t="s">
        <v>5</v>
      </c>
      <c r="B72" s="411">
        <f>B31/B66</f>
        <v>0.14534728334085267</v>
      </c>
      <c r="D72" s="10"/>
      <c r="E72" s="10"/>
      <c r="F72" s="10"/>
      <c r="G72" s="10"/>
      <c r="H72" s="399"/>
      <c r="I72" s="399"/>
    </row>
    <row r="73" spans="1:9">
      <c r="A73" s="10" t="s">
        <v>34</v>
      </c>
      <c r="B73" s="411">
        <f>B40/B66</f>
        <v>0.17092727908398803</v>
      </c>
      <c r="D73" s="10"/>
      <c r="E73" s="10"/>
      <c r="F73" s="10"/>
      <c r="G73" s="10"/>
      <c r="H73" s="399"/>
      <c r="I73" s="399"/>
    </row>
    <row r="74" spans="1:9">
      <c r="A74" s="10" t="s">
        <v>6</v>
      </c>
      <c r="B74" s="411">
        <f>B49/B66</f>
        <v>0.15624301708582825</v>
      </c>
      <c r="D74" s="10"/>
      <c r="E74" s="10"/>
      <c r="F74" s="10"/>
      <c r="G74" s="10"/>
      <c r="H74" s="399"/>
      <c r="I74" s="399"/>
    </row>
    <row r="75" spans="1:9">
      <c r="A75" s="289" t="s">
        <v>7</v>
      </c>
      <c r="B75" s="412">
        <f>B58/B66</f>
        <v>0.2513447464218822</v>
      </c>
      <c r="D75" s="10"/>
      <c r="E75" s="10"/>
      <c r="F75" s="10"/>
      <c r="G75" s="10"/>
      <c r="H75" s="399"/>
      <c r="I75" s="399"/>
    </row>
    <row r="76" spans="1:9">
      <c r="A76" s="10" t="s">
        <v>11</v>
      </c>
      <c r="B76" s="411">
        <f>SUM(B70:B75)</f>
        <v>1</v>
      </c>
      <c r="D76" s="10"/>
      <c r="E76" s="10"/>
      <c r="F76" s="10"/>
      <c r="G76" s="10"/>
      <c r="H76" s="399"/>
      <c r="I76" s="399"/>
    </row>
    <row r="77" spans="1:9">
      <c r="D77" s="10"/>
      <c r="E77" s="10"/>
      <c r="F77" s="10"/>
      <c r="G77" s="10"/>
      <c r="H77" s="399"/>
      <c r="I77" s="399"/>
    </row>
    <row r="78" spans="1:9">
      <c r="D78" s="10"/>
      <c r="E78" s="10"/>
      <c r="F78" s="10"/>
      <c r="G78" s="10"/>
      <c r="H78" s="399"/>
      <c r="I78" s="399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pans="4:7">
      <c r="D81" s="10"/>
      <c r="E81" s="10"/>
      <c r="F81" s="10"/>
      <c r="G81" s="10"/>
    </row>
    <row r="82" spans="4:7">
      <c r="D82" s="10"/>
      <c r="E82" s="10"/>
      <c r="F82" s="10"/>
      <c r="G82" s="10"/>
    </row>
    <row r="83" spans="4:7">
      <c r="D83" s="10"/>
      <c r="E83" s="10"/>
      <c r="F83" s="10"/>
      <c r="G83" s="10"/>
    </row>
    <row r="84" spans="4:7">
      <c r="D84" s="10"/>
      <c r="E84" s="10"/>
      <c r="F84" s="10"/>
      <c r="G84" s="10"/>
    </row>
    <row r="85" spans="4:7">
      <c r="D85" s="10"/>
      <c r="E85" s="10"/>
      <c r="F85" s="10"/>
      <c r="G85" s="10"/>
    </row>
    <row r="86" spans="4:7">
      <c r="D86" s="10"/>
      <c r="E86" s="10"/>
      <c r="F86" s="10"/>
      <c r="G86" s="10"/>
    </row>
    <row r="87" spans="4:7">
      <c r="D87" s="10"/>
      <c r="E87" s="10"/>
      <c r="F87" s="10"/>
      <c r="G87" s="10"/>
    </row>
    <row r="88" spans="4:7">
      <c r="D88" s="10"/>
      <c r="E88" s="10"/>
      <c r="F88" s="10"/>
      <c r="G88" s="10"/>
    </row>
  </sheetData>
  <mergeCells count="1">
    <mergeCell ref="H4:I4"/>
  </mergeCells>
  <pageMargins left="0.5" right="0.5" top="0.75" bottom="0.75" header="0.17" footer="0.21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ColWidth="9.109375" defaultRowHeight="13.2"/>
  <cols>
    <col min="1" max="1" width="60.88671875" style="10" customWidth="1"/>
    <col min="2" max="2" width="39.88671875" style="10" bestFit="1" customWidth="1"/>
    <col min="3" max="3" width="15.5546875" style="10" bestFit="1" customWidth="1"/>
    <col min="4" max="4" width="31.109375" style="10" bestFit="1" customWidth="1"/>
    <col min="5" max="16384" width="9.109375" style="10"/>
  </cols>
  <sheetData>
    <row r="2" spans="1:3" ht="20.399999999999999">
      <c r="A2" s="183" t="s">
        <v>211</v>
      </c>
    </row>
    <row r="3" spans="1:3" s="4" customFormat="1" ht="20.399999999999999">
      <c r="A3" s="252"/>
    </row>
    <row r="4" spans="1:3">
      <c r="A4" s="187" t="s">
        <v>184</v>
      </c>
      <c r="B4" s="187" t="s">
        <v>185</v>
      </c>
      <c r="C4" s="187"/>
    </row>
    <row r="7" spans="1:3" ht="13.8">
      <c r="A7" s="332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8">
      <c r="A15" s="332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70" t="s">
        <v>198</v>
      </c>
      <c r="B22" s="370" t="s">
        <v>199</v>
      </c>
    </row>
    <row r="24" spans="1:2">
      <c r="A24" s="10" t="s">
        <v>226</v>
      </c>
      <c r="B24" s="10" t="s">
        <v>223</v>
      </c>
    </row>
    <row r="27" spans="1:2" ht="13.8">
      <c r="A27" s="332" t="s">
        <v>200</v>
      </c>
    </row>
    <row r="29" spans="1:2">
      <c r="A29" s="370" t="s">
        <v>201</v>
      </c>
      <c r="B29" s="370"/>
    </row>
    <row r="33" spans="1:2" ht="13.8">
      <c r="A33" s="332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8">
      <c r="A41" s="332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3.2"/>
  <cols>
    <col min="1" max="1" width="15.33203125" bestFit="1" customWidth="1"/>
  </cols>
  <sheetData>
    <row r="2" spans="1:1" ht="20.399999999999999">
      <c r="A2" s="183" t="s">
        <v>213</v>
      </c>
    </row>
    <row r="3" spans="1:1" ht="20.399999999999999">
      <c r="A3" s="252"/>
    </row>
    <row r="33" spans="1:6">
      <c r="A33" s="396" t="s">
        <v>237</v>
      </c>
      <c r="F33" s="396" t="s">
        <v>246</v>
      </c>
    </row>
    <row r="34" spans="1:6">
      <c r="A34" s="206" t="s">
        <v>238</v>
      </c>
      <c r="C34" s="206" t="s">
        <v>244</v>
      </c>
      <c r="F34" t="s">
        <v>247</v>
      </c>
    </row>
    <row r="35" spans="1:6">
      <c r="A35" t="s">
        <v>239</v>
      </c>
      <c r="C35" t="s">
        <v>245</v>
      </c>
      <c r="F35" t="s">
        <v>248</v>
      </c>
    </row>
    <row r="36" spans="1:6">
      <c r="A36" t="s">
        <v>240</v>
      </c>
      <c r="F36" t="s">
        <v>249</v>
      </c>
    </row>
    <row r="37" spans="1:6">
      <c r="A37" t="s">
        <v>241</v>
      </c>
    </row>
    <row r="38" spans="1:6">
      <c r="A38" t="s">
        <v>173</v>
      </c>
    </row>
    <row r="39" spans="1:6">
      <c r="A39" t="s">
        <v>242</v>
      </c>
    </row>
    <row r="40" spans="1:6">
      <c r="A40" t="s">
        <v>243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73"/>
  <sheetViews>
    <sheetView zoomScale="75" zoomScaleNormal="75" workbookViewId="0"/>
  </sheetViews>
  <sheetFormatPr defaultColWidth="9.109375" defaultRowHeight="13.2"/>
  <cols>
    <col min="1" max="1" width="5.5546875" style="10" customWidth="1"/>
    <col min="2" max="2" width="40.6640625" style="10" customWidth="1"/>
    <col min="3" max="3" width="20.6640625" style="10" customWidth="1"/>
    <col min="4" max="4" width="40.6640625" style="10" customWidth="1"/>
    <col min="5" max="16384" width="9.109375" style="10"/>
  </cols>
  <sheetData>
    <row r="2" spans="1:4" ht="20.399999999999999">
      <c r="A2" s="183" t="s">
        <v>224</v>
      </c>
      <c r="B2" s="15"/>
    </row>
    <row r="3" spans="1:4" s="4" customFormat="1" ht="20.399999999999999">
      <c r="A3" s="252"/>
    </row>
    <row r="4" spans="1:4">
      <c r="B4" s="288" t="s">
        <v>224</v>
      </c>
      <c r="C4" s="288" t="s">
        <v>225</v>
      </c>
      <c r="D4" s="288" t="s">
        <v>255</v>
      </c>
    </row>
    <row r="6" spans="1:4">
      <c r="A6" s="187" t="s">
        <v>307</v>
      </c>
    </row>
    <row r="7" spans="1:4">
      <c r="A7" s="10">
        <v>1</v>
      </c>
      <c r="B7" s="10" t="s">
        <v>235</v>
      </c>
      <c r="C7" s="397">
        <v>36696</v>
      </c>
      <c r="D7" s="10" t="s">
        <v>309</v>
      </c>
    </row>
    <row r="8" spans="1:4">
      <c r="A8" s="10">
        <v>2</v>
      </c>
      <c r="B8" s="10" t="s">
        <v>269</v>
      </c>
      <c r="C8" s="397">
        <v>36696</v>
      </c>
      <c r="D8" s="10" t="s">
        <v>309</v>
      </c>
    </row>
    <row r="9" spans="1:4">
      <c r="A9" s="10">
        <v>4</v>
      </c>
      <c r="B9" s="10" t="s">
        <v>257</v>
      </c>
      <c r="C9" s="397">
        <v>36693</v>
      </c>
      <c r="D9" s="10" t="s">
        <v>308</v>
      </c>
    </row>
    <row r="10" spans="1:4">
      <c r="A10" s="10">
        <v>5</v>
      </c>
      <c r="B10" s="10" t="s">
        <v>259</v>
      </c>
      <c r="C10" s="397">
        <v>36696</v>
      </c>
      <c r="D10" s="10" t="s">
        <v>310</v>
      </c>
    </row>
    <row r="13" spans="1:4">
      <c r="A13" s="187" t="s">
        <v>299</v>
      </c>
    </row>
    <row r="14" spans="1:4">
      <c r="A14" s="10">
        <v>1</v>
      </c>
      <c r="B14" s="10" t="s">
        <v>235</v>
      </c>
      <c r="C14" s="397">
        <v>36688</v>
      </c>
      <c r="D14" s="10" t="s">
        <v>301</v>
      </c>
    </row>
    <row r="15" spans="1:4">
      <c r="A15" s="10">
        <v>2</v>
      </c>
      <c r="B15" s="10" t="s">
        <v>269</v>
      </c>
      <c r="C15" s="397">
        <v>36688</v>
      </c>
      <c r="D15" s="10" t="s">
        <v>301</v>
      </c>
    </row>
    <row r="16" spans="1:4">
      <c r="A16" s="10">
        <v>4</v>
      </c>
      <c r="B16" s="10" t="s">
        <v>257</v>
      </c>
      <c r="C16" s="397"/>
      <c r="D16" s="10" t="s">
        <v>302</v>
      </c>
    </row>
    <row r="17" spans="1:4">
      <c r="A17" s="10">
        <v>5</v>
      </c>
      <c r="B17" s="10" t="s">
        <v>259</v>
      </c>
      <c r="C17" s="397">
        <v>36688</v>
      </c>
      <c r="D17" s="10" t="s">
        <v>303</v>
      </c>
    </row>
    <row r="18" spans="1:4">
      <c r="A18" s="10">
        <v>6</v>
      </c>
      <c r="B18" s="10" t="s">
        <v>305</v>
      </c>
      <c r="C18" s="397">
        <v>36677</v>
      </c>
      <c r="D18" s="10" t="s">
        <v>306</v>
      </c>
    </row>
    <row r="21" spans="1:4">
      <c r="A21" s="187" t="s">
        <v>300</v>
      </c>
    </row>
    <row r="22" spans="1:4">
      <c r="A22" s="10">
        <v>1</v>
      </c>
      <c r="B22" s="10" t="s">
        <v>235</v>
      </c>
      <c r="C22" s="397">
        <v>36679</v>
      </c>
      <c r="D22" s="10" t="s">
        <v>296</v>
      </c>
    </row>
    <row r="23" spans="1:4">
      <c r="A23" s="10">
        <v>2</v>
      </c>
      <c r="B23" s="10" t="s">
        <v>269</v>
      </c>
      <c r="C23" s="397">
        <v>36679</v>
      </c>
      <c r="D23" s="10" t="s">
        <v>296</v>
      </c>
    </row>
    <row r="24" spans="1:4">
      <c r="A24" s="10">
        <v>4</v>
      </c>
      <c r="B24" s="10" t="s">
        <v>257</v>
      </c>
      <c r="C24" s="397">
        <v>36678</v>
      </c>
      <c r="D24" s="10" t="s">
        <v>297</v>
      </c>
    </row>
    <row r="25" spans="1:4">
      <c r="A25" s="10">
        <v>5</v>
      </c>
      <c r="B25" s="10" t="s">
        <v>259</v>
      </c>
      <c r="C25" s="397">
        <v>36679</v>
      </c>
      <c r="D25" s="10" t="s">
        <v>298</v>
      </c>
    </row>
    <row r="28" spans="1:4">
      <c r="A28" s="187" t="s">
        <v>290</v>
      </c>
    </row>
    <row r="29" spans="1:4">
      <c r="A29" s="10">
        <v>1</v>
      </c>
      <c r="B29" s="10" t="s">
        <v>235</v>
      </c>
      <c r="C29" s="397">
        <v>36672</v>
      </c>
      <c r="D29" s="10" t="s">
        <v>292</v>
      </c>
    </row>
    <row r="30" spans="1:4">
      <c r="A30" s="10">
        <v>2</v>
      </c>
      <c r="B30" s="10" t="s">
        <v>269</v>
      </c>
      <c r="C30" s="397">
        <v>36672</v>
      </c>
      <c r="D30" s="10" t="s">
        <v>292</v>
      </c>
    </row>
    <row r="31" spans="1:4">
      <c r="A31" s="10">
        <v>4</v>
      </c>
      <c r="B31" s="10" t="s">
        <v>257</v>
      </c>
      <c r="C31" s="397">
        <v>36671</v>
      </c>
      <c r="D31" s="10" t="s">
        <v>291</v>
      </c>
    </row>
    <row r="32" spans="1:4">
      <c r="A32" s="10">
        <v>5</v>
      </c>
      <c r="B32" s="10" t="s">
        <v>259</v>
      </c>
      <c r="C32" s="397">
        <v>36672</v>
      </c>
      <c r="D32" s="10" t="s">
        <v>293</v>
      </c>
    </row>
    <row r="35" spans="1:4">
      <c r="A35" s="187" t="s">
        <v>286</v>
      </c>
    </row>
    <row r="36" spans="1:4">
      <c r="A36" s="10">
        <v>1</v>
      </c>
      <c r="B36" s="10" t="s">
        <v>235</v>
      </c>
      <c r="C36" s="397">
        <v>36665</v>
      </c>
      <c r="D36" s="10" t="s">
        <v>287</v>
      </c>
    </row>
    <row r="37" spans="1:4">
      <c r="A37" s="10">
        <v>2</v>
      </c>
      <c r="B37" s="10" t="s">
        <v>269</v>
      </c>
      <c r="C37" s="397">
        <v>36665</v>
      </c>
      <c r="D37" s="10" t="s">
        <v>287</v>
      </c>
    </row>
    <row r="38" spans="1:4">
      <c r="A38" s="10">
        <v>4</v>
      </c>
      <c r="B38" s="10" t="s">
        <v>257</v>
      </c>
      <c r="C38" s="397">
        <v>36664</v>
      </c>
      <c r="D38" s="10" t="s">
        <v>288</v>
      </c>
    </row>
    <row r="39" spans="1:4">
      <c r="A39" s="10">
        <v>5</v>
      </c>
      <c r="B39" s="10" t="s">
        <v>259</v>
      </c>
      <c r="C39" s="397">
        <v>36665</v>
      </c>
      <c r="D39" s="10" t="s">
        <v>289</v>
      </c>
    </row>
    <row r="42" spans="1:4">
      <c r="A42" s="187" t="s">
        <v>282</v>
      </c>
    </row>
    <row r="43" spans="1:4">
      <c r="A43" s="10">
        <v>1</v>
      </c>
      <c r="B43" s="10" t="s">
        <v>235</v>
      </c>
      <c r="C43" s="397">
        <v>36658</v>
      </c>
      <c r="D43" s="10" t="s">
        <v>285</v>
      </c>
    </row>
    <row r="44" spans="1:4">
      <c r="A44" s="10">
        <v>2</v>
      </c>
      <c r="B44" s="10" t="s">
        <v>269</v>
      </c>
      <c r="C44" s="397">
        <v>36658</v>
      </c>
      <c r="D44" s="10" t="s">
        <v>285</v>
      </c>
    </row>
    <row r="45" spans="1:4">
      <c r="A45" s="10">
        <v>4</v>
      </c>
      <c r="B45" s="10" t="s">
        <v>257</v>
      </c>
      <c r="C45" s="397">
        <v>36657</v>
      </c>
      <c r="D45" s="10" t="s">
        <v>284</v>
      </c>
    </row>
    <row r="46" spans="1:4">
      <c r="A46" s="10">
        <v>5</v>
      </c>
      <c r="B46" s="10" t="s">
        <v>259</v>
      </c>
      <c r="C46" s="397">
        <v>36658</v>
      </c>
      <c r="D46" s="10" t="s">
        <v>283</v>
      </c>
    </row>
    <row r="49" spans="1:8">
      <c r="A49" s="187" t="s">
        <v>274</v>
      </c>
    </row>
    <row r="50" spans="1:8">
      <c r="A50" s="10">
        <v>1</v>
      </c>
      <c r="B50" s="10" t="s">
        <v>235</v>
      </c>
      <c r="C50" s="397">
        <v>36654</v>
      </c>
      <c r="D50" s="10" t="s">
        <v>277</v>
      </c>
    </row>
    <row r="51" spans="1:8">
      <c r="A51" s="10">
        <v>2</v>
      </c>
      <c r="B51" s="10" t="s">
        <v>269</v>
      </c>
      <c r="C51" s="397">
        <v>36654</v>
      </c>
      <c r="D51" s="10" t="s">
        <v>277</v>
      </c>
    </row>
    <row r="52" spans="1:8">
      <c r="A52" s="10">
        <v>3</v>
      </c>
      <c r="B52" s="10" t="s">
        <v>236</v>
      </c>
      <c r="C52" s="397">
        <v>36616</v>
      </c>
      <c r="D52" s="10" t="s">
        <v>270</v>
      </c>
    </row>
    <row r="53" spans="1:8">
      <c r="A53" s="10">
        <v>4</v>
      </c>
      <c r="B53" s="10" t="s">
        <v>257</v>
      </c>
      <c r="C53" s="397">
        <v>36650</v>
      </c>
      <c r="D53" s="10" t="s">
        <v>279</v>
      </c>
    </row>
    <row r="54" spans="1:8">
      <c r="A54" s="10">
        <v>5</v>
      </c>
      <c r="B54" s="10" t="s">
        <v>259</v>
      </c>
      <c r="C54" s="397">
        <v>36644</v>
      </c>
      <c r="D54" s="10" t="s">
        <v>273</v>
      </c>
    </row>
    <row r="55" spans="1:8">
      <c r="A55" s="10">
        <v>6</v>
      </c>
      <c r="B55" s="10" t="s">
        <v>265</v>
      </c>
      <c r="C55" s="397">
        <v>36651</v>
      </c>
      <c r="D55" s="10" t="s">
        <v>278</v>
      </c>
    </row>
    <row r="58" spans="1:8">
      <c r="A58" s="187" t="s">
        <v>275</v>
      </c>
    </row>
    <row r="59" spans="1:8">
      <c r="A59" s="10">
        <v>1</v>
      </c>
      <c r="B59" s="4" t="s">
        <v>235</v>
      </c>
      <c r="C59" s="401">
        <v>36640</v>
      </c>
      <c r="D59" s="4"/>
      <c r="E59" s="4"/>
      <c r="F59" s="4"/>
      <c r="G59" s="4"/>
      <c r="H59" s="4"/>
    </row>
    <row r="60" spans="1:8">
      <c r="A60" s="10">
        <v>2</v>
      </c>
      <c r="B60" s="4" t="s">
        <v>257</v>
      </c>
      <c r="C60" s="401">
        <v>36636</v>
      </c>
      <c r="D60" s="4" t="s">
        <v>267</v>
      </c>
      <c r="E60" s="4"/>
      <c r="F60" s="4"/>
      <c r="G60" s="4"/>
      <c r="H60" s="4"/>
    </row>
    <row r="61" spans="1:8">
      <c r="A61" s="10">
        <v>3</v>
      </c>
      <c r="B61" s="4" t="s">
        <v>259</v>
      </c>
      <c r="C61" s="401">
        <v>36640</v>
      </c>
      <c r="D61" s="4" t="s">
        <v>268</v>
      </c>
      <c r="E61" s="4"/>
      <c r="F61" s="4"/>
      <c r="G61" s="4"/>
      <c r="H61" s="4"/>
    </row>
    <row r="62" spans="1:8">
      <c r="A62" s="4"/>
      <c r="B62" s="4"/>
      <c r="C62" s="401"/>
      <c r="D62" s="4"/>
      <c r="E62" s="4"/>
      <c r="F62" s="4"/>
      <c r="G62" s="4"/>
      <c r="H62" s="4"/>
    </row>
    <row r="64" spans="1:8">
      <c r="A64" s="187" t="s">
        <v>276</v>
      </c>
    </row>
    <row r="65" spans="1:4">
      <c r="A65" s="10">
        <v>1</v>
      </c>
      <c r="B65" s="10" t="s">
        <v>235</v>
      </c>
      <c r="C65" s="397">
        <v>36630</v>
      </c>
    </row>
    <row r="66" spans="1:4">
      <c r="A66" s="10">
        <v>2</v>
      </c>
      <c r="B66" s="10" t="s">
        <v>236</v>
      </c>
      <c r="C66" s="397">
        <v>36585</v>
      </c>
      <c r="D66" s="10" t="s">
        <v>256</v>
      </c>
    </row>
    <row r="67" spans="1:4">
      <c r="A67" s="10">
        <v>3</v>
      </c>
      <c r="B67" s="10" t="s">
        <v>257</v>
      </c>
      <c r="C67" s="397">
        <v>36629</v>
      </c>
      <c r="D67" s="10" t="s">
        <v>258</v>
      </c>
    </row>
    <row r="68" spans="1:4">
      <c r="C68" s="397"/>
      <c r="D68" s="10" t="s">
        <v>261</v>
      </c>
    </row>
    <row r="69" spans="1:4">
      <c r="C69" s="397"/>
      <c r="D69" s="10" t="s">
        <v>262</v>
      </c>
    </row>
    <row r="70" spans="1:4">
      <c r="C70" s="397"/>
      <c r="D70" s="10" t="s">
        <v>263</v>
      </c>
    </row>
    <row r="71" spans="1:4">
      <c r="C71" s="397"/>
      <c r="D71" s="10" t="s">
        <v>264</v>
      </c>
    </row>
    <row r="72" spans="1:4">
      <c r="A72" s="10">
        <v>4</v>
      </c>
      <c r="B72" s="10" t="s">
        <v>259</v>
      </c>
      <c r="C72" s="397">
        <v>36630</v>
      </c>
      <c r="D72" s="10" t="s">
        <v>260</v>
      </c>
    </row>
    <row r="73" spans="1:4">
      <c r="A73" s="10">
        <v>5</v>
      </c>
      <c r="B73" s="10" t="s">
        <v>265</v>
      </c>
      <c r="C73" s="397">
        <v>36623</v>
      </c>
      <c r="D73" s="10" t="s">
        <v>266</v>
      </c>
    </row>
  </sheetData>
  <pageMargins left="0.5" right="0.5" top="0.75" bottom="0.75" header="0.17" footer="0.21"/>
  <pageSetup scale="5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09375" defaultRowHeight="13.2"/>
  <cols>
    <col min="1" max="1" width="16.88671875" customWidth="1"/>
    <col min="2" max="5" width="15.109375" customWidth="1"/>
    <col min="6" max="6" width="7.6640625" customWidth="1"/>
    <col min="7" max="12" width="15.109375" customWidth="1"/>
    <col min="13" max="13" width="7.33203125" customWidth="1"/>
  </cols>
  <sheetData>
    <row r="2" spans="1:32" ht="20.399999999999999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2" thickBot="1">
      <c r="A5" s="111"/>
      <c r="B5" s="112"/>
      <c r="C5" s="112"/>
      <c r="D5" s="112"/>
      <c r="E5" s="112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22"/>
      <c r="T5" s="22"/>
      <c r="U5" s="22"/>
      <c r="V5" s="22"/>
      <c r="W5" s="23"/>
      <c r="X5" s="23"/>
      <c r="AD5" s="10"/>
      <c r="AE5" s="10"/>
      <c r="AF5" s="10"/>
    </row>
    <row r="6" spans="1:32" ht="16.2" thickBot="1">
      <c r="A6" s="114" t="s">
        <v>22</v>
      </c>
      <c r="B6" s="151" t="s">
        <v>23</v>
      </c>
      <c r="C6" s="118"/>
      <c r="D6" s="119"/>
      <c r="E6" s="119"/>
      <c r="G6" s="117" t="s">
        <v>24</v>
      </c>
      <c r="H6" s="118"/>
      <c r="I6" s="118"/>
      <c r="J6" s="118"/>
      <c r="K6" s="118"/>
      <c r="L6" s="119"/>
      <c r="N6" s="120" t="s">
        <v>25</v>
      </c>
      <c r="O6" s="115"/>
      <c r="P6" s="115"/>
      <c r="Q6" s="115"/>
      <c r="R6" s="115"/>
      <c r="S6" s="116"/>
      <c r="U6" s="22"/>
      <c r="V6" s="22"/>
      <c r="W6" s="23"/>
      <c r="X6" s="23"/>
      <c r="AD6" s="10"/>
      <c r="AE6" s="10"/>
      <c r="AF6" s="10"/>
    </row>
    <row r="7" spans="1:32" ht="16.2" thickBot="1">
      <c r="A7" s="121"/>
      <c r="B7" s="141" t="s">
        <v>26</v>
      </c>
      <c r="C7" s="142" t="s">
        <v>27</v>
      </c>
      <c r="D7" s="142" t="s">
        <v>28</v>
      </c>
      <c r="E7" s="143" t="s">
        <v>29</v>
      </c>
      <c r="G7" s="144" t="s">
        <v>3</v>
      </c>
      <c r="H7" s="145" t="s">
        <v>4</v>
      </c>
      <c r="I7" s="145" t="s">
        <v>5</v>
      </c>
      <c r="J7" s="145" t="s">
        <v>34</v>
      </c>
      <c r="K7" s="145" t="s">
        <v>6</v>
      </c>
      <c r="L7" s="146" t="s">
        <v>7</v>
      </c>
      <c r="N7" s="141" t="s">
        <v>3</v>
      </c>
      <c r="O7" s="142" t="s">
        <v>4</v>
      </c>
      <c r="P7" s="142" t="s">
        <v>5</v>
      </c>
      <c r="Q7" s="142" t="s">
        <v>34</v>
      </c>
      <c r="R7" s="142" t="s">
        <v>6</v>
      </c>
      <c r="S7" s="143" t="s">
        <v>7</v>
      </c>
      <c r="U7" s="22"/>
      <c r="V7" s="22"/>
      <c r="W7" s="23"/>
      <c r="X7" s="23"/>
      <c r="AD7" s="10"/>
      <c r="AE7" s="10"/>
      <c r="AF7" s="10"/>
    </row>
    <row r="8" spans="1:32" ht="15.6">
      <c r="A8" s="147"/>
      <c r="B8" s="101"/>
      <c r="C8" s="98"/>
      <c r="D8" s="98"/>
      <c r="E8" s="102"/>
      <c r="G8" s="122" t="s">
        <v>8</v>
      </c>
      <c r="H8" s="123"/>
      <c r="I8" s="123"/>
      <c r="J8" s="123"/>
      <c r="K8" s="123"/>
      <c r="L8" s="124"/>
      <c r="N8" s="101"/>
      <c r="O8" s="98"/>
      <c r="P8" s="98"/>
      <c r="Q8" s="98"/>
      <c r="R8" s="98"/>
      <c r="S8" s="102"/>
      <c r="U8" s="22"/>
      <c r="V8" s="22"/>
      <c r="W8" s="23"/>
      <c r="X8" s="23"/>
      <c r="AD8" s="10"/>
      <c r="AE8" s="10"/>
      <c r="AF8" s="10"/>
    </row>
    <row r="9" spans="1:32" ht="16.2" thickBot="1">
      <c r="A9" s="101"/>
      <c r="B9" s="101"/>
      <c r="C9" s="98"/>
      <c r="D9" s="98"/>
      <c r="E9" s="102"/>
      <c r="G9" s="125">
        <v>4</v>
      </c>
      <c r="H9" s="126">
        <v>6</v>
      </c>
      <c r="I9" s="126">
        <v>6</v>
      </c>
      <c r="J9" s="126">
        <v>3</v>
      </c>
      <c r="K9" s="126">
        <v>4</v>
      </c>
      <c r="L9" s="127">
        <v>8</v>
      </c>
      <c r="N9" s="101"/>
      <c r="O9" s="98"/>
      <c r="P9" s="98"/>
      <c r="Q9" s="98"/>
      <c r="R9" s="98"/>
      <c r="S9" s="102"/>
      <c r="U9" s="22"/>
      <c r="V9" s="22"/>
      <c r="W9" s="23"/>
      <c r="X9" s="23"/>
      <c r="AD9" s="10"/>
      <c r="AE9" s="10"/>
      <c r="AF9" s="10"/>
    </row>
    <row r="10" spans="1:32" ht="15.6">
      <c r="A10" s="148">
        <v>0</v>
      </c>
      <c r="B10" s="128">
        <v>0</v>
      </c>
      <c r="C10" s="129">
        <v>0</v>
      </c>
      <c r="D10" s="129">
        <v>0</v>
      </c>
      <c r="E10" s="130">
        <v>0</v>
      </c>
      <c r="G10" s="128">
        <f t="shared" ref="G10:G35" si="0">(2*B10+2*D10)/4</f>
        <v>0</v>
      </c>
      <c r="H10" s="129">
        <f t="shared" ref="H10:H35" si="1">C10</f>
        <v>0</v>
      </c>
      <c r="I10" s="129">
        <f t="shared" ref="I10:I35" si="2">C10</f>
        <v>0</v>
      </c>
      <c r="J10" s="129">
        <f t="shared" ref="J10:J35" si="3">E10</f>
        <v>0</v>
      </c>
      <c r="K10" s="129">
        <f t="shared" ref="K10:K35" si="4">D10</f>
        <v>0</v>
      </c>
      <c r="L10" s="130">
        <f t="shared" ref="L10:L35" si="5">C10</f>
        <v>0</v>
      </c>
      <c r="N10" s="101">
        <f t="shared" ref="N10:N35" si="6">G10*$A10*G$9/1000</f>
        <v>0</v>
      </c>
      <c r="O10" s="98">
        <f t="shared" ref="O10:O35" si="7">H10*$A10*H$9/1000</f>
        <v>0</v>
      </c>
      <c r="P10" s="98">
        <f t="shared" ref="P10:P35" si="8">I10*$A10*I$9/1000</f>
        <v>0</v>
      </c>
      <c r="Q10" s="98">
        <f t="shared" ref="Q10:Q35" si="9">J10*$A10*J$9/1000</f>
        <v>0</v>
      </c>
      <c r="R10" s="98">
        <f t="shared" ref="R10:R35" si="10">K10*$A10*K$9/1000</f>
        <v>0</v>
      </c>
      <c r="S10" s="102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6">
      <c r="A11" s="148">
        <v>10</v>
      </c>
      <c r="B11" s="128">
        <v>0</v>
      </c>
      <c r="C11" s="129">
        <v>0</v>
      </c>
      <c r="D11" s="129">
        <v>0</v>
      </c>
      <c r="E11" s="130">
        <v>0</v>
      </c>
      <c r="G11" s="128">
        <f t="shared" si="0"/>
        <v>0</v>
      </c>
      <c r="H11" s="129">
        <f t="shared" si="1"/>
        <v>0</v>
      </c>
      <c r="I11" s="129">
        <f t="shared" si="2"/>
        <v>0</v>
      </c>
      <c r="J11" s="129">
        <f t="shared" si="3"/>
        <v>0</v>
      </c>
      <c r="K11" s="129">
        <f t="shared" si="4"/>
        <v>0</v>
      </c>
      <c r="L11" s="130">
        <f t="shared" si="5"/>
        <v>0</v>
      </c>
      <c r="N11" s="128">
        <f t="shared" si="6"/>
        <v>0</v>
      </c>
      <c r="O11" s="129">
        <f t="shared" si="7"/>
        <v>0</v>
      </c>
      <c r="P11" s="129">
        <f t="shared" si="8"/>
        <v>0</v>
      </c>
      <c r="Q11" s="129">
        <f t="shared" si="9"/>
        <v>0</v>
      </c>
      <c r="R11" s="129">
        <f t="shared" si="10"/>
        <v>0</v>
      </c>
      <c r="S11" s="130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6">
      <c r="A12" s="148">
        <f t="shared" ref="A12:A35" si="12">A11+10</f>
        <v>20</v>
      </c>
      <c r="B12" s="128">
        <v>704</v>
      </c>
      <c r="C12" s="129">
        <v>457</v>
      </c>
      <c r="D12" s="129">
        <v>1164</v>
      </c>
      <c r="E12" s="130">
        <v>1374</v>
      </c>
      <c r="G12" s="128">
        <f t="shared" si="0"/>
        <v>934</v>
      </c>
      <c r="H12" s="129">
        <f t="shared" si="1"/>
        <v>457</v>
      </c>
      <c r="I12" s="129">
        <f t="shared" si="2"/>
        <v>457</v>
      </c>
      <c r="J12" s="129">
        <f>E12</f>
        <v>1374</v>
      </c>
      <c r="K12" s="129">
        <f t="shared" si="4"/>
        <v>1164</v>
      </c>
      <c r="L12" s="130">
        <f t="shared" si="5"/>
        <v>457</v>
      </c>
      <c r="N12" s="128">
        <f>G12*$A12*G$9/1000</f>
        <v>74.72</v>
      </c>
      <c r="O12" s="129">
        <f t="shared" si="7"/>
        <v>54.84</v>
      </c>
      <c r="P12" s="129">
        <f t="shared" si="8"/>
        <v>54.84</v>
      </c>
      <c r="Q12" s="129">
        <f t="shared" si="9"/>
        <v>82.44</v>
      </c>
      <c r="R12" s="129">
        <f t="shared" si="10"/>
        <v>93.12</v>
      </c>
      <c r="S12" s="130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6">
      <c r="A13" s="148">
        <f t="shared" si="12"/>
        <v>30</v>
      </c>
      <c r="B13" s="128">
        <v>704</v>
      </c>
      <c r="C13" s="129">
        <v>457</v>
      </c>
      <c r="D13" s="129">
        <v>1164</v>
      </c>
      <c r="E13" s="130">
        <v>1374</v>
      </c>
      <c r="G13" s="128">
        <f t="shared" si="0"/>
        <v>934</v>
      </c>
      <c r="H13" s="129">
        <f t="shared" si="1"/>
        <v>457</v>
      </c>
      <c r="I13" s="129">
        <f t="shared" si="2"/>
        <v>457</v>
      </c>
      <c r="J13" s="129">
        <f t="shared" si="3"/>
        <v>1374</v>
      </c>
      <c r="K13" s="129">
        <f t="shared" si="4"/>
        <v>1164</v>
      </c>
      <c r="L13" s="130">
        <f t="shared" si="5"/>
        <v>457</v>
      </c>
      <c r="N13" s="128">
        <f t="shared" si="6"/>
        <v>112.08</v>
      </c>
      <c r="O13" s="129">
        <f t="shared" si="7"/>
        <v>82.26</v>
      </c>
      <c r="P13" s="129">
        <f t="shared" si="8"/>
        <v>82.26</v>
      </c>
      <c r="Q13" s="129">
        <f t="shared" si="9"/>
        <v>123.66</v>
      </c>
      <c r="R13" s="129">
        <f t="shared" si="10"/>
        <v>139.68</v>
      </c>
      <c r="S13" s="130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6">
      <c r="A14" s="148">
        <f t="shared" si="12"/>
        <v>40</v>
      </c>
      <c r="B14" s="128">
        <v>1407</v>
      </c>
      <c r="C14" s="129">
        <v>457</v>
      </c>
      <c r="D14" s="129">
        <v>2140</v>
      </c>
      <c r="E14" s="130">
        <v>3334</v>
      </c>
      <c r="G14" s="128">
        <f t="shared" si="0"/>
        <v>1773.5</v>
      </c>
      <c r="H14" s="129">
        <f t="shared" si="1"/>
        <v>457</v>
      </c>
      <c r="I14" s="129">
        <f t="shared" si="2"/>
        <v>457</v>
      </c>
      <c r="J14" s="129">
        <f t="shared" si="3"/>
        <v>3334</v>
      </c>
      <c r="K14" s="129">
        <f t="shared" si="4"/>
        <v>2140</v>
      </c>
      <c r="L14" s="130">
        <f t="shared" si="5"/>
        <v>457</v>
      </c>
      <c r="N14" s="128">
        <f t="shared" si="6"/>
        <v>283.76</v>
      </c>
      <c r="O14" s="129">
        <f t="shared" si="7"/>
        <v>109.68</v>
      </c>
      <c r="P14" s="129">
        <f t="shared" si="8"/>
        <v>109.68</v>
      </c>
      <c r="Q14" s="129">
        <f t="shared" si="9"/>
        <v>400.08</v>
      </c>
      <c r="R14" s="129">
        <f t="shared" si="10"/>
        <v>342.4</v>
      </c>
      <c r="S14" s="130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6">
      <c r="A15" s="148">
        <f t="shared" si="12"/>
        <v>50</v>
      </c>
      <c r="B15" s="128">
        <v>1407</v>
      </c>
      <c r="C15" s="129">
        <v>457</v>
      </c>
      <c r="D15" s="129">
        <v>2140</v>
      </c>
      <c r="E15" s="130">
        <v>3334</v>
      </c>
      <c r="G15" s="128">
        <f>(2*B15+2*D15)/4</f>
        <v>1773.5</v>
      </c>
      <c r="H15" s="129">
        <f t="shared" si="1"/>
        <v>457</v>
      </c>
      <c r="I15" s="129">
        <f t="shared" si="2"/>
        <v>457</v>
      </c>
      <c r="J15" s="129">
        <f>E15</f>
        <v>3334</v>
      </c>
      <c r="K15" s="129">
        <f t="shared" si="4"/>
        <v>2140</v>
      </c>
      <c r="L15" s="130">
        <f t="shared" si="5"/>
        <v>457</v>
      </c>
      <c r="N15" s="128">
        <f>G15*$A15*G$9/1000</f>
        <v>354.7</v>
      </c>
      <c r="O15" s="129">
        <f t="shared" si="7"/>
        <v>137.1</v>
      </c>
      <c r="P15" s="129">
        <f t="shared" si="8"/>
        <v>137.1</v>
      </c>
      <c r="Q15" s="129">
        <f t="shared" si="9"/>
        <v>500.1</v>
      </c>
      <c r="R15" s="129">
        <f t="shared" si="10"/>
        <v>428</v>
      </c>
      <c r="S15" s="130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6">
      <c r="A16" s="148">
        <f t="shared" si="12"/>
        <v>60</v>
      </c>
      <c r="B16" s="128">
        <v>1407</v>
      </c>
      <c r="C16" s="129">
        <v>1243</v>
      </c>
      <c r="D16" s="129">
        <v>2140</v>
      </c>
      <c r="E16" s="130">
        <v>3334</v>
      </c>
      <c r="G16" s="128">
        <f t="shared" si="0"/>
        <v>1773.5</v>
      </c>
      <c r="H16" s="129">
        <f t="shared" si="1"/>
        <v>1243</v>
      </c>
      <c r="I16" s="129">
        <f t="shared" si="2"/>
        <v>1243</v>
      </c>
      <c r="J16" s="129">
        <f t="shared" si="3"/>
        <v>3334</v>
      </c>
      <c r="K16" s="129">
        <f t="shared" si="4"/>
        <v>2140</v>
      </c>
      <c r="L16" s="130">
        <f t="shared" si="5"/>
        <v>1243</v>
      </c>
      <c r="N16" s="128">
        <f t="shared" si="6"/>
        <v>425.64</v>
      </c>
      <c r="O16" s="129">
        <f t="shared" si="7"/>
        <v>447.48</v>
      </c>
      <c r="P16" s="129">
        <f t="shared" si="8"/>
        <v>447.48</v>
      </c>
      <c r="Q16" s="129">
        <f t="shared" si="9"/>
        <v>600.12</v>
      </c>
      <c r="R16" s="129">
        <f t="shared" si="10"/>
        <v>513.6</v>
      </c>
      <c r="S16" s="130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6">
      <c r="A17" s="148">
        <f t="shared" si="12"/>
        <v>70</v>
      </c>
      <c r="B17" s="128">
        <v>1407</v>
      </c>
      <c r="C17" s="129">
        <v>1243</v>
      </c>
      <c r="D17" s="129">
        <v>2140</v>
      </c>
      <c r="E17" s="130">
        <v>3334</v>
      </c>
      <c r="G17" s="128">
        <f t="shared" si="0"/>
        <v>1773.5</v>
      </c>
      <c r="H17" s="129">
        <f t="shared" si="1"/>
        <v>1243</v>
      </c>
      <c r="I17" s="129">
        <f t="shared" si="2"/>
        <v>1243</v>
      </c>
      <c r="J17" s="129">
        <f t="shared" si="3"/>
        <v>3334</v>
      </c>
      <c r="K17" s="129">
        <f t="shared" si="4"/>
        <v>2140</v>
      </c>
      <c r="L17" s="130">
        <f t="shared" si="5"/>
        <v>1243</v>
      </c>
      <c r="N17" s="128">
        <f t="shared" si="6"/>
        <v>496.58</v>
      </c>
      <c r="O17" s="129">
        <f t="shared" si="7"/>
        <v>522.05999999999995</v>
      </c>
      <c r="P17" s="129">
        <f t="shared" si="8"/>
        <v>522.05999999999995</v>
      </c>
      <c r="Q17" s="129">
        <f t="shared" si="9"/>
        <v>700.14</v>
      </c>
      <c r="R17" s="129">
        <f t="shared" si="10"/>
        <v>599.20000000000005</v>
      </c>
      <c r="S17" s="130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6">
      <c r="A18" s="148">
        <f t="shared" si="12"/>
        <v>80</v>
      </c>
      <c r="B18" s="128">
        <v>3479</v>
      </c>
      <c r="C18" s="129">
        <v>1243</v>
      </c>
      <c r="D18" s="129">
        <v>4330</v>
      </c>
      <c r="E18" s="130">
        <v>5634</v>
      </c>
      <c r="G18" s="128">
        <f t="shared" si="0"/>
        <v>3904.5</v>
      </c>
      <c r="H18" s="129">
        <f t="shared" si="1"/>
        <v>1243</v>
      </c>
      <c r="I18" s="129">
        <f t="shared" si="2"/>
        <v>1243</v>
      </c>
      <c r="J18" s="129">
        <f t="shared" si="3"/>
        <v>5634</v>
      </c>
      <c r="K18" s="129">
        <f t="shared" si="4"/>
        <v>4330</v>
      </c>
      <c r="L18" s="130">
        <f t="shared" si="5"/>
        <v>1243</v>
      </c>
      <c r="N18" s="128">
        <f t="shared" si="6"/>
        <v>1249.44</v>
      </c>
      <c r="O18" s="129">
        <f t="shared" si="7"/>
        <v>596.64</v>
      </c>
      <c r="P18" s="129">
        <f t="shared" si="8"/>
        <v>596.64</v>
      </c>
      <c r="Q18" s="129">
        <f t="shared" si="9"/>
        <v>1352.16</v>
      </c>
      <c r="R18" s="129">
        <f t="shared" si="10"/>
        <v>1385.6</v>
      </c>
      <c r="S18" s="130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6">
      <c r="A19" s="148">
        <f t="shared" si="12"/>
        <v>90</v>
      </c>
      <c r="B19" s="128">
        <v>3479</v>
      </c>
      <c r="C19" s="129">
        <v>1243</v>
      </c>
      <c r="D19" s="129">
        <v>4330</v>
      </c>
      <c r="E19" s="130">
        <v>5634</v>
      </c>
      <c r="G19" s="128">
        <f t="shared" si="0"/>
        <v>3904.5</v>
      </c>
      <c r="H19" s="129">
        <f t="shared" si="1"/>
        <v>1243</v>
      </c>
      <c r="I19" s="129">
        <f t="shared" si="2"/>
        <v>1243</v>
      </c>
      <c r="J19" s="129">
        <f t="shared" si="3"/>
        <v>5634</v>
      </c>
      <c r="K19" s="129">
        <f t="shared" si="4"/>
        <v>4330</v>
      </c>
      <c r="L19" s="130">
        <f t="shared" si="5"/>
        <v>1243</v>
      </c>
      <c r="N19" s="128">
        <f t="shared" si="6"/>
        <v>1405.62</v>
      </c>
      <c r="O19" s="129">
        <f t="shared" si="7"/>
        <v>671.22</v>
      </c>
      <c r="P19" s="129">
        <f t="shared" si="8"/>
        <v>671.22</v>
      </c>
      <c r="Q19" s="129">
        <f t="shared" si="9"/>
        <v>1521.18</v>
      </c>
      <c r="R19" s="129">
        <f t="shared" si="10"/>
        <v>1558.8</v>
      </c>
      <c r="S19" s="130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6">
      <c r="A20" s="148">
        <f t="shared" si="12"/>
        <v>100</v>
      </c>
      <c r="B20" s="128">
        <v>3479</v>
      </c>
      <c r="C20" s="129">
        <v>1243</v>
      </c>
      <c r="D20" s="129">
        <v>4330</v>
      </c>
      <c r="E20" s="130">
        <v>5634</v>
      </c>
      <c r="G20" s="128">
        <f t="shared" si="0"/>
        <v>3904.5</v>
      </c>
      <c r="H20" s="129">
        <f t="shared" si="1"/>
        <v>1243</v>
      </c>
      <c r="I20" s="129">
        <f t="shared" si="2"/>
        <v>1243</v>
      </c>
      <c r="J20" s="129">
        <f t="shared" si="3"/>
        <v>5634</v>
      </c>
      <c r="K20" s="129">
        <f t="shared" si="4"/>
        <v>4330</v>
      </c>
      <c r="L20" s="130">
        <f t="shared" si="5"/>
        <v>1243</v>
      </c>
      <c r="N20" s="128">
        <f t="shared" si="6"/>
        <v>1561.8</v>
      </c>
      <c r="O20" s="129">
        <f t="shared" si="7"/>
        <v>745.8</v>
      </c>
      <c r="P20" s="129">
        <f t="shared" si="8"/>
        <v>745.8</v>
      </c>
      <c r="Q20" s="129">
        <f t="shared" si="9"/>
        <v>1690.2</v>
      </c>
      <c r="R20" s="129">
        <f t="shared" si="10"/>
        <v>1732</v>
      </c>
      <c r="S20" s="130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6">
      <c r="A21" s="148">
        <f t="shared" si="12"/>
        <v>110</v>
      </c>
      <c r="B21" s="128">
        <v>3479</v>
      </c>
      <c r="C21" s="129">
        <v>1243</v>
      </c>
      <c r="D21" s="129">
        <v>4330</v>
      </c>
      <c r="E21" s="130">
        <v>5634</v>
      </c>
      <c r="G21" s="128">
        <f t="shared" si="0"/>
        <v>3904.5</v>
      </c>
      <c r="H21" s="129">
        <f t="shared" si="1"/>
        <v>1243</v>
      </c>
      <c r="I21" s="129">
        <f t="shared" si="2"/>
        <v>1243</v>
      </c>
      <c r="J21" s="129">
        <f t="shared" si="3"/>
        <v>5634</v>
      </c>
      <c r="K21" s="129">
        <f t="shared" si="4"/>
        <v>4330</v>
      </c>
      <c r="L21" s="130">
        <f t="shared" si="5"/>
        <v>1243</v>
      </c>
      <c r="N21" s="128">
        <f t="shared" si="6"/>
        <v>1717.98</v>
      </c>
      <c r="O21" s="129">
        <f t="shared" si="7"/>
        <v>820.38</v>
      </c>
      <c r="P21" s="129">
        <f t="shared" si="8"/>
        <v>820.38</v>
      </c>
      <c r="Q21" s="129">
        <f t="shared" si="9"/>
        <v>1859.22</v>
      </c>
      <c r="R21" s="129">
        <f t="shared" si="10"/>
        <v>1905.2</v>
      </c>
      <c r="S21" s="130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6">
      <c r="A22" s="149">
        <f t="shared" si="12"/>
        <v>120</v>
      </c>
      <c r="B22" s="135">
        <v>3892</v>
      </c>
      <c r="C22" s="136">
        <v>1874</v>
      </c>
      <c r="D22" s="136">
        <v>4330</v>
      </c>
      <c r="E22" s="137">
        <v>6379</v>
      </c>
      <c r="G22" s="135">
        <f t="shared" si="0"/>
        <v>4111</v>
      </c>
      <c r="H22" s="136">
        <f t="shared" si="1"/>
        <v>1874</v>
      </c>
      <c r="I22" s="136">
        <f t="shared" si="2"/>
        <v>1874</v>
      </c>
      <c r="J22" s="136">
        <f t="shared" si="3"/>
        <v>6379</v>
      </c>
      <c r="K22" s="136">
        <f t="shared" si="4"/>
        <v>4330</v>
      </c>
      <c r="L22" s="137">
        <f t="shared" si="5"/>
        <v>1874</v>
      </c>
      <c r="N22" s="135">
        <f t="shared" si="6"/>
        <v>1973.28</v>
      </c>
      <c r="O22" s="136">
        <f t="shared" si="7"/>
        <v>1349.28</v>
      </c>
      <c r="P22" s="136">
        <f t="shared" si="8"/>
        <v>1349.28</v>
      </c>
      <c r="Q22" s="136">
        <f t="shared" si="9"/>
        <v>2296.44</v>
      </c>
      <c r="R22" s="136">
        <f t="shared" si="10"/>
        <v>2078.4</v>
      </c>
      <c r="S22" s="137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6">
      <c r="A23" s="149">
        <f t="shared" si="12"/>
        <v>130</v>
      </c>
      <c r="B23" s="135">
        <v>3892</v>
      </c>
      <c r="C23" s="136">
        <v>1874</v>
      </c>
      <c r="D23" s="136">
        <v>4330</v>
      </c>
      <c r="E23" s="137">
        <v>6379</v>
      </c>
      <c r="G23" s="135">
        <f t="shared" si="0"/>
        <v>4111</v>
      </c>
      <c r="H23" s="136">
        <f t="shared" si="1"/>
        <v>1874</v>
      </c>
      <c r="I23" s="136">
        <f t="shared" si="2"/>
        <v>1874</v>
      </c>
      <c r="J23" s="136">
        <f t="shared" si="3"/>
        <v>6379</v>
      </c>
      <c r="K23" s="136">
        <f t="shared" si="4"/>
        <v>4330</v>
      </c>
      <c r="L23" s="137">
        <f t="shared" si="5"/>
        <v>1874</v>
      </c>
      <c r="N23" s="128">
        <f t="shared" si="6"/>
        <v>2137.7199999999998</v>
      </c>
      <c r="O23" s="129">
        <f t="shared" si="7"/>
        <v>1461.72</v>
      </c>
      <c r="P23" s="129">
        <f t="shared" si="8"/>
        <v>1461.72</v>
      </c>
      <c r="Q23" s="129">
        <f t="shared" si="9"/>
        <v>2487.81</v>
      </c>
      <c r="R23" s="129">
        <f t="shared" si="10"/>
        <v>2251.6</v>
      </c>
      <c r="S23" s="130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6">
      <c r="A24" s="149">
        <f t="shared" si="12"/>
        <v>140</v>
      </c>
      <c r="B24" s="135">
        <v>3892</v>
      </c>
      <c r="C24" s="136">
        <v>1874</v>
      </c>
      <c r="D24" s="136">
        <v>4330</v>
      </c>
      <c r="E24" s="137">
        <v>6379</v>
      </c>
      <c r="G24" s="135">
        <f t="shared" si="0"/>
        <v>4111</v>
      </c>
      <c r="H24" s="136">
        <f t="shared" si="1"/>
        <v>1874</v>
      </c>
      <c r="I24" s="136">
        <f t="shared" si="2"/>
        <v>1874</v>
      </c>
      <c r="J24" s="136">
        <f t="shared" si="3"/>
        <v>6379</v>
      </c>
      <c r="K24" s="136">
        <f t="shared" si="4"/>
        <v>4330</v>
      </c>
      <c r="L24" s="137">
        <f t="shared" si="5"/>
        <v>1874</v>
      </c>
      <c r="N24" s="135">
        <f t="shared" si="6"/>
        <v>2302.16</v>
      </c>
      <c r="O24" s="136">
        <f t="shared" si="7"/>
        <v>1574.16</v>
      </c>
      <c r="P24" s="136">
        <f t="shared" si="8"/>
        <v>1574.16</v>
      </c>
      <c r="Q24" s="136">
        <f t="shared" si="9"/>
        <v>2679.18</v>
      </c>
      <c r="R24" s="136">
        <f t="shared" si="10"/>
        <v>2424.8000000000002</v>
      </c>
      <c r="S24" s="137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6">
      <c r="A25" s="149">
        <f t="shared" si="12"/>
        <v>150</v>
      </c>
      <c r="B25" s="135">
        <v>3892</v>
      </c>
      <c r="C25" s="136">
        <v>1874</v>
      </c>
      <c r="D25" s="136">
        <v>4330</v>
      </c>
      <c r="E25" s="137">
        <v>6379</v>
      </c>
      <c r="G25" s="135">
        <f t="shared" si="0"/>
        <v>4111</v>
      </c>
      <c r="H25" s="136">
        <f t="shared" si="1"/>
        <v>1874</v>
      </c>
      <c r="I25" s="136">
        <f t="shared" si="2"/>
        <v>1874</v>
      </c>
      <c r="J25" s="136">
        <f t="shared" si="3"/>
        <v>6379</v>
      </c>
      <c r="K25" s="136">
        <f t="shared" si="4"/>
        <v>4330</v>
      </c>
      <c r="L25" s="137">
        <f t="shared" si="5"/>
        <v>1874</v>
      </c>
      <c r="N25" s="135">
        <f t="shared" si="6"/>
        <v>2466.6</v>
      </c>
      <c r="O25" s="136">
        <f t="shared" si="7"/>
        <v>1686.6</v>
      </c>
      <c r="P25" s="136">
        <f t="shared" si="8"/>
        <v>1686.6</v>
      </c>
      <c r="Q25" s="136">
        <f t="shared" si="9"/>
        <v>2870.55</v>
      </c>
      <c r="R25" s="136">
        <f t="shared" si="10"/>
        <v>2598</v>
      </c>
      <c r="S25" s="137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6">
      <c r="A26" s="149">
        <f t="shared" si="12"/>
        <v>160</v>
      </c>
      <c r="B26" s="135">
        <v>5022</v>
      </c>
      <c r="C26" s="136">
        <v>1874</v>
      </c>
      <c r="D26" s="136">
        <v>6112</v>
      </c>
      <c r="E26" s="137">
        <v>7118</v>
      </c>
      <c r="G26" s="135">
        <f t="shared" si="0"/>
        <v>5567</v>
      </c>
      <c r="H26" s="136">
        <f t="shared" si="1"/>
        <v>1874</v>
      </c>
      <c r="I26" s="136">
        <f t="shared" si="2"/>
        <v>1874</v>
      </c>
      <c r="J26" s="136">
        <f t="shared" si="3"/>
        <v>7118</v>
      </c>
      <c r="K26" s="136">
        <f t="shared" si="4"/>
        <v>6112</v>
      </c>
      <c r="L26" s="137">
        <f t="shared" si="5"/>
        <v>1874</v>
      </c>
      <c r="N26" s="135">
        <f t="shared" si="6"/>
        <v>3562.88</v>
      </c>
      <c r="O26" s="136">
        <f t="shared" si="7"/>
        <v>1799.04</v>
      </c>
      <c r="P26" s="136">
        <f t="shared" si="8"/>
        <v>1799.04</v>
      </c>
      <c r="Q26" s="136">
        <f t="shared" si="9"/>
        <v>3416.64</v>
      </c>
      <c r="R26" s="136">
        <f t="shared" si="10"/>
        <v>3911.68</v>
      </c>
      <c r="S26" s="137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6">
      <c r="A27" s="149">
        <f t="shared" si="12"/>
        <v>170</v>
      </c>
      <c r="B27" s="135">
        <v>5022</v>
      </c>
      <c r="C27" s="136">
        <v>1874</v>
      </c>
      <c r="D27" s="136">
        <v>6112</v>
      </c>
      <c r="E27" s="137">
        <v>7118</v>
      </c>
      <c r="G27" s="135">
        <f t="shared" si="0"/>
        <v>5567</v>
      </c>
      <c r="H27" s="136">
        <f t="shared" si="1"/>
        <v>1874</v>
      </c>
      <c r="I27" s="136">
        <f t="shared" si="2"/>
        <v>1874</v>
      </c>
      <c r="J27" s="136">
        <f t="shared" si="3"/>
        <v>7118</v>
      </c>
      <c r="K27" s="136">
        <f t="shared" si="4"/>
        <v>6112</v>
      </c>
      <c r="L27" s="137">
        <f t="shared" si="5"/>
        <v>1874</v>
      </c>
      <c r="N27" s="135">
        <f t="shared" si="6"/>
        <v>3785.56</v>
      </c>
      <c r="O27" s="136">
        <f t="shared" si="7"/>
        <v>1911.48</v>
      </c>
      <c r="P27" s="136">
        <f t="shared" si="8"/>
        <v>1911.48</v>
      </c>
      <c r="Q27" s="136">
        <f t="shared" si="9"/>
        <v>3630.18</v>
      </c>
      <c r="R27" s="136">
        <f t="shared" si="10"/>
        <v>4156.16</v>
      </c>
      <c r="S27" s="137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6">
      <c r="A28" s="149">
        <f t="shared" si="12"/>
        <v>180</v>
      </c>
      <c r="B28" s="135">
        <v>5022</v>
      </c>
      <c r="C28" s="136">
        <v>2580</v>
      </c>
      <c r="D28" s="136">
        <v>6112</v>
      </c>
      <c r="E28" s="137">
        <v>7118</v>
      </c>
      <c r="G28" s="135">
        <f t="shared" si="0"/>
        <v>5567</v>
      </c>
      <c r="H28" s="136">
        <f t="shared" si="1"/>
        <v>2580</v>
      </c>
      <c r="I28" s="136">
        <f t="shared" si="2"/>
        <v>2580</v>
      </c>
      <c r="J28" s="136">
        <f t="shared" si="3"/>
        <v>7118</v>
      </c>
      <c r="K28" s="136">
        <f t="shared" si="4"/>
        <v>6112</v>
      </c>
      <c r="L28" s="137">
        <f t="shared" si="5"/>
        <v>2580</v>
      </c>
      <c r="N28" s="135">
        <f t="shared" si="6"/>
        <v>4008.24</v>
      </c>
      <c r="O28" s="136">
        <f t="shared" si="7"/>
        <v>2786.4</v>
      </c>
      <c r="P28" s="136">
        <f t="shared" si="8"/>
        <v>2786.4</v>
      </c>
      <c r="Q28" s="136">
        <f t="shared" si="9"/>
        <v>3843.72</v>
      </c>
      <c r="R28" s="136">
        <f t="shared" si="10"/>
        <v>4400.6400000000003</v>
      </c>
      <c r="S28" s="137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6">
      <c r="A29" s="149">
        <f t="shared" si="12"/>
        <v>190</v>
      </c>
      <c r="B29" s="135">
        <v>5022</v>
      </c>
      <c r="C29" s="136">
        <v>2580</v>
      </c>
      <c r="D29" s="136">
        <v>6112</v>
      </c>
      <c r="E29" s="137">
        <v>7118</v>
      </c>
      <c r="G29" s="135">
        <f t="shared" si="0"/>
        <v>5567</v>
      </c>
      <c r="H29" s="136">
        <f t="shared" si="1"/>
        <v>2580</v>
      </c>
      <c r="I29" s="136">
        <f t="shared" si="2"/>
        <v>2580</v>
      </c>
      <c r="J29" s="136">
        <f t="shared" si="3"/>
        <v>7118</v>
      </c>
      <c r="K29" s="136">
        <f t="shared" si="4"/>
        <v>6112</v>
      </c>
      <c r="L29" s="137">
        <f t="shared" si="5"/>
        <v>2580</v>
      </c>
      <c r="N29" s="135">
        <f t="shared" si="6"/>
        <v>4230.92</v>
      </c>
      <c r="O29" s="136">
        <f t="shared" si="7"/>
        <v>2941.2</v>
      </c>
      <c r="P29" s="136">
        <f t="shared" si="8"/>
        <v>2941.2</v>
      </c>
      <c r="Q29" s="136">
        <f t="shared" si="9"/>
        <v>4057.26</v>
      </c>
      <c r="R29" s="136">
        <f t="shared" si="10"/>
        <v>4645.12</v>
      </c>
      <c r="S29" s="137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6">
      <c r="A30" s="149">
        <f t="shared" si="12"/>
        <v>200</v>
      </c>
      <c r="B30" s="135">
        <v>5022</v>
      </c>
      <c r="C30" s="136">
        <v>2580</v>
      </c>
      <c r="D30" s="136">
        <v>6112</v>
      </c>
      <c r="E30" s="137">
        <v>7118</v>
      </c>
      <c r="G30" s="135">
        <f t="shared" si="0"/>
        <v>5567</v>
      </c>
      <c r="H30" s="136">
        <f t="shared" si="1"/>
        <v>2580</v>
      </c>
      <c r="I30" s="136">
        <f t="shared" si="2"/>
        <v>2580</v>
      </c>
      <c r="J30" s="136">
        <f t="shared" si="3"/>
        <v>7118</v>
      </c>
      <c r="K30" s="136">
        <f t="shared" si="4"/>
        <v>6112</v>
      </c>
      <c r="L30" s="137">
        <f t="shared" si="5"/>
        <v>2580</v>
      </c>
      <c r="N30" s="135">
        <f t="shared" si="6"/>
        <v>4453.6000000000004</v>
      </c>
      <c r="O30" s="136">
        <f t="shared" si="7"/>
        <v>3096</v>
      </c>
      <c r="P30" s="136">
        <f t="shared" si="8"/>
        <v>3096</v>
      </c>
      <c r="Q30" s="136">
        <f t="shared" si="9"/>
        <v>4270.8</v>
      </c>
      <c r="R30" s="136">
        <f t="shared" si="10"/>
        <v>4889.6000000000004</v>
      </c>
      <c r="S30" s="137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6">
      <c r="A31" s="149">
        <f t="shared" si="12"/>
        <v>210</v>
      </c>
      <c r="B31" s="135">
        <v>5022</v>
      </c>
      <c r="C31" s="136">
        <v>2580</v>
      </c>
      <c r="D31" s="136">
        <v>6112</v>
      </c>
      <c r="E31" s="137">
        <v>7118</v>
      </c>
      <c r="G31" s="135">
        <f t="shared" si="0"/>
        <v>5567</v>
      </c>
      <c r="H31" s="136">
        <f t="shared" si="1"/>
        <v>2580</v>
      </c>
      <c r="I31" s="136">
        <f t="shared" si="2"/>
        <v>2580</v>
      </c>
      <c r="J31" s="136">
        <f t="shared" si="3"/>
        <v>7118</v>
      </c>
      <c r="K31" s="136">
        <f t="shared" si="4"/>
        <v>6112</v>
      </c>
      <c r="L31" s="137">
        <f t="shared" si="5"/>
        <v>2580</v>
      </c>
      <c r="N31" s="135">
        <f t="shared" si="6"/>
        <v>4676.28</v>
      </c>
      <c r="O31" s="136">
        <f t="shared" si="7"/>
        <v>3250.8</v>
      </c>
      <c r="P31" s="136">
        <f t="shared" si="8"/>
        <v>3250.8</v>
      </c>
      <c r="Q31" s="136">
        <f t="shared" si="9"/>
        <v>4484.34</v>
      </c>
      <c r="R31" s="136">
        <f t="shared" si="10"/>
        <v>5134.08</v>
      </c>
      <c r="S31" s="137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6">
      <c r="A32" s="149">
        <f t="shared" si="12"/>
        <v>220</v>
      </c>
      <c r="B32" s="135">
        <v>5022</v>
      </c>
      <c r="C32" s="136">
        <v>2580</v>
      </c>
      <c r="D32" s="136">
        <v>6112</v>
      </c>
      <c r="E32" s="137">
        <v>7118</v>
      </c>
      <c r="G32" s="135">
        <f t="shared" si="0"/>
        <v>5567</v>
      </c>
      <c r="H32" s="136">
        <f t="shared" si="1"/>
        <v>2580</v>
      </c>
      <c r="I32" s="136">
        <f t="shared" si="2"/>
        <v>2580</v>
      </c>
      <c r="J32" s="136">
        <f t="shared" si="3"/>
        <v>7118</v>
      </c>
      <c r="K32" s="136">
        <f t="shared" si="4"/>
        <v>6112</v>
      </c>
      <c r="L32" s="137">
        <f t="shared" si="5"/>
        <v>2580</v>
      </c>
      <c r="N32" s="135">
        <f t="shared" si="6"/>
        <v>4898.96</v>
      </c>
      <c r="O32" s="136">
        <f t="shared" si="7"/>
        <v>3405.6</v>
      </c>
      <c r="P32" s="136">
        <f t="shared" si="8"/>
        <v>3405.6</v>
      </c>
      <c r="Q32" s="136">
        <f t="shared" si="9"/>
        <v>4697.88</v>
      </c>
      <c r="R32" s="136">
        <f t="shared" si="10"/>
        <v>5378.56</v>
      </c>
      <c r="S32" s="137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6">
      <c r="A33" s="149">
        <f t="shared" si="12"/>
        <v>230</v>
      </c>
      <c r="B33" s="135">
        <v>5022</v>
      </c>
      <c r="C33" s="136">
        <v>2580</v>
      </c>
      <c r="D33" s="136">
        <v>6112</v>
      </c>
      <c r="E33" s="137">
        <v>7118</v>
      </c>
      <c r="G33" s="135">
        <f t="shared" si="0"/>
        <v>5567</v>
      </c>
      <c r="H33" s="136">
        <f t="shared" si="1"/>
        <v>2580</v>
      </c>
      <c r="I33" s="136">
        <f t="shared" si="2"/>
        <v>2580</v>
      </c>
      <c r="J33" s="136">
        <f t="shared" si="3"/>
        <v>7118</v>
      </c>
      <c r="K33" s="136">
        <f t="shared" si="4"/>
        <v>6112</v>
      </c>
      <c r="L33" s="137">
        <f t="shared" si="5"/>
        <v>2580</v>
      </c>
      <c r="N33" s="135">
        <f t="shared" si="6"/>
        <v>5121.6400000000003</v>
      </c>
      <c r="O33" s="136">
        <f t="shared" si="7"/>
        <v>3560.4</v>
      </c>
      <c r="P33" s="136">
        <f t="shared" si="8"/>
        <v>3560.4</v>
      </c>
      <c r="Q33" s="136">
        <f t="shared" si="9"/>
        <v>4911.42</v>
      </c>
      <c r="R33" s="136">
        <f t="shared" si="10"/>
        <v>5623.04</v>
      </c>
      <c r="S33" s="137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6">
      <c r="A34" s="149">
        <f t="shared" si="12"/>
        <v>240</v>
      </c>
      <c r="B34" s="135">
        <v>5265</v>
      </c>
      <c r="C34" s="136">
        <v>3137</v>
      </c>
      <c r="D34" s="136">
        <v>6393</v>
      </c>
      <c r="E34" s="137">
        <v>9120</v>
      </c>
      <c r="G34" s="135">
        <f t="shared" si="0"/>
        <v>5829</v>
      </c>
      <c r="H34" s="136">
        <f t="shared" si="1"/>
        <v>3137</v>
      </c>
      <c r="I34" s="136">
        <f t="shared" si="2"/>
        <v>3137</v>
      </c>
      <c r="J34" s="136">
        <f t="shared" si="3"/>
        <v>9120</v>
      </c>
      <c r="K34" s="136">
        <f t="shared" si="4"/>
        <v>6393</v>
      </c>
      <c r="L34" s="137">
        <f t="shared" si="5"/>
        <v>3137</v>
      </c>
      <c r="N34" s="135">
        <f t="shared" si="6"/>
        <v>5595.84</v>
      </c>
      <c r="O34" s="136">
        <f t="shared" si="7"/>
        <v>4517.28</v>
      </c>
      <c r="P34" s="136">
        <f t="shared" si="8"/>
        <v>4517.28</v>
      </c>
      <c r="Q34" s="136">
        <f t="shared" si="9"/>
        <v>6566.4</v>
      </c>
      <c r="R34" s="136">
        <f t="shared" si="10"/>
        <v>6137.28</v>
      </c>
      <c r="S34" s="137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2" thickBot="1">
      <c r="A35" s="150">
        <f t="shared" si="12"/>
        <v>250</v>
      </c>
      <c r="B35" s="131">
        <v>5265</v>
      </c>
      <c r="C35" s="132">
        <v>3137</v>
      </c>
      <c r="D35" s="132">
        <v>6393</v>
      </c>
      <c r="E35" s="133">
        <v>9120</v>
      </c>
      <c r="G35" s="131">
        <f t="shared" si="0"/>
        <v>5829</v>
      </c>
      <c r="H35" s="132">
        <f t="shared" si="1"/>
        <v>3137</v>
      </c>
      <c r="I35" s="132">
        <f t="shared" si="2"/>
        <v>3137</v>
      </c>
      <c r="J35" s="132">
        <f t="shared" si="3"/>
        <v>9120</v>
      </c>
      <c r="K35" s="132">
        <f t="shared" si="4"/>
        <v>6393</v>
      </c>
      <c r="L35" s="133">
        <f t="shared" si="5"/>
        <v>3137</v>
      </c>
      <c r="N35" s="138">
        <f t="shared" si="6"/>
        <v>5829</v>
      </c>
      <c r="O35" s="139">
        <f t="shared" si="7"/>
        <v>4705.5</v>
      </c>
      <c r="P35" s="139">
        <f t="shared" si="8"/>
        <v>4705.5</v>
      </c>
      <c r="Q35" s="139">
        <f t="shared" si="9"/>
        <v>6840</v>
      </c>
      <c r="R35" s="139">
        <f t="shared" si="10"/>
        <v>6393</v>
      </c>
      <c r="S35" s="140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6">
      <c r="A37" s="113"/>
      <c r="B37" s="113"/>
      <c r="C37" s="113"/>
      <c r="D37" s="113"/>
      <c r="E37" s="113"/>
      <c r="F37" s="113"/>
      <c r="G37" s="22"/>
      <c r="H37" s="113"/>
      <c r="I37" s="113"/>
      <c r="J37" s="113"/>
      <c r="K37" s="113"/>
      <c r="L37" s="113"/>
      <c r="M37" s="113"/>
      <c r="N37" s="22"/>
      <c r="O37" s="113"/>
      <c r="P37" s="113"/>
      <c r="Q37" s="113"/>
      <c r="R37" s="113"/>
      <c r="S37" s="113"/>
      <c r="T37" s="113"/>
      <c r="U37" s="113"/>
      <c r="V37" s="113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2000-06-19T16:16:49Z</cp:lastPrinted>
  <dcterms:created xsi:type="dcterms:W3CDTF">1999-04-02T01:38:38Z</dcterms:created>
  <dcterms:modified xsi:type="dcterms:W3CDTF">2023-09-10T11:55:17Z</dcterms:modified>
</cp:coreProperties>
</file>