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6"/>
  </bookViews>
  <sheets>
    <sheet name="WE Prices" sheetId="1" r:id="rId1"/>
    <sheet name="Oct Data" sheetId="2" r:id="rId2"/>
    <sheet name="Nov Data" sheetId="5" r:id="rId3"/>
    <sheet name="Dec Data" sheetId="7" r:id="rId4"/>
    <sheet name="Oct DA" sheetId="4" r:id="rId5"/>
    <sheet name="Nov DA" sheetId="6" r:id="rId6"/>
    <sheet name="Dec DA" sheetId="8" r:id="rId7"/>
  </sheets>
  <definedNames>
    <definedName name="_xlnm.Print_Area" localSheetId="6">'Dec DA'!$A$1:$Y$49</definedName>
    <definedName name="_xlnm.Print_Area" localSheetId="3">'Dec Data'!$A$1:$X$49</definedName>
    <definedName name="_xlnm.Print_Area" localSheetId="5">'Nov DA'!$A$1:$Y$49</definedName>
    <definedName name="_xlnm.Print_Area" localSheetId="2">'Nov Data'!$A$1:$X$49</definedName>
    <definedName name="_xlnm.Print_Area" localSheetId="4">'Oct DA'!$A$1:$Y$47</definedName>
    <definedName name="_xlnm.Print_Area" localSheetId="1">'Oct Data'!$A$1:$X$47</definedName>
  </definedNames>
  <calcPr calcId="92512"/>
</workbook>
</file>

<file path=xl/calcChain.xml><?xml version="1.0" encoding="utf-8"?>
<calcChain xmlns="http://schemas.openxmlformats.org/spreadsheetml/2006/main">
  <c r="L7" i="8" l="1"/>
  <c r="N7" i="8"/>
  <c r="P7" i="8"/>
  <c r="R7" i="8"/>
  <c r="T7" i="8"/>
  <c r="V7" i="8"/>
  <c r="X7" i="8"/>
  <c r="A8" i="8"/>
  <c r="D8" i="8"/>
  <c r="F8" i="8"/>
  <c r="H8" i="8"/>
  <c r="L8" i="8"/>
  <c r="N8" i="8"/>
  <c r="P8" i="8"/>
  <c r="R8" i="8"/>
  <c r="T8" i="8"/>
  <c r="V8" i="8"/>
  <c r="X8" i="8"/>
  <c r="A9" i="8"/>
  <c r="D9" i="8"/>
  <c r="F9" i="8"/>
  <c r="H9" i="8"/>
  <c r="L9" i="8"/>
  <c r="N9" i="8"/>
  <c r="P9" i="8"/>
  <c r="R9" i="8"/>
  <c r="T9" i="8"/>
  <c r="V9" i="8"/>
  <c r="X9" i="8"/>
  <c r="A10" i="8"/>
  <c r="D10" i="8"/>
  <c r="F10" i="8"/>
  <c r="H10" i="8"/>
  <c r="L10" i="8"/>
  <c r="N10" i="8"/>
  <c r="P10" i="8"/>
  <c r="R10" i="8"/>
  <c r="T10" i="8"/>
  <c r="V10" i="8"/>
  <c r="X10" i="8"/>
  <c r="A11" i="8"/>
  <c r="D11" i="8"/>
  <c r="F11" i="8"/>
  <c r="H11" i="8"/>
  <c r="L11" i="8"/>
  <c r="N11" i="8"/>
  <c r="P11" i="8"/>
  <c r="R11" i="8"/>
  <c r="T11" i="8"/>
  <c r="V11" i="8"/>
  <c r="X11" i="8"/>
  <c r="A12" i="8"/>
  <c r="D12" i="8"/>
  <c r="F12" i="8"/>
  <c r="H12" i="8"/>
  <c r="L12" i="8"/>
  <c r="N12" i="8"/>
  <c r="P12" i="8"/>
  <c r="R12" i="8"/>
  <c r="T12" i="8"/>
  <c r="V12" i="8"/>
  <c r="X12" i="8"/>
  <c r="A13" i="8"/>
  <c r="L13" i="8"/>
  <c r="P13" i="8"/>
  <c r="T13" i="8"/>
  <c r="X13" i="8"/>
  <c r="A14" i="8"/>
  <c r="L14" i="8"/>
  <c r="P14" i="8"/>
  <c r="T14" i="8"/>
  <c r="X14" i="8"/>
  <c r="A15" i="8"/>
  <c r="L15" i="8"/>
  <c r="P15" i="8"/>
  <c r="T15" i="8"/>
  <c r="X15" i="8"/>
  <c r="A16" i="8"/>
  <c r="L16" i="8"/>
  <c r="P16" i="8"/>
  <c r="T16" i="8"/>
  <c r="X16" i="8"/>
  <c r="A17" i="8"/>
  <c r="L17" i="8"/>
  <c r="P17" i="8"/>
  <c r="T17" i="8"/>
  <c r="X17" i="8"/>
  <c r="A18" i="8"/>
  <c r="L18" i="8"/>
  <c r="P18" i="8"/>
  <c r="T18" i="8"/>
  <c r="X18" i="8"/>
  <c r="A19" i="8"/>
  <c r="L19" i="8"/>
  <c r="P19" i="8"/>
  <c r="T19" i="8"/>
  <c r="X19" i="8"/>
  <c r="A20" i="8"/>
  <c r="L20" i="8"/>
  <c r="P20" i="8"/>
  <c r="T20" i="8"/>
  <c r="X20" i="8"/>
  <c r="A21" i="8"/>
  <c r="L21" i="8"/>
  <c r="A22" i="8"/>
  <c r="L22" i="8"/>
  <c r="A23" i="8"/>
  <c r="L23" i="8"/>
  <c r="A24" i="8"/>
  <c r="L24" i="8"/>
  <c r="A25" i="8"/>
  <c r="L25" i="8"/>
  <c r="A26" i="8"/>
  <c r="L26" i="8"/>
  <c r="A27" i="8"/>
  <c r="L27" i="8"/>
  <c r="A28" i="8"/>
  <c r="L28" i="8"/>
  <c r="A29" i="8"/>
  <c r="L29" i="8"/>
  <c r="A30" i="8"/>
  <c r="L30" i="8"/>
  <c r="A31" i="8"/>
  <c r="L31" i="8"/>
  <c r="A32" i="8"/>
  <c r="L32" i="8"/>
  <c r="A33" i="8"/>
  <c r="L33" i="8"/>
  <c r="A34" i="8"/>
  <c r="L34" i="8"/>
  <c r="A35" i="8"/>
  <c r="L35" i="8"/>
  <c r="A36" i="8"/>
  <c r="L36" i="8"/>
  <c r="A37" i="8"/>
  <c r="L37" i="8"/>
  <c r="A38" i="8"/>
  <c r="L38" i="8"/>
  <c r="A39" i="8"/>
  <c r="L39" i="8"/>
  <c r="A40" i="8"/>
  <c r="L40" i="8"/>
  <c r="A41" i="8"/>
  <c r="L41" i="8"/>
  <c r="L43" i="8"/>
  <c r="N43" i="8"/>
  <c r="P43" i="8"/>
  <c r="R43" i="8"/>
  <c r="T43" i="8"/>
  <c r="V43" i="8"/>
  <c r="X43" i="8"/>
  <c r="L44" i="8"/>
  <c r="L45" i="8"/>
  <c r="L46" i="8"/>
  <c r="L47" i="8"/>
  <c r="C48" i="8"/>
  <c r="D48" i="8"/>
  <c r="E48" i="8"/>
  <c r="F48" i="8"/>
  <c r="G48" i="8"/>
  <c r="H48" i="8"/>
  <c r="I48" i="8"/>
  <c r="J48" i="8"/>
  <c r="L48" i="8"/>
  <c r="N48" i="8"/>
  <c r="P48" i="8"/>
  <c r="R48" i="8"/>
  <c r="T48" i="8"/>
  <c r="U48" i="8"/>
  <c r="V48" i="8"/>
  <c r="X48" i="8"/>
  <c r="P7" i="7"/>
  <c r="R7" i="7"/>
  <c r="X7" i="7"/>
  <c r="A8" i="7"/>
  <c r="D8" i="7"/>
  <c r="F8" i="7"/>
  <c r="H8" i="7"/>
  <c r="P8" i="7"/>
  <c r="R8" i="7"/>
  <c r="S8" i="7"/>
  <c r="X8" i="7"/>
  <c r="A9" i="7"/>
  <c r="D9" i="7"/>
  <c r="F9" i="7"/>
  <c r="H9" i="7"/>
  <c r="P9" i="7"/>
  <c r="R9" i="7"/>
  <c r="S9" i="7"/>
  <c r="X9" i="7"/>
  <c r="A10" i="7"/>
  <c r="D10" i="7"/>
  <c r="F10" i="7"/>
  <c r="H10" i="7"/>
  <c r="P10" i="7"/>
  <c r="R10" i="7"/>
  <c r="S10" i="7"/>
  <c r="X10" i="7"/>
  <c r="A11" i="7"/>
  <c r="D11" i="7"/>
  <c r="F11" i="7"/>
  <c r="H11" i="7"/>
  <c r="P11" i="7"/>
  <c r="R11" i="7"/>
  <c r="S11" i="7"/>
  <c r="A12" i="7"/>
  <c r="D12" i="7"/>
  <c r="F12" i="7"/>
  <c r="H12" i="7"/>
  <c r="P12" i="7"/>
  <c r="R12" i="7"/>
  <c r="S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C48" i="7"/>
  <c r="D48" i="7"/>
  <c r="E48" i="7"/>
  <c r="F48" i="7"/>
  <c r="G48" i="7"/>
  <c r="H48" i="7"/>
  <c r="I48" i="7"/>
  <c r="J48" i="7"/>
  <c r="L48" i="7"/>
  <c r="N48" i="7"/>
  <c r="P48" i="7"/>
  <c r="R48" i="7"/>
  <c r="S48" i="7"/>
  <c r="D7" i="6"/>
  <c r="F7" i="6"/>
  <c r="H7" i="6"/>
  <c r="N7" i="6"/>
  <c r="P7" i="6"/>
  <c r="R7" i="6"/>
  <c r="T7" i="6"/>
  <c r="V7" i="6"/>
  <c r="X7" i="6"/>
  <c r="A8" i="6"/>
  <c r="D8" i="6"/>
  <c r="F8" i="6"/>
  <c r="H8" i="6"/>
  <c r="N8" i="6"/>
  <c r="P8" i="6"/>
  <c r="R8" i="6"/>
  <c r="T8" i="6"/>
  <c r="V8" i="6"/>
  <c r="X8" i="6"/>
  <c r="Z8" i="6"/>
  <c r="AA8" i="6"/>
  <c r="AB8" i="6"/>
  <c r="A9" i="6"/>
  <c r="D9" i="6"/>
  <c r="F9" i="6"/>
  <c r="H9" i="6"/>
  <c r="I9" i="6"/>
  <c r="N9" i="6"/>
  <c r="P9" i="6"/>
  <c r="R9" i="6"/>
  <c r="T9" i="6"/>
  <c r="V9" i="6"/>
  <c r="X9" i="6"/>
  <c r="Z9" i="6"/>
  <c r="AA9" i="6"/>
  <c r="AB9" i="6"/>
  <c r="A10" i="6"/>
  <c r="D10" i="6"/>
  <c r="F10" i="6"/>
  <c r="H10" i="6"/>
  <c r="I10" i="6"/>
  <c r="J10" i="6"/>
  <c r="N10" i="6"/>
  <c r="P10" i="6"/>
  <c r="R10" i="6"/>
  <c r="T10" i="6"/>
  <c r="V10" i="6"/>
  <c r="X10" i="6"/>
  <c r="Z10" i="6"/>
  <c r="AA10" i="6"/>
  <c r="AB10" i="6"/>
  <c r="A11" i="6"/>
  <c r="D11" i="6"/>
  <c r="F11" i="6"/>
  <c r="H11" i="6"/>
  <c r="I11" i="6"/>
  <c r="J11" i="6"/>
  <c r="N11" i="6"/>
  <c r="P11" i="6"/>
  <c r="R11" i="6"/>
  <c r="T11" i="6"/>
  <c r="V11" i="6"/>
  <c r="X11" i="6"/>
  <c r="Z11" i="6"/>
  <c r="AA11" i="6"/>
  <c r="AB11" i="6"/>
  <c r="A12" i="6"/>
  <c r="D12" i="6"/>
  <c r="F12" i="6"/>
  <c r="H12" i="6"/>
  <c r="I12" i="6"/>
  <c r="J12" i="6"/>
  <c r="N12" i="6"/>
  <c r="P12" i="6"/>
  <c r="R12" i="6"/>
  <c r="T12" i="6"/>
  <c r="V12" i="6"/>
  <c r="X12" i="6"/>
  <c r="Z12" i="6"/>
  <c r="AA12" i="6"/>
  <c r="AB12" i="6"/>
  <c r="A13" i="6"/>
  <c r="D13" i="6"/>
  <c r="F13" i="6"/>
  <c r="H13" i="6"/>
  <c r="I13" i="6"/>
  <c r="J13" i="6"/>
  <c r="N13" i="6"/>
  <c r="P13" i="6"/>
  <c r="R13" i="6"/>
  <c r="T13" i="6"/>
  <c r="V13" i="6"/>
  <c r="X13" i="6"/>
  <c r="Z13" i="6"/>
  <c r="AA13" i="6"/>
  <c r="AB13" i="6"/>
  <c r="A14" i="6"/>
  <c r="D14" i="6"/>
  <c r="F14" i="6"/>
  <c r="H14" i="6"/>
  <c r="I14" i="6"/>
  <c r="J14" i="6"/>
  <c r="N14" i="6"/>
  <c r="P14" i="6"/>
  <c r="R14" i="6"/>
  <c r="T14" i="6"/>
  <c r="V14" i="6"/>
  <c r="X14" i="6"/>
  <c r="Z14" i="6"/>
  <c r="AA14" i="6"/>
  <c r="AB14" i="6"/>
  <c r="A15" i="6"/>
  <c r="D15" i="6"/>
  <c r="F15" i="6"/>
  <c r="H15" i="6"/>
  <c r="I15" i="6"/>
  <c r="J15" i="6"/>
  <c r="N15" i="6"/>
  <c r="P15" i="6"/>
  <c r="R15" i="6"/>
  <c r="T15" i="6"/>
  <c r="V15" i="6"/>
  <c r="X15" i="6"/>
  <c r="Z15" i="6"/>
  <c r="AA15" i="6"/>
  <c r="AB15" i="6"/>
  <c r="A16" i="6"/>
  <c r="D16" i="6"/>
  <c r="F16" i="6"/>
  <c r="H16" i="6"/>
  <c r="I16" i="6"/>
  <c r="J16" i="6"/>
  <c r="N16" i="6"/>
  <c r="P16" i="6"/>
  <c r="R16" i="6"/>
  <c r="T16" i="6"/>
  <c r="V16" i="6"/>
  <c r="X16" i="6"/>
  <c r="Z16" i="6"/>
  <c r="AA16" i="6"/>
  <c r="AB16" i="6"/>
  <c r="A17" i="6"/>
  <c r="D17" i="6"/>
  <c r="F17" i="6"/>
  <c r="H17" i="6"/>
  <c r="I17" i="6"/>
  <c r="J17" i="6"/>
  <c r="N17" i="6"/>
  <c r="P17" i="6"/>
  <c r="R17" i="6"/>
  <c r="T17" i="6"/>
  <c r="V17" i="6"/>
  <c r="X17" i="6"/>
  <c r="Z17" i="6"/>
  <c r="AA17" i="6"/>
  <c r="AB17" i="6"/>
  <c r="A18" i="6"/>
  <c r="D18" i="6"/>
  <c r="F18" i="6"/>
  <c r="H18" i="6"/>
  <c r="I18" i="6"/>
  <c r="J18" i="6"/>
  <c r="N18" i="6"/>
  <c r="P18" i="6"/>
  <c r="R18" i="6"/>
  <c r="T18" i="6"/>
  <c r="V18" i="6"/>
  <c r="X18" i="6"/>
  <c r="Z18" i="6"/>
  <c r="AA18" i="6"/>
  <c r="AB18" i="6"/>
  <c r="A19" i="6"/>
  <c r="D19" i="6"/>
  <c r="F19" i="6"/>
  <c r="H19" i="6"/>
  <c r="I19" i="6"/>
  <c r="J19" i="6"/>
  <c r="N19" i="6"/>
  <c r="P19" i="6"/>
  <c r="R19" i="6"/>
  <c r="T19" i="6"/>
  <c r="V19" i="6"/>
  <c r="X19" i="6"/>
  <c r="Z19" i="6"/>
  <c r="AA19" i="6"/>
  <c r="AB19" i="6"/>
  <c r="A20" i="6"/>
  <c r="D20" i="6"/>
  <c r="F20" i="6"/>
  <c r="H20" i="6"/>
  <c r="I20" i="6"/>
  <c r="J20" i="6"/>
  <c r="N20" i="6"/>
  <c r="P20" i="6"/>
  <c r="R20" i="6"/>
  <c r="T20" i="6"/>
  <c r="V20" i="6"/>
  <c r="X20" i="6"/>
  <c r="Z20" i="6"/>
  <c r="AA20" i="6"/>
  <c r="AB20" i="6"/>
  <c r="A21" i="6"/>
  <c r="D21" i="6"/>
  <c r="F21" i="6"/>
  <c r="H21" i="6"/>
  <c r="I21" i="6"/>
  <c r="J21" i="6"/>
  <c r="N21" i="6"/>
  <c r="P21" i="6"/>
  <c r="R21" i="6"/>
  <c r="T21" i="6"/>
  <c r="V21" i="6"/>
  <c r="X21" i="6"/>
  <c r="Z21" i="6"/>
  <c r="AA21" i="6"/>
  <c r="AB21" i="6"/>
  <c r="A22" i="6"/>
  <c r="D22" i="6"/>
  <c r="F22" i="6"/>
  <c r="H22" i="6"/>
  <c r="I22" i="6"/>
  <c r="J22" i="6"/>
  <c r="N22" i="6"/>
  <c r="P22" i="6"/>
  <c r="R22" i="6"/>
  <c r="T22" i="6"/>
  <c r="V22" i="6"/>
  <c r="X22" i="6"/>
  <c r="Z22" i="6"/>
  <c r="AA22" i="6"/>
  <c r="AB22" i="6"/>
  <c r="A23" i="6"/>
  <c r="D23" i="6"/>
  <c r="F23" i="6"/>
  <c r="H23" i="6"/>
  <c r="I23" i="6"/>
  <c r="J23" i="6"/>
  <c r="N23" i="6"/>
  <c r="P23" i="6"/>
  <c r="R23" i="6"/>
  <c r="T23" i="6"/>
  <c r="V23" i="6"/>
  <c r="X23" i="6"/>
  <c r="Z23" i="6"/>
  <c r="AA23" i="6"/>
  <c r="AB23" i="6"/>
  <c r="A24" i="6"/>
  <c r="D24" i="6"/>
  <c r="F24" i="6"/>
  <c r="H24" i="6"/>
  <c r="I24" i="6"/>
  <c r="J24" i="6"/>
  <c r="N24" i="6"/>
  <c r="P24" i="6"/>
  <c r="R24" i="6"/>
  <c r="T24" i="6"/>
  <c r="V24" i="6"/>
  <c r="X24" i="6"/>
  <c r="Z24" i="6"/>
  <c r="AA24" i="6"/>
  <c r="AB24" i="6"/>
  <c r="A25" i="6"/>
  <c r="D25" i="6"/>
  <c r="F25" i="6"/>
  <c r="H25" i="6"/>
  <c r="I25" i="6"/>
  <c r="J25" i="6"/>
  <c r="N25" i="6"/>
  <c r="P25" i="6"/>
  <c r="R25" i="6"/>
  <c r="T25" i="6"/>
  <c r="V25" i="6"/>
  <c r="X25" i="6"/>
  <c r="Z25" i="6"/>
  <c r="AA25" i="6"/>
  <c r="AB25" i="6"/>
  <c r="A26" i="6"/>
  <c r="D26" i="6"/>
  <c r="F26" i="6"/>
  <c r="H26" i="6"/>
  <c r="I26" i="6"/>
  <c r="J26" i="6"/>
  <c r="N26" i="6"/>
  <c r="P26" i="6"/>
  <c r="R26" i="6"/>
  <c r="T26" i="6"/>
  <c r="V26" i="6"/>
  <c r="X26" i="6"/>
  <c r="Z26" i="6"/>
  <c r="AA26" i="6"/>
  <c r="AB26" i="6"/>
  <c r="A27" i="6"/>
  <c r="D27" i="6"/>
  <c r="F27" i="6"/>
  <c r="H27" i="6"/>
  <c r="I27" i="6"/>
  <c r="J27" i="6"/>
  <c r="N27" i="6"/>
  <c r="P27" i="6"/>
  <c r="R27" i="6"/>
  <c r="T27" i="6"/>
  <c r="V27" i="6"/>
  <c r="X27" i="6"/>
  <c r="Z27" i="6"/>
  <c r="AA27" i="6"/>
  <c r="AB27" i="6"/>
  <c r="A28" i="6"/>
  <c r="D28" i="6"/>
  <c r="F28" i="6"/>
  <c r="H28" i="6"/>
  <c r="I28" i="6"/>
  <c r="J28" i="6"/>
  <c r="N28" i="6"/>
  <c r="P28" i="6"/>
  <c r="R28" i="6"/>
  <c r="T28" i="6"/>
  <c r="V28" i="6"/>
  <c r="X28" i="6"/>
  <c r="Z28" i="6"/>
  <c r="AA28" i="6"/>
  <c r="AB28" i="6"/>
  <c r="A29" i="6"/>
  <c r="D29" i="6"/>
  <c r="F29" i="6"/>
  <c r="H29" i="6"/>
  <c r="I29" i="6"/>
  <c r="J29" i="6"/>
  <c r="N29" i="6"/>
  <c r="P29" i="6"/>
  <c r="R29" i="6"/>
  <c r="T29" i="6"/>
  <c r="V29" i="6"/>
  <c r="X29" i="6"/>
  <c r="Z29" i="6"/>
  <c r="AA29" i="6"/>
  <c r="AB29" i="6"/>
  <c r="A30" i="6"/>
  <c r="D30" i="6"/>
  <c r="F30" i="6"/>
  <c r="H30" i="6"/>
  <c r="I30" i="6"/>
  <c r="J30" i="6"/>
  <c r="N30" i="6"/>
  <c r="P30" i="6"/>
  <c r="R30" i="6"/>
  <c r="T30" i="6"/>
  <c r="V30" i="6"/>
  <c r="X30" i="6"/>
  <c r="Z30" i="6"/>
  <c r="AA30" i="6"/>
  <c r="AB30" i="6"/>
  <c r="A31" i="6"/>
  <c r="D31" i="6"/>
  <c r="F31" i="6"/>
  <c r="H31" i="6"/>
  <c r="I31" i="6"/>
  <c r="J31" i="6"/>
  <c r="N31" i="6"/>
  <c r="P31" i="6"/>
  <c r="R31" i="6"/>
  <c r="T31" i="6"/>
  <c r="V31" i="6"/>
  <c r="X31" i="6"/>
  <c r="Z31" i="6"/>
  <c r="AA31" i="6"/>
  <c r="AB31" i="6"/>
  <c r="A32" i="6"/>
  <c r="D32" i="6"/>
  <c r="F32" i="6"/>
  <c r="H32" i="6"/>
  <c r="N32" i="6"/>
  <c r="P32" i="6"/>
  <c r="R32" i="6"/>
  <c r="T32" i="6"/>
  <c r="V32" i="6"/>
  <c r="X32" i="6"/>
  <c r="Z32" i="6"/>
  <c r="AA32" i="6"/>
  <c r="AB32" i="6"/>
  <c r="A33" i="6"/>
  <c r="D33" i="6"/>
  <c r="F33" i="6"/>
  <c r="H33" i="6"/>
  <c r="N33" i="6"/>
  <c r="P33" i="6"/>
  <c r="R33" i="6"/>
  <c r="T33" i="6"/>
  <c r="V33" i="6"/>
  <c r="X33" i="6"/>
  <c r="Z33" i="6"/>
  <c r="AA33" i="6"/>
  <c r="AB33" i="6"/>
  <c r="A34" i="6"/>
  <c r="D34" i="6"/>
  <c r="F34" i="6"/>
  <c r="H34" i="6"/>
  <c r="L34" i="6"/>
  <c r="N34" i="6"/>
  <c r="P34" i="6"/>
  <c r="R34" i="6"/>
  <c r="T34" i="6"/>
  <c r="V34" i="6"/>
  <c r="X34" i="6"/>
  <c r="Z34" i="6"/>
  <c r="AA34" i="6"/>
  <c r="AB34" i="6"/>
  <c r="A35" i="6"/>
  <c r="D35" i="6"/>
  <c r="F35" i="6"/>
  <c r="H35" i="6"/>
  <c r="N35" i="6"/>
  <c r="P35" i="6"/>
  <c r="R35" i="6"/>
  <c r="T35" i="6"/>
  <c r="V35" i="6"/>
  <c r="X35" i="6"/>
  <c r="Z35" i="6"/>
  <c r="AA35" i="6"/>
  <c r="AB35" i="6"/>
  <c r="A36" i="6"/>
  <c r="D36" i="6"/>
  <c r="F36" i="6"/>
  <c r="H36" i="6"/>
  <c r="N36" i="6"/>
  <c r="P36" i="6"/>
  <c r="R36" i="6"/>
  <c r="T36" i="6"/>
  <c r="V36" i="6"/>
  <c r="X36" i="6"/>
  <c r="Z36" i="6"/>
  <c r="AA36" i="6"/>
  <c r="AB36" i="6"/>
  <c r="A37" i="6"/>
  <c r="D37" i="6"/>
  <c r="F37" i="6"/>
  <c r="H37" i="6"/>
  <c r="L37" i="6"/>
  <c r="N37" i="6"/>
  <c r="P37" i="6"/>
  <c r="R37" i="6"/>
  <c r="T37" i="6"/>
  <c r="V37" i="6"/>
  <c r="X37" i="6"/>
  <c r="Z37" i="6"/>
  <c r="AA37" i="6"/>
  <c r="AB37" i="6"/>
  <c r="A38" i="6"/>
  <c r="D38" i="6"/>
  <c r="F38" i="6"/>
  <c r="H38" i="6"/>
  <c r="L38" i="6"/>
  <c r="N38" i="6"/>
  <c r="P38" i="6"/>
  <c r="R38" i="6"/>
  <c r="T38" i="6"/>
  <c r="V38" i="6"/>
  <c r="X38" i="6"/>
  <c r="Z38" i="6"/>
  <c r="AA38" i="6"/>
  <c r="AB38" i="6"/>
  <c r="A39" i="6"/>
  <c r="D39" i="6"/>
  <c r="F39" i="6"/>
  <c r="H39" i="6"/>
  <c r="L39" i="6"/>
  <c r="N39" i="6"/>
  <c r="P39" i="6"/>
  <c r="R39" i="6"/>
  <c r="T39" i="6"/>
  <c r="V39" i="6"/>
  <c r="X39" i="6"/>
  <c r="A40" i="6"/>
  <c r="D40" i="6"/>
  <c r="F40" i="6"/>
  <c r="H40" i="6"/>
  <c r="L40" i="6"/>
  <c r="N40" i="6"/>
  <c r="P40" i="6"/>
  <c r="R40" i="6"/>
  <c r="T40" i="6"/>
  <c r="V40" i="6"/>
  <c r="X40" i="6"/>
  <c r="A41" i="6"/>
  <c r="D41" i="6"/>
  <c r="F41" i="6"/>
  <c r="H41" i="6"/>
  <c r="L41" i="6"/>
  <c r="N41" i="6"/>
  <c r="P41" i="6"/>
  <c r="R41" i="6"/>
  <c r="T41" i="6"/>
  <c r="V41" i="6"/>
  <c r="X41" i="6"/>
  <c r="C43" i="6"/>
  <c r="D43" i="6"/>
  <c r="E43" i="6"/>
  <c r="F43" i="6"/>
  <c r="G43" i="6"/>
  <c r="H43" i="6"/>
  <c r="I43" i="6"/>
  <c r="J43" i="6"/>
  <c r="L43" i="6"/>
  <c r="N43" i="6"/>
  <c r="P43" i="6"/>
  <c r="R43" i="6"/>
  <c r="T43" i="6"/>
  <c r="U43" i="6"/>
  <c r="V43" i="6"/>
  <c r="X43" i="6"/>
  <c r="C44" i="6"/>
  <c r="D44" i="6"/>
  <c r="E44" i="6"/>
  <c r="F44" i="6"/>
  <c r="G44" i="6"/>
  <c r="H44" i="6"/>
  <c r="I44" i="6"/>
  <c r="J44" i="6"/>
  <c r="L44" i="6"/>
  <c r="N44" i="6"/>
  <c r="P44" i="6"/>
  <c r="R44" i="6"/>
  <c r="T44" i="6"/>
  <c r="U44" i="6"/>
  <c r="V44" i="6"/>
  <c r="X44" i="6"/>
  <c r="C45" i="6"/>
  <c r="D45" i="6"/>
  <c r="E45" i="6"/>
  <c r="F45" i="6"/>
  <c r="G45" i="6"/>
  <c r="H45" i="6"/>
  <c r="I45" i="6"/>
  <c r="J45" i="6"/>
  <c r="L45" i="6"/>
  <c r="N45" i="6"/>
  <c r="P45" i="6"/>
  <c r="R45" i="6"/>
  <c r="T45" i="6"/>
  <c r="U45" i="6"/>
  <c r="V45" i="6"/>
  <c r="X45" i="6"/>
  <c r="C46" i="6"/>
  <c r="D46" i="6"/>
  <c r="E46" i="6"/>
  <c r="F46" i="6"/>
  <c r="G46" i="6"/>
  <c r="H46" i="6"/>
  <c r="I46" i="6"/>
  <c r="J46" i="6"/>
  <c r="L46" i="6"/>
  <c r="N46" i="6"/>
  <c r="P46" i="6"/>
  <c r="R46" i="6"/>
  <c r="T46" i="6"/>
  <c r="U46" i="6"/>
  <c r="V46" i="6"/>
  <c r="X46" i="6"/>
  <c r="C47" i="6"/>
  <c r="D47" i="6"/>
  <c r="E47" i="6"/>
  <c r="F47" i="6"/>
  <c r="G47" i="6"/>
  <c r="H47" i="6"/>
  <c r="I47" i="6"/>
  <c r="J47" i="6"/>
  <c r="L47" i="6"/>
  <c r="N47" i="6"/>
  <c r="P47" i="6"/>
  <c r="R47" i="6"/>
  <c r="T47" i="6"/>
  <c r="U47" i="6"/>
  <c r="V47" i="6"/>
  <c r="X47" i="6"/>
  <c r="C48" i="6"/>
  <c r="D48" i="6"/>
  <c r="E48" i="6"/>
  <c r="F48" i="6"/>
  <c r="G48" i="6"/>
  <c r="H48" i="6"/>
  <c r="I48" i="6"/>
  <c r="J48" i="6"/>
  <c r="L48" i="6"/>
  <c r="N48" i="6"/>
  <c r="P48" i="6"/>
  <c r="R48" i="6"/>
  <c r="T48" i="6"/>
  <c r="U48" i="6"/>
  <c r="V48" i="6"/>
  <c r="X48" i="6"/>
  <c r="A8" i="5"/>
  <c r="A9" i="5"/>
  <c r="P9" i="5"/>
  <c r="R9" i="5"/>
  <c r="A10" i="5"/>
  <c r="D10" i="5"/>
  <c r="F10" i="5"/>
  <c r="H10" i="5"/>
  <c r="J10" i="5"/>
  <c r="P10" i="5"/>
  <c r="R10" i="5"/>
  <c r="S10" i="5"/>
  <c r="A11" i="5"/>
  <c r="D11" i="5"/>
  <c r="F11" i="5"/>
  <c r="H11" i="5"/>
  <c r="J11" i="5"/>
  <c r="P11" i="5"/>
  <c r="R11" i="5"/>
  <c r="S11" i="5"/>
  <c r="A12" i="5"/>
  <c r="D12" i="5"/>
  <c r="F12" i="5"/>
  <c r="H12" i="5"/>
  <c r="J12" i="5"/>
  <c r="P12" i="5"/>
  <c r="R12" i="5"/>
  <c r="S12" i="5"/>
  <c r="A13" i="5"/>
  <c r="D13" i="5"/>
  <c r="F13" i="5"/>
  <c r="H13" i="5"/>
  <c r="J13" i="5"/>
  <c r="P13" i="5"/>
  <c r="R13" i="5"/>
  <c r="S13" i="5"/>
  <c r="A14" i="5"/>
  <c r="D14" i="5"/>
  <c r="F14" i="5"/>
  <c r="H14" i="5"/>
  <c r="J14" i="5"/>
  <c r="P14" i="5"/>
  <c r="R14" i="5"/>
  <c r="S14" i="5"/>
  <c r="X14" i="5"/>
  <c r="A15" i="5"/>
  <c r="D15" i="5"/>
  <c r="F15" i="5"/>
  <c r="H15" i="5"/>
  <c r="J15" i="5"/>
  <c r="S15" i="5"/>
  <c r="X15" i="5"/>
  <c r="A16" i="5"/>
  <c r="D16" i="5"/>
  <c r="F16" i="5"/>
  <c r="H16" i="5"/>
  <c r="J16" i="5"/>
  <c r="S16" i="5"/>
  <c r="X16" i="5"/>
  <c r="A17" i="5"/>
  <c r="D17" i="5"/>
  <c r="F17" i="5"/>
  <c r="H17" i="5"/>
  <c r="J17" i="5"/>
  <c r="P17" i="5"/>
  <c r="R17" i="5"/>
  <c r="S17" i="5"/>
  <c r="X17" i="5"/>
  <c r="A18" i="5"/>
  <c r="D18" i="5"/>
  <c r="F18" i="5"/>
  <c r="H18" i="5"/>
  <c r="J18" i="5"/>
  <c r="P18" i="5"/>
  <c r="R18" i="5"/>
  <c r="S18" i="5"/>
  <c r="X18" i="5"/>
  <c r="A19" i="5"/>
  <c r="D19" i="5"/>
  <c r="F19" i="5"/>
  <c r="H19" i="5"/>
  <c r="J19" i="5"/>
  <c r="P19" i="5"/>
  <c r="R19" i="5"/>
  <c r="S19" i="5"/>
  <c r="X19" i="5"/>
  <c r="A20" i="5"/>
  <c r="D20" i="5"/>
  <c r="F20" i="5"/>
  <c r="H20" i="5"/>
  <c r="J20" i="5"/>
  <c r="P20" i="5"/>
  <c r="R20" i="5"/>
  <c r="S20" i="5"/>
  <c r="X20" i="5"/>
  <c r="A21" i="5"/>
  <c r="D21" i="5"/>
  <c r="F21" i="5"/>
  <c r="H21" i="5"/>
  <c r="J21" i="5"/>
  <c r="P21" i="5"/>
  <c r="R21" i="5"/>
  <c r="S21" i="5"/>
  <c r="X21" i="5"/>
  <c r="A22" i="5"/>
  <c r="D22" i="5"/>
  <c r="F22" i="5"/>
  <c r="H22" i="5"/>
  <c r="J22" i="5"/>
  <c r="P22" i="5"/>
  <c r="R22" i="5"/>
  <c r="S22" i="5"/>
  <c r="X22" i="5"/>
  <c r="A23" i="5"/>
  <c r="D23" i="5"/>
  <c r="F23" i="5"/>
  <c r="H23" i="5"/>
  <c r="J23" i="5"/>
  <c r="P23" i="5"/>
  <c r="R23" i="5"/>
  <c r="S23" i="5"/>
  <c r="X23" i="5"/>
  <c r="A24" i="5"/>
  <c r="D24" i="5"/>
  <c r="F24" i="5"/>
  <c r="H24" i="5"/>
  <c r="J24" i="5"/>
  <c r="P24" i="5"/>
  <c r="R24" i="5"/>
  <c r="S24" i="5"/>
  <c r="X24" i="5"/>
  <c r="A25" i="5"/>
  <c r="D25" i="5"/>
  <c r="F25" i="5"/>
  <c r="H25" i="5"/>
  <c r="J25" i="5"/>
  <c r="P25" i="5"/>
  <c r="R25" i="5"/>
  <c r="S25" i="5"/>
  <c r="X25" i="5"/>
  <c r="A26" i="5"/>
  <c r="D26" i="5"/>
  <c r="F26" i="5"/>
  <c r="H26" i="5"/>
  <c r="J26" i="5"/>
  <c r="P26" i="5"/>
  <c r="R26" i="5"/>
  <c r="S26" i="5"/>
  <c r="X26" i="5"/>
  <c r="A27" i="5"/>
  <c r="D27" i="5"/>
  <c r="F27" i="5"/>
  <c r="H27" i="5"/>
  <c r="J27" i="5"/>
  <c r="P27" i="5"/>
  <c r="R27" i="5"/>
  <c r="S27" i="5"/>
  <c r="X27" i="5"/>
  <c r="A28" i="5"/>
  <c r="D28" i="5"/>
  <c r="F28" i="5"/>
  <c r="H28" i="5"/>
  <c r="J28" i="5"/>
  <c r="P28" i="5"/>
  <c r="R28" i="5"/>
  <c r="S28" i="5"/>
  <c r="X28" i="5"/>
  <c r="A29" i="5"/>
  <c r="D29" i="5"/>
  <c r="F29" i="5"/>
  <c r="H29" i="5"/>
  <c r="J29" i="5"/>
  <c r="S29" i="5"/>
  <c r="X29" i="5"/>
  <c r="A30" i="5"/>
  <c r="D30" i="5"/>
  <c r="F30" i="5"/>
  <c r="H30" i="5"/>
  <c r="J30" i="5"/>
  <c r="S30" i="5"/>
  <c r="X30" i="5"/>
  <c r="A31" i="5"/>
  <c r="D31" i="5"/>
  <c r="F31" i="5"/>
  <c r="H31" i="5"/>
  <c r="J31" i="5"/>
  <c r="P31" i="5"/>
  <c r="R31" i="5"/>
  <c r="S31" i="5"/>
  <c r="X31" i="5"/>
  <c r="A32" i="5"/>
  <c r="D32" i="5"/>
  <c r="F32" i="5"/>
  <c r="H32" i="5"/>
  <c r="J32" i="5"/>
  <c r="P32" i="5"/>
  <c r="R32" i="5"/>
  <c r="S32" i="5"/>
  <c r="X32" i="5"/>
  <c r="A33" i="5"/>
  <c r="D33" i="5"/>
  <c r="F33" i="5"/>
  <c r="H33" i="5"/>
  <c r="J33" i="5"/>
  <c r="P33" i="5"/>
  <c r="R33" i="5"/>
  <c r="S33" i="5"/>
  <c r="X33" i="5"/>
  <c r="A34" i="5"/>
  <c r="D34" i="5"/>
  <c r="F34" i="5"/>
  <c r="H34" i="5"/>
  <c r="J34" i="5"/>
  <c r="P34" i="5"/>
  <c r="R34" i="5"/>
  <c r="S34" i="5"/>
  <c r="X34" i="5"/>
  <c r="A35" i="5"/>
  <c r="D35" i="5"/>
  <c r="F35" i="5"/>
  <c r="H35" i="5"/>
  <c r="J35" i="5"/>
  <c r="P35" i="5"/>
  <c r="R35" i="5"/>
  <c r="S35" i="5"/>
  <c r="X35" i="5"/>
  <c r="A36" i="5"/>
  <c r="D36" i="5"/>
  <c r="F36" i="5"/>
  <c r="H36" i="5"/>
  <c r="J36" i="5"/>
  <c r="P36" i="5"/>
  <c r="R36" i="5"/>
  <c r="S36" i="5"/>
  <c r="X36" i="5"/>
  <c r="A37" i="5"/>
  <c r="D37" i="5"/>
  <c r="F37" i="5"/>
  <c r="H37" i="5"/>
  <c r="J37" i="5"/>
  <c r="P37" i="5"/>
  <c r="R37" i="5"/>
  <c r="S37" i="5"/>
  <c r="X37" i="5"/>
  <c r="A38" i="5"/>
  <c r="D38" i="5"/>
  <c r="F38" i="5"/>
  <c r="H38" i="5"/>
  <c r="J38" i="5"/>
  <c r="P38" i="5"/>
  <c r="R38" i="5"/>
  <c r="S38" i="5"/>
  <c r="X38" i="5"/>
  <c r="A39" i="5"/>
  <c r="D39" i="5"/>
  <c r="F39" i="5"/>
  <c r="H39" i="5"/>
  <c r="J39" i="5"/>
  <c r="P39" i="5"/>
  <c r="R39" i="5"/>
  <c r="S39" i="5"/>
  <c r="X39" i="5"/>
  <c r="A40" i="5"/>
  <c r="D40" i="5"/>
  <c r="F40" i="5"/>
  <c r="H40" i="5"/>
  <c r="P40" i="5"/>
  <c r="R40" i="5"/>
  <c r="S40" i="5"/>
  <c r="X40" i="5"/>
  <c r="A41" i="5"/>
  <c r="D41" i="5"/>
  <c r="F41" i="5"/>
  <c r="H41" i="5"/>
  <c r="P41" i="5"/>
  <c r="R41" i="5"/>
  <c r="S41" i="5"/>
  <c r="X41" i="5"/>
  <c r="C43" i="5"/>
  <c r="D43" i="5"/>
  <c r="E43" i="5"/>
  <c r="F43" i="5"/>
  <c r="G43" i="5"/>
  <c r="H43" i="5"/>
  <c r="I43" i="5"/>
  <c r="J43" i="5"/>
  <c r="L43" i="5"/>
  <c r="N43" i="5"/>
  <c r="P43" i="5"/>
  <c r="R43" i="5"/>
  <c r="S43" i="5"/>
  <c r="C44" i="5"/>
  <c r="D44" i="5"/>
  <c r="E44" i="5"/>
  <c r="F44" i="5"/>
  <c r="G44" i="5"/>
  <c r="H44" i="5"/>
  <c r="I44" i="5"/>
  <c r="J44" i="5"/>
  <c r="L44" i="5"/>
  <c r="N44" i="5"/>
  <c r="P44" i="5"/>
  <c r="R44" i="5"/>
  <c r="S44" i="5"/>
  <c r="C45" i="5"/>
  <c r="D45" i="5"/>
  <c r="E45" i="5"/>
  <c r="F45" i="5"/>
  <c r="G45" i="5"/>
  <c r="H45" i="5"/>
  <c r="I45" i="5"/>
  <c r="J45" i="5"/>
  <c r="L45" i="5"/>
  <c r="N45" i="5"/>
  <c r="P45" i="5"/>
  <c r="R45" i="5"/>
  <c r="S45" i="5"/>
  <c r="C46" i="5"/>
  <c r="D46" i="5"/>
  <c r="E46" i="5"/>
  <c r="F46" i="5"/>
  <c r="G46" i="5"/>
  <c r="H46" i="5"/>
  <c r="I46" i="5"/>
  <c r="J46" i="5"/>
  <c r="L46" i="5"/>
  <c r="N46" i="5"/>
  <c r="P46" i="5"/>
  <c r="R46" i="5"/>
  <c r="S46" i="5"/>
  <c r="C47" i="5"/>
  <c r="D47" i="5"/>
  <c r="E47" i="5"/>
  <c r="F47" i="5"/>
  <c r="G47" i="5"/>
  <c r="H47" i="5"/>
  <c r="I47" i="5"/>
  <c r="J47" i="5"/>
  <c r="L47" i="5"/>
  <c r="N47" i="5"/>
  <c r="P47" i="5"/>
  <c r="Q47" i="5"/>
  <c r="R47" i="5"/>
  <c r="S47" i="5"/>
  <c r="C48" i="5"/>
  <c r="D48" i="5"/>
  <c r="E48" i="5"/>
  <c r="F48" i="5"/>
  <c r="G48" i="5"/>
  <c r="H48" i="5"/>
  <c r="I48" i="5"/>
  <c r="J48" i="5"/>
  <c r="L48" i="5"/>
  <c r="N48" i="5"/>
  <c r="P48" i="5"/>
  <c r="R48" i="5"/>
  <c r="S48" i="5"/>
  <c r="N7" i="4"/>
  <c r="R7" i="4"/>
  <c r="V7" i="4"/>
  <c r="D8" i="4"/>
  <c r="F8" i="4"/>
  <c r="H8" i="4"/>
  <c r="J8" i="4"/>
  <c r="N8" i="4"/>
  <c r="R8" i="4"/>
  <c r="V8" i="4"/>
  <c r="D9" i="4"/>
  <c r="F9" i="4"/>
  <c r="H9" i="4"/>
  <c r="J9" i="4"/>
  <c r="N9" i="4"/>
  <c r="R9" i="4"/>
  <c r="V9" i="4"/>
  <c r="A10" i="4"/>
  <c r="D10" i="4"/>
  <c r="F10" i="4"/>
  <c r="H10" i="4"/>
  <c r="J10" i="4"/>
  <c r="N10" i="4"/>
  <c r="R10" i="4"/>
  <c r="V10" i="4"/>
  <c r="A11" i="4"/>
  <c r="D11" i="4"/>
  <c r="F11" i="4"/>
  <c r="H11" i="4"/>
  <c r="J11" i="4"/>
  <c r="N11" i="4"/>
  <c r="R11" i="4"/>
  <c r="V11" i="4"/>
  <c r="A12" i="4"/>
  <c r="D12" i="4"/>
  <c r="F12" i="4"/>
  <c r="H12" i="4"/>
  <c r="J12" i="4"/>
  <c r="N12" i="4"/>
  <c r="R12" i="4"/>
  <c r="V12" i="4"/>
  <c r="A13" i="4"/>
  <c r="D13" i="4"/>
  <c r="F13" i="4"/>
  <c r="H13" i="4"/>
  <c r="J13" i="4"/>
  <c r="N13" i="4"/>
  <c r="R13" i="4"/>
  <c r="V13" i="4"/>
  <c r="A14" i="4"/>
  <c r="D14" i="4"/>
  <c r="F14" i="4"/>
  <c r="H14" i="4"/>
  <c r="J14" i="4"/>
  <c r="N14" i="4"/>
  <c r="R14" i="4"/>
  <c r="V14" i="4"/>
  <c r="A15" i="4"/>
  <c r="D15" i="4"/>
  <c r="F15" i="4"/>
  <c r="H15" i="4"/>
  <c r="J15" i="4"/>
  <c r="N15" i="4"/>
  <c r="R15" i="4"/>
  <c r="V15" i="4"/>
  <c r="A16" i="4"/>
  <c r="D16" i="4"/>
  <c r="F16" i="4"/>
  <c r="H16" i="4"/>
  <c r="J16" i="4"/>
  <c r="N16" i="4"/>
  <c r="R16" i="4"/>
  <c r="V16" i="4"/>
  <c r="A17" i="4"/>
  <c r="D17" i="4"/>
  <c r="F17" i="4"/>
  <c r="H17" i="4"/>
  <c r="J17" i="4"/>
  <c r="N17" i="4"/>
  <c r="R17" i="4"/>
  <c r="V17" i="4"/>
  <c r="A18" i="4"/>
  <c r="D18" i="4"/>
  <c r="F18" i="4"/>
  <c r="H18" i="4"/>
  <c r="J18" i="4"/>
  <c r="N18" i="4"/>
  <c r="R18" i="4"/>
  <c r="V18" i="4"/>
  <c r="A19" i="4"/>
  <c r="D19" i="4"/>
  <c r="F19" i="4"/>
  <c r="H19" i="4"/>
  <c r="J19" i="4"/>
  <c r="N19" i="4"/>
  <c r="R19" i="4"/>
  <c r="V19" i="4"/>
  <c r="A20" i="4"/>
  <c r="D20" i="4"/>
  <c r="F20" i="4"/>
  <c r="H20" i="4"/>
  <c r="J20" i="4"/>
  <c r="N20" i="4"/>
  <c r="R20" i="4"/>
  <c r="V20" i="4"/>
  <c r="A21" i="4"/>
  <c r="D21" i="4"/>
  <c r="F21" i="4"/>
  <c r="H21" i="4"/>
  <c r="J21" i="4"/>
  <c r="N21" i="4"/>
  <c r="R21" i="4"/>
  <c r="V21" i="4"/>
  <c r="A22" i="4"/>
  <c r="D22" i="4"/>
  <c r="F22" i="4"/>
  <c r="H22" i="4"/>
  <c r="J22" i="4"/>
  <c r="N22" i="4"/>
  <c r="R22" i="4"/>
  <c r="V22" i="4"/>
  <c r="A23" i="4"/>
  <c r="D23" i="4"/>
  <c r="F23" i="4"/>
  <c r="H23" i="4"/>
  <c r="J23" i="4"/>
  <c r="N23" i="4"/>
  <c r="R23" i="4"/>
  <c r="V23" i="4"/>
  <c r="A24" i="4"/>
  <c r="D24" i="4"/>
  <c r="F24" i="4"/>
  <c r="H24" i="4"/>
  <c r="J24" i="4"/>
  <c r="N24" i="4"/>
  <c r="R24" i="4"/>
  <c r="V24" i="4"/>
  <c r="A25" i="4"/>
  <c r="D25" i="4"/>
  <c r="F25" i="4"/>
  <c r="H25" i="4"/>
  <c r="J25" i="4"/>
  <c r="N25" i="4"/>
  <c r="R25" i="4"/>
  <c r="V25" i="4"/>
  <c r="A26" i="4"/>
  <c r="D26" i="4"/>
  <c r="F26" i="4"/>
  <c r="H26" i="4"/>
  <c r="J26" i="4"/>
  <c r="N26" i="4"/>
  <c r="R26" i="4"/>
  <c r="V26" i="4"/>
  <c r="A27" i="4"/>
  <c r="D27" i="4"/>
  <c r="F27" i="4"/>
  <c r="H27" i="4"/>
  <c r="J27" i="4"/>
  <c r="N27" i="4"/>
  <c r="R27" i="4"/>
  <c r="V27" i="4"/>
  <c r="A28" i="4"/>
  <c r="D28" i="4"/>
  <c r="F28" i="4"/>
  <c r="H28" i="4"/>
  <c r="J28" i="4"/>
  <c r="N28" i="4"/>
  <c r="R28" i="4"/>
  <c r="V28" i="4"/>
  <c r="A29" i="4"/>
  <c r="D29" i="4"/>
  <c r="F29" i="4"/>
  <c r="H29" i="4"/>
  <c r="J29" i="4"/>
  <c r="N29" i="4"/>
  <c r="R29" i="4"/>
  <c r="V29" i="4"/>
  <c r="A30" i="4"/>
  <c r="D30" i="4"/>
  <c r="F30" i="4"/>
  <c r="H30" i="4"/>
  <c r="J30" i="4"/>
  <c r="N30" i="4"/>
  <c r="R30" i="4"/>
  <c r="V30" i="4"/>
  <c r="A31" i="4"/>
  <c r="D31" i="4"/>
  <c r="F31" i="4"/>
  <c r="H31" i="4"/>
  <c r="J31" i="4"/>
  <c r="N31" i="4"/>
  <c r="R31" i="4"/>
  <c r="V31" i="4"/>
  <c r="A32" i="4"/>
  <c r="D32" i="4"/>
  <c r="F32" i="4"/>
  <c r="H32" i="4"/>
  <c r="J32" i="4"/>
  <c r="N32" i="4"/>
  <c r="R32" i="4"/>
  <c r="V32" i="4"/>
  <c r="A33" i="4"/>
  <c r="D33" i="4"/>
  <c r="F33" i="4"/>
  <c r="H33" i="4"/>
  <c r="N33" i="4"/>
  <c r="P33" i="4"/>
  <c r="R33" i="4"/>
  <c r="T33" i="4"/>
  <c r="V33" i="4"/>
  <c r="X33" i="4"/>
  <c r="A34" i="4"/>
  <c r="D34" i="4"/>
  <c r="F34" i="4"/>
  <c r="H34" i="4"/>
  <c r="N34" i="4"/>
  <c r="P34" i="4"/>
  <c r="R34" i="4"/>
  <c r="T34" i="4"/>
  <c r="V34" i="4"/>
  <c r="X34" i="4"/>
  <c r="A35" i="4"/>
  <c r="D35" i="4"/>
  <c r="F35" i="4"/>
  <c r="H35" i="4"/>
  <c r="N35" i="4"/>
  <c r="P35" i="4"/>
  <c r="R35" i="4"/>
  <c r="T35" i="4"/>
  <c r="V35" i="4"/>
  <c r="X35" i="4"/>
  <c r="A36" i="4"/>
  <c r="D36" i="4"/>
  <c r="F36" i="4"/>
  <c r="H36" i="4"/>
  <c r="N36" i="4"/>
  <c r="P36" i="4"/>
  <c r="R36" i="4"/>
  <c r="T36" i="4"/>
  <c r="V36" i="4"/>
  <c r="X36" i="4"/>
  <c r="A37" i="4"/>
  <c r="D37" i="4"/>
  <c r="F37" i="4"/>
  <c r="H37" i="4"/>
  <c r="N37" i="4"/>
  <c r="P37" i="4"/>
  <c r="R37" i="4"/>
  <c r="T37" i="4"/>
  <c r="V37" i="4"/>
  <c r="X37" i="4"/>
  <c r="A38" i="4"/>
  <c r="D38" i="4"/>
  <c r="F38" i="4"/>
  <c r="H38" i="4"/>
  <c r="N38" i="4"/>
  <c r="P38" i="4"/>
  <c r="R38" i="4"/>
  <c r="T38" i="4"/>
  <c r="V38" i="4"/>
  <c r="X38" i="4"/>
  <c r="A39" i="4"/>
  <c r="D39" i="4"/>
  <c r="F39" i="4"/>
  <c r="H39" i="4"/>
  <c r="N39" i="4"/>
  <c r="P39" i="4"/>
  <c r="R39" i="4"/>
  <c r="T39" i="4"/>
  <c r="V39" i="4"/>
  <c r="X39" i="4"/>
  <c r="C41" i="4"/>
  <c r="D41" i="4"/>
  <c r="E41" i="4"/>
  <c r="F41" i="4"/>
  <c r="G41" i="4"/>
  <c r="H41" i="4"/>
  <c r="I41" i="4"/>
  <c r="J41" i="4"/>
  <c r="L41" i="4"/>
  <c r="N41" i="4"/>
  <c r="C42" i="4"/>
  <c r="D42" i="4"/>
  <c r="E42" i="4"/>
  <c r="F42" i="4"/>
  <c r="G42" i="4"/>
  <c r="H42" i="4"/>
  <c r="I42" i="4"/>
  <c r="J42" i="4"/>
  <c r="L42" i="4"/>
  <c r="N42" i="4"/>
  <c r="C43" i="4"/>
  <c r="D43" i="4"/>
  <c r="E43" i="4"/>
  <c r="F43" i="4"/>
  <c r="G43" i="4"/>
  <c r="H43" i="4"/>
  <c r="I43" i="4"/>
  <c r="J43" i="4"/>
  <c r="L43" i="4"/>
  <c r="N43" i="4"/>
  <c r="C44" i="4"/>
  <c r="D44" i="4"/>
  <c r="E44" i="4"/>
  <c r="F44" i="4"/>
  <c r="G44" i="4"/>
  <c r="H44" i="4"/>
  <c r="I44" i="4"/>
  <c r="J44" i="4"/>
  <c r="L44" i="4"/>
  <c r="N44" i="4"/>
  <c r="C46" i="4"/>
  <c r="D46" i="4"/>
  <c r="E46" i="4"/>
  <c r="F46" i="4"/>
  <c r="G46" i="4"/>
  <c r="H46" i="4"/>
  <c r="I46" i="4"/>
  <c r="J46" i="4"/>
  <c r="L46" i="4"/>
  <c r="N46" i="4"/>
  <c r="P7" i="2"/>
  <c r="D8" i="2"/>
  <c r="F8" i="2"/>
  <c r="H8" i="2"/>
  <c r="J8" i="2"/>
  <c r="P8" i="2"/>
  <c r="D9" i="2"/>
  <c r="F9" i="2"/>
  <c r="H9" i="2"/>
  <c r="J9" i="2"/>
  <c r="P9" i="2"/>
  <c r="A10" i="2"/>
  <c r="D10" i="2"/>
  <c r="F10" i="2"/>
  <c r="H10" i="2"/>
  <c r="J10" i="2"/>
  <c r="P10" i="2"/>
  <c r="A11" i="2"/>
  <c r="D11" i="2"/>
  <c r="F11" i="2"/>
  <c r="H11" i="2"/>
  <c r="J11" i="2"/>
  <c r="P11" i="2"/>
  <c r="A12" i="2"/>
  <c r="D12" i="2"/>
  <c r="F12" i="2"/>
  <c r="H12" i="2"/>
  <c r="J12" i="2"/>
  <c r="P12" i="2"/>
  <c r="A13" i="2"/>
  <c r="D13" i="2"/>
  <c r="F13" i="2"/>
  <c r="H13" i="2"/>
  <c r="J13" i="2"/>
  <c r="P13" i="2"/>
  <c r="A14" i="2"/>
  <c r="D14" i="2"/>
  <c r="F14" i="2"/>
  <c r="H14" i="2"/>
  <c r="J14" i="2"/>
  <c r="P14" i="2"/>
  <c r="X14" i="2"/>
  <c r="A15" i="2"/>
  <c r="D15" i="2"/>
  <c r="F15" i="2"/>
  <c r="H15" i="2"/>
  <c r="J15" i="2"/>
  <c r="P15" i="2"/>
  <c r="X15" i="2"/>
  <c r="A16" i="2"/>
  <c r="D16" i="2"/>
  <c r="F16" i="2"/>
  <c r="H16" i="2"/>
  <c r="J16" i="2"/>
  <c r="P16" i="2"/>
  <c r="A17" i="2"/>
  <c r="D17" i="2"/>
  <c r="F17" i="2"/>
  <c r="H17" i="2"/>
  <c r="J17" i="2"/>
  <c r="P17" i="2"/>
  <c r="X17" i="2"/>
  <c r="A18" i="2"/>
  <c r="D18" i="2"/>
  <c r="F18" i="2"/>
  <c r="H18" i="2"/>
  <c r="J18" i="2"/>
  <c r="P18" i="2"/>
  <c r="X18" i="2"/>
  <c r="A19" i="2"/>
  <c r="D19" i="2"/>
  <c r="F19" i="2"/>
  <c r="H19" i="2"/>
  <c r="J19" i="2"/>
  <c r="P19" i="2"/>
  <c r="R19" i="2"/>
  <c r="X19" i="2"/>
  <c r="A20" i="2"/>
  <c r="D20" i="2"/>
  <c r="F20" i="2"/>
  <c r="H20" i="2"/>
  <c r="J20" i="2"/>
  <c r="P20" i="2"/>
  <c r="R20" i="2"/>
  <c r="S20" i="2"/>
  <c r="X20" i="2"/>
  <c r="A21" i="2"/>
  <c r="D21" i="2"/>
  <c r="F21" i="2"/>
  <c r="H21" i="2"/>
  <c r="J21" i="2"/>
  <c r="P21" i="2"/>
  <c r="R21" i="2"/>
  <c r="S21" i="2"/>
  <c r="X21" i="2"/>
  <c r="A22" i="2"/>
  <c r="D22" i="2"/>
  <c r="F22" i="2"/>
  <c r="H22" i="2"/>
  <c r="J22" i="2"/>
  <c r="P22" i="2"/>
  <c r="R22" i="2"/>
  <c r="S22" i="2"/>
  <c r="A23" i="2"/>
  <c r="D23" i="2"/>
  <c r="F23" i="2"/>
  <c r="H23" i="2"/>
  <c r="J23" i="2"/>
  <c r="P23" i="2"/>
  <c r="S23" i="2"/>
  <c r="A24" i="2"/>
  <c r="D24" i="2"/>
  <c r="F24" i="2"/>
  <c r="H24" i="2"/>
  <c r="J24" i="2"/>
  <c r="P24" i="2"/>
  <c r="S24" i="2"/>
  <c r="A25" i="2"/>
  <c r="D25" i="2"/>
  <c r="F25" i="2"/>
  <c r="H25" i="2"/>
  <c r="J25" i="2"/>
  <c r="P25" i="2"/>
  <c r="S25" i="2"/>
  <c r="A26" i="2"/>
  <c r="D26" i="2"/>
  <c r="F26" i="2"/>
  <c r="H26" i="2"/>
  <c r="J26" i="2"/>
  <c r="P26" i="2"/>
  <c r="S26" i="2"/>
  <c r="A27" i="2"/>
  <c r="D27" i="2"/>
  <c r="F27" i="2"/>
  <c r="H27" i="2"/>
  <c r="J27" i="2"/>
  <c r="P27" i="2"/>
  <c r="S27" i="2"/>
  <c r="A28" i="2"/>
  <c r="D28" i="2"/>
  <c r="F28" i="2"/>
  <c r="H28" i="2"/>
  <c r="J28" i="2"/>
  <c r="P28" i="2"/>
  <c r="R28" i="2"/>
  <c r="S28" i="2"/>
  <c r="A29" i="2"/>
  <c r="D29" i="2"/>
  <c r="F29" i="2"/>
  <c r="H29" i="2"/>
  <c r="J29" i="2"/>
  <c r="P29" i="2"/>
  <c r="R29" i="2"/>
  <c r="S29" i="2"/>
  <c r="A30" i="2"/>
  <c r="D30" i="2"/>
  <c r="F30" i="2"/>
  <c r="H30" i="2"/>
  <c r="J30" i="2"/>
  <c r="P30" i="2"/>
  <c r="S30" i="2"/>
  <c r="A31" i="2"/>
  <c r="D31" i="2"/>
  <c r="F31" i="2"/>
  <c r="H31" i="2"/>
  <c r="J31" i="2"/>
  <c r="P31" i="2"/>
  <c r="S31" i="2"/>
  <c r="A32" i="2"/>
  <c r="D32" i="2"/>
  <c r="F32" i="2"/>
  <c r="H32" i="2"/>
  <c r="J32" i="2"/>
  <c r="P32" i="2"/>
  <c r="S32" i="2"/>
  <c r="A33" i="2"/>
  <c r="D33" i="2"/>
  <c r="F33" i="2"/>
  <c r="H33" i="2"/>
  <c r="P33" i="2"/>
  <c r="S33" i="2"/>
  <c r="A34" i="2"/>
  <c r="D34" i="2"/>
  <c r="F34" i="2"/>
  <c r="H34" i="2"/>
  <c r="P34" i="2"/>
  <c r="R34" i="2"/>
  <c r="S34" i="2"/>
  <c r="A35" i="2"/>
  <c r="D35" i="2"/>
  <c r="F35" i="2"/>
  <c r="H35" i="2"/>
  <c r="P35" i="2"/>
  <c r="R35" i="2"/>
  <c r="S35" i="2"/>
  <c r="A36" i="2"/>
  <c r="D36" i="2"/>
  <c r="F36" i="2"/>
  <c r="H36" i="2"/>
  <c r="P36" i="2"/>
  <c r="R36" i="2"/>
  <c r="S36" i="2"/>
  <c r="A37" i="2"/>
  <c r="D37" i="2"/>
  <c r="F37" i="2"/>
  <c r="H37" i="2"/>
  <c r="P37" i="2"/>
  <c r="R37" i="2"/>
  <c r="S37" i="2"/>
  <c r="A38" i="2"/>
  <c r="D38" i="2"/>
  <c r="F38" i="2"/>
  <c r="H38" i="2"/>
  <c r="P38" i="2"/>
  <c r="R38" i="2"/>
  <c r="S38" i="2"/>
  <c r="A39" i="2"/>
  <c r="D39" i="2"/>
  <c r="F39" i="2"/>
  <c r="H39" i="2"/>
  <c r="P39" i="2"/>
  <c r="R39" i="2"/>
  <c r="S39" i="2"/>
  <c r="C41" i="2"/>
  <c r="D41" i="2"/>
  <c r="E41" i="2"/>
  <c r="F41" i="2"/>
  <c r="G41" i="2"/>
  <c r="H41" i="2"/>
  <c r="I41" i="2"/>
  <c r="J41" i="2"/>
  <c r="L41" i="2"/>
  <c r="N41" i="2"/>
  <c r="P41" i="2"/>
  <c r="C42" i="2"/>
  <c r="D42" i="2"/>
  <c r="E42" i="2"/>
  <c r="F42" i="2"/>
  <c r="G42" i="2"/>
  <c r="H42" i="2"/>
  <c r="I42" i="2"/>
  <c r="J42" i="2"/>
  <c r="L42" i="2"/>
  <c r="N42" i="2"/>
  <c r="P42" i="2"/>
  <c r="R42" i="2"/>
  <c r="C43" i="2"/>
  <c r="D43" i="2"/>
  <c r="E43" i="2"/>
  <c r="F43" i="2"/>
  <c r="G43" i="2"/>
  <c r="H43" i="2"/>
  <c r="I43" i="2"/>
  <c r="J43" i="2"/>
  <c r="L43" i="2"/>
  <c r="N43" i="2"/>
  <c r="P43" i="2"/>
  <c r="R43" i="2"/>
  <c r="C44" i="2"/>
  <c r="D44" i="2"/>
  <c r="E44" i="2"/>
  <c r="F44" i="2"/>
  <c r="G44" i="2"/>
  <c r="H44" i="2"/>
  <c r="I44" i="2"/>
  <c r="J44" i="2"/>
  <c r="L44" i="2"/>
  <c r="N44" i="2"/>
  <c r="P44" i="2"/>
  <c r="R44" i="2"/>
  <c r="C45" i="2"/>
  <c r="D45" i="2"/>
  <c r="E45" i="2"/>
  <c r="F45" i="2"/>
  <c r="G45" i="2"/>
  <c r="H45" i="2"/>
  <c r="L45" i="2"/>
  <c r="N45" i="2"/>
  <c r="P45" i="2"/>
  <c r="R45" i="2"/>
  <c r="C46" i="2"/>
  <c r="D46" i="2"/>
  <c r="E46" i="2"/>
  <c r="F46" i="2"/>
  <c r="G46" i="2"/>
  <c r="H46" i="2"/>
  <c r="I46" i="2"/>
  <c r="J46" i="2"/>
  <c r="L46" i="2"/>
  <c r="N46" i="2"/>
  <c r="P46" i="2"/>
  <c r="R46" i="2"/>
  <c r="AB13" i="1"/>
  <c r="AB15" i="1"/>
  <c r="AB17" i="1"/>
  <c r="AC22" i="1"/>
  <c r="AC24" i="1"/>
  <c r="AC26" i="1"/>
  <c r="AA31" i="1"/>
  <c r="AA33" i="1"/>
  <c r="AA35" i="1"/>
  <c r="AA40" i="1"/>
  <c r="AC40" i="1"/>
  <c r="AA42" i="1"/>
  <c r="AC42" i="1"/>
  <c r="AA44" i="1"/>
  <c r="AC44" i="1"/>
  <c r="AA48" i="1"/>
  <c r="AB48" i="1"/>
  <c r="AA50" i="1"/>
  <c r="AB50" i="1"/>
  <c r="AA52" i="1"/>
  <c r="AB52" i="1"/>
  <c r="AA57" i="1"/>
  <c r="AC57" i="1"/>
  <c r="AA59" i="1"/>
  <c r="AC59" i="1"/>
  <c r="AA61" i="1"/>
  <c r="AC61" i="1"/>
  <c r="AA65" i="1"/>
  <c r="AB65" i="1"/>
  <c r="AA67" i="1"/>
  <c r="AB67" i="1"/>
  <c r="AA69" i="1"/>
  <c r="AB69" i="1"/>
</calcChain>
</file>

<file path=xl/sharedStrings.xml><?xml version="1.0" encoding="utf-8"?>
<sst xmlns="http://schemas.openxmlformats.org/spreadsheetml/2006/main" count="338" uniqueCount="100">
  <si>
    <t>Zone A</t>
  </si>
  <si>
    <t>Zone G</t>
  </si>
  <si>
    <t>Zone J</t>
  </si>
  <si>
    <t>Avg</t>
  </si>
  <si>
    <t>Sunday</t>
  </si>
  <si>
    <t>Monday</t>
  </si>
  <si>
    <t>Forecast for</t>
  </si>
  <si>
    <t>HB</t>
  </si>
  <si>
    <t>Net Imports</t>
  </si>
  <si>
    <t>Date</t>
  </si>
  <si>
    <t>Temps (NYC)</t>
  </si>
  <si>
    <t>Hi/Lo</t>
  </si>
  <si>
    <t>Outages</t>
  </si>
  <si>
    <t>64/54</t>
  </si>
  <si>
    <t>56/52</t>
  </si>
  <si>
    <t>60/49</t>
  </si>
  <si>
    <t>75/52</t>
  </si>
  <si>
    <t>82/61</t>
  </si>
  <si>
    <t>82/65</t>
  </si>
  <si>
    <t>80/64</t>
  </si>
  <si>
    <t>69/52</t>
  </si>
  <si>
    <t>57/47</t>
  </si>
  <si>
    <t>58/45</t>
  </si>
  <si>
    <t>64/49</t>
  </si>
  <si>
    <t>Day Ahead Prices</t>
  </si>
  <si>
    <t>70/51</t>
  </si>
  <si>
    <t>73/56</t>
  </si>
  <si>
    <t>74/58</t>
  </si>
  <si>
    <t>%</t>
  </si>
  <si>
    <t>MW's</t>
  </si>
  <si>
    <t>Avg.</t>
  </si>
  <si>
    <t>PJM</t>
  </si>
  <si>
    <t>NYISO</t>
  </si>
  <si>
    <t xml:space="preserve"> Load</t>
  </si>
  <si>
    <t>Monthly Avg</t>
  </si>
  <si>
    <t>1st Week Avg</t>
  </si>
  <si>
    <t>2nd Week Avg</t>
  </si>
  <si>
    <t>3rd Week Avg</t>
  </si>
  <si>
    <t>4th Week Avg</t>
  </si>
  <si>
    <t>73/60</t>
  </si>
  <si>
    <t>76/62</t>
  </si>
  <si>
    <t>68/56</t>
  </si>
  <si>
    <t>63/50</t>
  </si>
  <si>
    <t>62/48</t>
  </si>
  <si>
    <t>64/52</t>
  </si>
  <si>
    <t>66/54</t>
  </si>
  <si>
    <t>Generation</t>
  </si>
  <si>
    <t>Bids</t>
  </si>
  <si>
    <t>67/52</t>
  </si>
  <si>
    <t>67/51</t>
  </si>
  <si>
    <t>69/54</t>
  </si>
  <si>
    <t>65/52</t>
  </si>
  <si>
    <t>70/55</t>
  </si>
  <si>
    <t>68/55</t>
  </si>
  <si>
    <t>58/46</t>
  </si>
  <si>
    <t>56/42</t>
  </si>
  <si>
    <t>5th Week Avg</t>
  </si>
  <si>
    <t>Average</t>
  </si>
  <si>
    <t>Price</t>
  </si>
  <si>
    <t>Forecast</t>
  </si>
  <si>
    <t>Bids %</t>
  </si>
  <si>
    <t>Gen</t>
  </si>
  <si>
    <t>16 Hr Avg</t>
  </si>
  <si>
    <t>(Offered)</t>
  </si>
  <si>
    <t>Change</t>
  </si>
  <si>
    <t>59/41</t>
  </si>
  <si>
    <t>60/47</t>
  </si>
  <si>
    <t>54/41</t>
  </si>
  <si>
    <t>68/49</t>
  </si>
  <si>
    <t>71/57</t>
  </si>
  <si>
    <t>65/55</t>
  </si>
  <si>
    <t>60/51</t>
  </si>
  <si>
    <t>54/44</t>
  </si>
  <si>
    <t>56/45</t>
  </si>
  <si>
    <t>60/48</t>
  </si>
  <si>
    <t>63/51</t>
  </si>
  <si>
    <t>54/43</t>
  </si>
  <si>
    <t>57/42</t>
  </si>
  <si>
    <t>60/45</t>
  </si>
  <si>
    <t>62/47</t>
  </si>
  <si>
    <t>59/48</t>
  </si>
  <si>
    <t>56/46</t>
  </si>
  <si>
    <t>A-G</t>
  </si>
  <si>
    <t>G-J</t>
  </si>
  <si>
    <t>A-J</t>
  </si>
  <si>
    <t>55/45</t>
  </si>
  <si>
    <t>52/41</t>
  </si>
  <si>
    <t>50/39</t>
  </si>
  <si>
    <t>48/42</t>
  </si>
  <si>
    <t>49/42</t>
  </si>
  <si>
    <t>51/40</t>
  </si>
  <si>
    <t>47/36</t>
  </si>
  <si>
    <t>49/38</t>
  </si>
  <si>
    <t>46/37</t>
  </si>
  <si>
    <t>44/34</t>
  </si>
  <si>
    <t>47/32</t>
  </si>
  <si>
    <t>44/33</t>
  </si>
  <si>
    <t>42/34</t>
  </si>
  <si>
    <t>Net</t>
  </si>
  <si>
    <t xml:space="preserve">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</si>
</sst>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%"/>
    <numFmt numFmtId="17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7.5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/>
    <xf numFmtId="14" fontId="3" fillId="0" borderId="0" xfId="0" applyNumberFormat="1" applyFont="1"/>
    <xf numFmtId="2" fontId="4" fillId="0" borderId="0" xfId="0" applyNumberFormat="1" applyFont="1" applyAlignment="1">
      <alignment horizontal="right" vertical="top"/>
    </xf>
    <xf numFmtId="2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3" fontId="0" fillId="0" borderId="0" xfId="0" applyNumberFormat="1" applyAlignment="1"/>
    <xf numFmtId="0" fontId="0" fillId="0" borderId="0" xfId="0" applyAlignment="1"/>
    <xf numFmtId="169" fontId="5" fillId="0" borderId="0" xfId="2" applyNumberFormat="1" applyFont="1" applyAlignment="1"/>
    <xf numFmtId="1" fontId="0" fillId="0" borderId="0" xfId="0" applyNumberFormat="1" applyAlignment="1"/>
    <xf numFmtId="2" fontId="5" fillId="0" borderId="0" xfId="0" applyNumberFormat="1" applyFont="1" applyAlignment="1"/>
    <xf numFmtId="2" fontId="3" fillId="0" borderId="0" xfId="0" applyNumberFormat="1" applyFont="1" applyAlignment="1"/>
    <xf numFmtId="2" fontId="0" fillId="0" borderId="0" xfId="0" applyNumberFormat="1" applyAlignment="1"/>
    <xf numFmtId="169" fontId="0" fillId="0" borderId="0" xfId="2" applyNumberFormat="1" applyFont="1" applyAlignment="1"/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3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/>
    <xf numFmtId="0" fontId="0" fillId="2" borderId="0" xfId="0" applyFill="1" applyAlignment="1"/>
    <xf numFmtId="2" fontId="3" fillId="2" borderId="0" xfId="0" applyNumberFormat="1" applyFont="1" applyFill="1" applyAlignment="1"/>
    <xf numFmtId="2" fontId="5" fillId="2" borderId="0" xfId="0" applyNumberFormat="1" applyFont="1" applyFill="1" applyAlignment="1"/>
    <xf numFmtId="3" fontId="0" fillId="2" borderId="0" xfId="0" applyNumberFormat="1" applyFill="1" applyAlignment="1"/>
    <xf numFmtId="2" fontId="0" fillId="2" borderId="0" xfId="0" applyNumberFormat="1" applyFill="1" applyAlignment="1"/>
    <xf numFmtId="169" fontId="5" fillId="2" borderId="0" xfId="2" applyNumberFormat="1" applyFont="1" applyFill="1" applyAlignment="1"/>
    <xf numFmtId="1" fontId="0" fillId="2" borderId="0" xfId="0" applyNumberFormat="1" applyFill="1" applyAlignment="1"/>
    <xf numFmtId="0" fontId="0" fillId="2" borderId="0" xfId="0" applyFill="1" applyAlignment="1">
      <alignment horizontal="right"/>
    </xf>
    <xf numFmtId="169" fontId="0" fillId="2" borderId="0" xfId="2" applyNumberFormat="1" applyFont="1" applyFill="1" applyAlignment="1"/>
    <xf numFmtId="14" fontId="8" fillId="0" borderId="0" xfId="0" applyNumberFormat="1" applyFont="1"/>
    <xf numFmtId="14" fontId="8" fillId="2" borderId="0" xfId="0" applyNumberFormat="1" applyFont="1" applyFill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Border="1" applyAlignment="1"/>
    <xf numFmtId="2" fontId="3" fillId="0" borderId="0" xfId="0" applyNumberFormat="1" applyFont="1" applyBorder="1" applyAlignment="1"/>
    <xf numFmtId="177" fontId="3" fillId="0" borderId="0" xfId="1" applyNumberFormat="1" applyFont="1" applyBorder="1" applyAlignment="1"/>
    <xf numFmtId="3" fontId="0" fillId="0" borderId="0" xfId="0" applyNumberFormat="1" applyBorder="1" applyAlignment="1"/>
    <xf numFmtId="169" fontId="3" fillId="0" borderId="0" xfId="2" applyNumberFormat="1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7" fillId="0" borderId="2" xfId="0" applyFont="1" applyBorder="1" applyAlignment="1"/>
    <xf numFmtId="0" fontId="0" fillId="0" borderId="2" xfId="0" applyBorder="1" applyAlignment="1"/>
    <xf numFmtId="14" fontId="3" fillId="0" borderId="3" xfId="0" applyNumberFormat="1" applyFont="1" applyBorder="1"/>
    <xf numFmtId="0" fontId="0" fillId="0" borderId="4" xfId="0" applyBorder="1"/>
    <xf numFmtId="2" fontId="3" fillId="0" borderId="4" xfId="0" applyNumberFormat="1" applyFont="1" applyBorder="1" applyAlignment="1"/>
    <xf numFmtId="177" fontId="3" fillId="0" borderId="4" xfId="1" applyNumberFormat="1" applyFont="1" applyBorder="1" applyAlignment="1"/>
    <xf numFmtId="169" fontId="3" fillId="0" borderId="4" xfId="2" applyNumberFormat="1" applyFont="1" applyBorder="1" applyAlignment="1"/>
    <xf numFmtId="14" fontId="3" fillId="0" borderId="5" xfId="0" applyNumberFormat="1" applyFont="1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2" fontId="3" fillId="0" borderId="9" xfId="0" applyNumberFormat="1" applyFont="1" applyBorder="1" applyAlignment="1"/>
    <xf numFmtId="0" fontId="5" fillId="0" borderId="9" xfId="0" applyFont="1" applyBorder="1" applyAlignment="1"/>
    <xf numFmtId="177" fontId="3" fillId="0" borderId="9" xfId="1" applyNumberFormat="1" applyFont="1" applyBorder="1" applyAlignment="1"/>
    <xf numFmtId="0" fontId="0" fillId="0" borderId="9" xfId="0" applyBorder="1" applyAlignment="1"/>
    <xf numFmtId="169" fontId="3" fillId="0" borderId="9" xfId="2" applyNumberFormat="1" applyFont="1" applyBorder="1" applyAlignment="1"/>
    <xf numFmtId="1" fontId="3" fillId="0" borderId="10" xfId="2" applyNumberFormat="1" applyFont="1" applyBorder="1" applyAlignment="1"/>
    <xf numFmtId="177" fontId="3" fillId="0" borderId="11" xfId="1" applyNumberFormat="1" applyFont="1" applyBorder="1" applyAlignment="1"/>
    <xf numFmtId="14" fontId="3" fillId="0" borderId="6" xfId="0" applyNumberFormat="1" applyFont="1" applyBorder="1"/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5" fillId="0" borderId="1" xfId="0" applyFont="1" applyBorder="1" applyAlignment="1"/>
    <xf numFmtId="177" fontId="3" fillId="0" borderId="1" xfId="1" applyNumberFormat="1" applyFont="1" applyBorder="1" applyAlignment="1"/>
    <xf numFmtId="169" fontId="3" fillId="0" borderId="1" xfId="2" applyNumberFormat="1" applyFont="1" applyBorder="1" applyAlignment="1"/>
    <xf numFmtId="177" fontId="3" fillId="0" borderId="7" xfId="1" applyNumberFormat="1" applyFont="1" applyBorder="1" applyAlignment="1"/>
    <xf numFmtId="177" fontId="3" fillId="0" borderId="12" xfId="1" applyNumberFormat="1" applyFont="1" applyBorder="1" applyAlignment="1"/>
    <xf numFmtId="169" fontId="1" fillId="2" borderId="0" xfId="2" applyNumberFormat="1" applyFill="1" applyAlignment="1"/>
    <xf numFmtId="169" fontId="1" fillId="0" borderId="0" xfId="2" applyNumberFormat="1" applyAlignment="1"/>
    <xf numFmtId="169" fontId="1" fillId="0" borderId="0" xfId="2" applyNumberFormat="1" applyFont="1" applyAlignment="1"/>
    <xf numFmtId="1" fontId="0" fillId="0" borderId="0" xfId="0" applyNumberFormat="1" applyFill="1" applyAlignment="1"/>
    <xf numFmtId="2" fontId="0" fillId="0" borderId="0" xfId="0" applyNumberFormat="1" applyFill="1" applyAlignment="1"/>
    <xf numFmtId="0" fontId="3" fillId="0" borderId="0" xfId="0" applyFont="1" applyBorder="1" applyAlignment="1">
      <alignment horizontal="center"/>
    </xf>
    <xf numFmtId="1" fontId="3" fillId="0" borderId="9" xfId="2" applyNumberFormat="1" applyFont="1" applyBorder="1" applyAlignment="1"/>
    <xf numFmtId="0" fontId="0" fillId="0" borderId="13" xfId="0" applyBorder="1" applyAlignment="1"/>
    <xf numFmtId="177" fontId="0" fillId="0" borderId="0" xfId="1" applyNumberFormat="1" applyFont="1" applyAlignment="1"/>
    <xf numFmtId="177" fontId="0" fillId="2" borderId="0" xfId="1" applyNumberFormat="1" applyFont="1" applyFill="1" applyAlignment="1"/>
    <xf numFmtId="1" fontId="3" fillId="0" borderId="0" xfId="2" applyNumberFormat="1" applyFont="1" applyBorder="1" applyAlignment="1"/>
    <xf numFmtId="177" fontId="0" fillId="0" borderId="0" xfId="0" applyNumberFormat="1" applyAlignment="1"/>
    <xf numFmtId="177" fontId="0" fillId="2" borderId="0" xfId="0" applyNumberFormat="1" applyFill="1" applyAlignment="1"/>
    <xf numFmtId="177" fontId="0" fillId="0" borderId="0" xfId="0" applyNumberFormat="1" applyFill="1" applyAlignment="1"/>
    <xf numFmtId="1" fontId="3" fillId="0" borderId="1" xfId="0" applyNumberFormat="1" applyFont="1" applyBorder="1" applyAlignment="1"/>
    <xf numFmtId="169" fontId="0" fillId="0" borderId="0" xfId="2" applyNumberFormat="1" applyFont="1" applyBorder="1" applyAlignment="1"/>
    <xf numFmtId="177" fontId="0" fillId="0" borderId="0" xfId="1" applyNumberFormat="1" applyFont="1" applyBorder="1" applyAlignment="1"/>
    <xf numFmtId="177" fontId="1" fillId="0" borderId="0" xfId="1" applyNumberFormat="1" applyAlignment="1"/>
    <xf numFmtId="177" fontId="1" fillId="2" borderId="0" xfId="1" applyNumberFormat="1" applyFill="1" applyAlignment="1"/>
    <xf numFmtId="2" fontId="5" fillId="0" borderId="0" xfId="0" applyNumberFormat="1" applyFont="1" applyFill="1" applyAlignment="1"/>
    <xf numFmtId="2" fontId="0" fillId="2" borderId="0" xfId="0" applyNumberFormat="1" applyFill="1"/>
    <xf numFmtId="1" fontId="3" fillId="0" borderId="0" xfId="0" applyNumberFormat="1" applyFont="1" applyBorder="1" applyAlignment="1"/>
    <xf numFmtId="177" fontId="1" fillId="0" borderId="0" xfId="1" applyNumberFormat="1" applyFont="1" applyAlignment="1"/>
    <xf numFmtId="43" fontId="3" fillId="0" borderId="12" xfId="1" applyNumberFormat="1" applyFont="1" applyBorder="1" applyAlignment="1"/>
    <xf numFmtId="43" fontId="3" fillId="0" borderId="11" xfId="1" applyNumberFormat="1" applyFont="1" applyBorder="1" applyAlignment="1"/>
    <xf numFmtId="43" fontId="3" fillId="0" borderId="0" xfId="1" applyNumberFormat="1" applyFont="1" applyBorder="1" applyAlignment="1"/>
    <xf numFmtId="0" fontId="0" fillId="0" borderId="1" xfId="0" applyBorder="1" applyAlignment="1"/>
    <xf numFmtId="43" fontId="3" fillId="0" borderId="4" xfId="1" applyNumberFormat="1" applyFont="1" applyBorder="1" applyAlignment="1"/>
    <xf numFmtId="0" fontId="0" fillId="0" borderId="10" xfId="0" applyBorder="1"/>
    <xf numFmtId="2" fontId="0" fillId="0" borderId="13" xfId="0" applyNumberFormat="1" applyFill="1" applyBorder="1" applyAlignment="1"/>
    <xf numFmtId="43" fontId="3" fillId="0" borderId="1" xfId="1" applyNumberFormat="1" applyFont="1" applyBorder="1" applyAlignment="1"/>
    <xf numFmtId="2" fontId="3" fillId="0" borderId="9" xfId="2" applyNumberFormat="1" applyFont="1" applyBorder="1" applyAlignment="1"/>
    <xf numFmtId="2" fontId="3" fillId="0" borderId="10" xfId="2" applyNumberFormat="1" applyFont="1" applyBorder="1" applyAlignment="1"/>
    <xf numFmtId="3" fontId="0" fillId="0" borderId="0" xfId="0" applyNumberFormat="1" applyFill="1" applyAlignment="1"/>
    <xf numFmtId="2" fontId="7" fillId="0" borderId="0" xfId="0" applyNumberFormat="1" applyFont="1" applyAlignment="1"/>
    <xf numFmtId="2" fontId="7" fillId="2" borderId="0" xfId="0" applyNumberFormat="1" applyFont="1" applyFill="1" applyAlignment="1"/>
    <xf numFmtId="169" fontId="1" fillId="0" borderId="0" xfId="2" applyNumberFormat="1" applyFont="1" applyBorder="1" applyAlignment="1"/>
    <xf numFmtId="177" fontId="1" fillId="0" borderId="0" xfId="1" applyNumberFormat="1" applyBorder="1" applyAlignment="1"/>
    <xf numFmtId="169" fontId="0" fillId="0" borderId="0" xfId="2" applyNumberFormat="1" applyFont="1" applyFill="1" applyBorder="1" applyAlignment="1"/>
    <xf numFmtId="177" fontId="0" fillId="0" borderId="13" xfId="1" applyNumberFormat="1" applyFont="1" applyBorder="1" applyAlignment="1"/>
    <xf numFmtId="177" fontId="1" fillId="0" borderId="0" xfId="1" applyNumberFormat="1" applyFill="1" applyAlignme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9"/>
  <sheetViews>
    <sheetView topLeftCell="A53" workbookViewId="0">
      <selection activeCell="AD56" sqref="AD56"/>
    </sheetView>
  </sheetViews>
  <sheetFormatPr defaultRowHeight="13.2" x14ac:dyDescent="0.25"/>
  <cols>
    <col min="29" max="29" width="10.6640625" customWidth="1"/>
  </cols>
  <sheetData>
    <row r="2" spans="1:28" x14ac:dyDescent="0.25">
      <c r="B2" s="10" t="s">
        <v>7</v>
      </c>
      <c r="C2" s="10" t="s">
        <v>7</v>
      </c>
      <c r="D2" s="10" t="s">
        <v>7</v>
      </c>
      <c r="E2" s="10" t="s">
        <v>7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  <c r="P2" s="10" t="s">
        <v>7</v>
      </c>
      <c r="Q2" s="10" t="s">
        <v>7</v>
      </c>
      <c r="R2" s="10" t="s">
        <v>7</v>
      </c>
      <c r="S2" s="10" t="s">
        <v>7</v>
      </c>
      <c r="T2" s="10" t="s">
        <v>7</v>
      </c>
      <c r="U2" s="10" t="s">
        <v>7</v>
      </c>
      <c r="V2" s="10" t="s">
        <v>7</v>
      </c>
      <c r="W2" s="10" t="s">
        <v>7</v>
      </c>
      <c r="X2" s="10" t="s">
        <v>7</v>
      </c>
      <c r="Y2" s="10" t="s">
        <v>7</v>
      </c>
    </row>
    <row r="3" spans="1:28" x14ac:dyDescent="0.25">
      <c r="A3" t="s">
        <v>4</v>
      </c>
    </row>
    <row r="4" spans="1:28" ht="15.6" x14ac:dyDescent="0.3">
      <c r="A4" s="5">
        <v>37150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AA4" s="4" t="s">
        <v>3</v>
      </c>
    </row>
    <row r="5" spans="1:28" ht="15.6" x14ac:dyDescent="0.25">
      <c r="A5" t="s">
        <v>0</v>
      </c>
      <c r="B5" s="1">
        <v>26.64</v>
      </c>
      <c r="C5" s="1">
        <v>19.940000000000001</v>
      </c>
      <c r="D5" s="1">
        <v>18.91</v>
      </c>
      <c r="E5" s="1">
        <v>18.84</v>
      </c>
      <c r="F5" s="1">
        <v>18.489999999999998</v>
      </c>
      <c r="G5" s="1">
        <v>18.86</v>
      </c>
      <c r="H5" s="1">
        <v>18.07</v>
      </c>
      <c r="I5" s="1">
        <v>19.98</v>
      </c>
      <c r="J5" s="1">
        <v>24.31</v>
      </c>
      <c r="K5" s="1">
        <v>25.08</v>
      </c>
      <c r="L5" s="1">
        <v>27.01</v>
      </c>
      <c r="M5" s="1">
        <v>27.75</v>
      </c>
      <c r="N5" s="1">
        <v>28.04</v>
      </c>
      <c r="O5" s="1">
        <v>28.03</v>
      </c>
      <c r="P5" s="1">
        <v>27.72</v>
      </c>
      <c r="Q5" s="1">
        <v>27.65</v>
      </c>
      <c r="R5" s="1">
        <v>27.71</v>
      </c>
      <c r="S5" s="1">
        <v>28.6</v>
      </c>
      <c r="T5" s="1">
        <v>28.08</v>
      </c>
      <c r="U5" s="1">
        <v>28.95</v>
      </c>
      <c r="V5" s="1">
        <v>29.55</v>
      </c>
      <c r="W5" s="1">
        <v>28.96</v>
      </c>
      <c r="X5" s="1">
        <v>24.64</v>
      </c>
      <c r="Y5" s="1">
        <v>25.15</v>
      </c>
      <c r="AA5" s="6">
        <v>26.59</v>
      </c>
    </row>
    <row r="6" spans="1:28" ht="15.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7"/>
    </row>
    <row r="7" spans="1:28" ht="15.6" x14ac:dyDescent="0.3">
      <c r="A7" t="s">
        <v>1</v>
      </c>
      <c r="B7" s="1">
        <v>28.16</v>
      </c>
      <c r="C7" s="1">
        <v>20.93</v>
      </c>
      <c r="D7" s="1">
        <v>19.89</v>
      </c>
      <c r="E7" s="1">
        <v>19.809999999999999</v>
      </c>
      <c r="F7" s="1">
        <v>19.41</v>
      </c>
      <c r="G7" s="1">
        <v>19.84</v>
      </c>
      <c r="H7" s="1">
        <v>19.239999999999998</v>
      </c>
      <c r="I7" s="1">
        <v>22.07</v>
      </c>
      <c r="J7" s="1">
        <v>28.07</v>
      </c>
      <c r="K7" s="1">
        <v>29.02</v>
      </c>
      <c r="L7" s="1">
        <v>30.9</v>
      </c>
      <c r="M7" s="1">
        <v>31.61</v>
      </c>
      <c r="N7" s="1">
        <v>32.06</v>
      </c>
      <c r="O7" s="1">
        <v>32.01</v>
      </c>
      <c r="P7" s="1">
        <v>31.7</v>
      </c>
      <c r="Q7" s="1">
        <v>31.68</v>
      </c>
      <c r="R7" s="1">
        <v>31.7</v>
      </c>
      <c r="S7" s="1">
        <v>32.68</v>
      </c>
      <c r="T7" s="1">
        <v>31.93</v>
      </c>
      <c r="U7" s="1">
        <v>33.33</v>
      </c>
      <c r="V7" s="1">
        <v>33.99</v>
      </c>
      <c r="W7" s="1">
        <v>32.9</v>
      </c>
      <c r="X7" s="1">
        <v>27.71</v>
      </c>
      <c r="Y7" s="1">
        <v>27.22</v>
      </c>
      <c r="AA7" s="7">
        <v>30.3</v>
      </c>
    </row>
    <row r="8" spans="1:28" ht="15.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7"/>
    </row>
    <row r="9" spans="1:28" ht="15.6" x14ac:dyDescent="0.3">
      <c r="A9" t="s">
        <v>2</v>
      </c>
      <c r="B9" s="1">
        <v>28.6</v>
      </c>
      <c r="C9" s="1">
        <v>21.27</v>
      </c>
      <c r="D9" s="1">
        <v>20.18</v>
      </c>
      <c r="E9" s="1">
        <v>20.100000000000001</v>
      </c>
      <c r="F9" s="1">
        <v>19.690000000000001</v>
      </c>
      <c r="G9" s="1">
        <v>20.170000000000002</v>
      </c>
      <c r="H9" s="1">
        <v>19.510000000000002</v>
      </c>
      <c r="I9" s="1">
        <v>22.36</v>
      </c>
      <c r="J9" s="1">
        <v>28.45</v>
      </c>
      <c r="K9" s="1">
        <v>29.43</v>
      </c>
      <c r="L9" s="1">
        <v>31.44</v>
      </c>
      <c r="M9" s="1">
        <v>32.130000000000003</v>
      </c>
      <c r="N9" s="1">
        <v>32.520000000000003</v>
      </c>
      <c r="O9" s="1">
        <v>32.47</v>
      </c>
      <c r="P9" s="1">
        <v>32.15</v>
      </c>
      <c r="Q9" s="1">
        <v>32.15</v>
      </c>
      <c r="R9" s="1">
        <v>32.15</v>
      </c>
      <c r="S9" s="1">
        <v>33.130000000000003</v>
      </c>
      <c r="T9" s="1">
        <v>32.409999999999997</v>
      </c>
      <c r="U9" s="1">
        <v>33.76</v>
      </c>
      <c r="V9" s="1">
        <v>34.36</v>
      </c>
      <c r="W9" s="1">
        <v>33.340000000000003</v>
      </c>
      <c r="X9" s="1">
        <v>29.55</v>
      </c>
      <c r="Y9" s="1">
        <v>27.75</v>
      </c>
      <c r="AA9" s="7">
        <v>30.734999999999999</v>
      </c>
    </row>
    <row r="10" spans="1:2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8" x14ac:dyDescent="0.25">
      <c r="A11" t="s">
        <v>5</v>
      </c>
    </row>
    <row r="12" spans="1:28" ht="15.6" x14ac:dyDescent="0.3">
      <c r="A12" s="5">
        <v>37151</v>
      </c>
      <c r="AA12" s="2" t="s">
        <v>3</v>
      </c>
    </row>
    <row r="13" spans="1:28" ht="15.6" x14ac:dyDescent="0.25">
      <c r="A13" t="s">
        <v>0</v>
      </c>
      <c r="B13" s="1">
        <v>24.61</v>
      </c>
      <c r="C13" s="1">
        <v>21.36</v>
      </c>
      <c r="D13" s="1">
        <v>20.21</v>
      </c>
      <c r="E13" s="1">
        <v>20.14</v>
      </c>
      <c r="F13" s="1">
        <v>20.25</v>
      </c>
      <c r="G13" s="1">
        <v>25.26</v>
      </c>
      <c r="H13" s="1">
        <v>30.11</v>
      </c>
      <c r="I13" s="1">
        <v>32</v>
      </c>
      <c r="J13" s="1">
        <v>32.44</v>
      </c>
      <c r="K13" s="1">
        <v>32.130000000000003</v>
      </c>
      <c r="L13" s="1">
        <v>31.94</v>
      </c>
      <c r="M13" s="1">
        <v>34.28</v>
      </c>
      <c r="N13" s="1">
        <v>33.020000000000003</v>
      </c>
      <c r="O13" s="1">
        <v>32.97</v>
      </c>
      <c r="P13" s="1">
        <v>32.549999999999997</v>
      </c>
      <c r="Q13" s="1">
        <v>31.88</v>
      </c>
      <c r="R13" s="1">
        <v>34.270000000000003</v>
      </c>
      <c r="S13" s="1">
        <v>32.46</v>
      </c>
      <c r="T13" s="1">
        <v>30.6</v>
      </c>
      <c r="U13" s="1">
        <v>32.69</v>
      </c>
      <c r="V13" s="1">
        <v>31.85</v>
      </c>
      <c r="W13" s="1">
        <v>30.58</v>
      </c>
      <c r="X13" s="1">
        <v>27.65</v>
      </c>
      <c r="Y13" s="1">
        <v>26.54</v>
      </c>
      <c r="AA13" s="3">
        <v>32.229999999999997</v>
      </c>
      <c r="AB13" s="9">
        <f>AA13-AA5</f>
        <v>5.639999999999997</v>
      </c>
    </row>
    <row r="14" spans="1:28" ht="15.6" x14ac:dyDescent="0.3">
      <c r="AA14" s="4"/>
    </row>
    <row r="15" spans="1:28" ht="15.6" x14ac:dyDescent="0.25">
      <c r="A15" t="s">
        <v>1</v>
      </c>
      <c r="B15" s="1">
        <v>25.72</v>
      </c>
      <c r="C15" s="1">
        <v>22.17</v>
      </c>
      <c r="D15" s="1">
        <v>20.95</v>
      </c>
      <c r="E15" s="1">
        <v>20.87</v>
      </c>
      <c r="F15" s="1">
        <v>20.91</v>
      </c>
      <c r="G15" s="1">
        <v>25.88</v>
      </c>
      <c r="H15" s="1">
        <v>30.68</v>
      </c>
      <c r="I15" s="1">
        <v>33.89</v>
      </c>
      <c r="J15" s="1">
        <v>35.33</v>
      </c>
      <c r="K15" s="1">
        <v>36.06</v>
      </c>
      <c r="L15" s="1">
        <v>35.880000000000003</v>
      </c>
      <c r="M15" s="1">
        <v>38.549999999999997</v>
      </c>
      <c r="N15" s="1">
        <v>37.01</v>
      </c>
      <c r="O15" s="1">
        <v>37.32</v>
      </c>
      <c r="P15" s="1">
        <v>36.99</v>
      </c>
      <c r="Q15" s="1">
        <v>36.19</v>
      </c>
      <c r="R15" s="1">
        <v>39.119999999999997</v>
      </c>
      <c r="S15" s="1">
        <v>37.15</v>
      </c>
      <c r="T15" s="1">
        <v>35.159999999999997</v>
      </c>
      <c r="U15" s="1">
        <v>37.47</v>
      </c>
      <c r="V15" s="1">
        <v>36.299999999999997</v>
      </c>
      <c r="W15" s="1">
        <v>34.159999999999997</v>
      </c>
      <c r="X15" s="1">
        <v>30.47</v>
      </c>
      <c r="Y15" s="1">
        <v>28.36</v>
      </c>
      <c r="AA15" s="3">
        <v>36.07</v>
      </c>
      <c r="AB15" s="9">
        <f>AA15-AA7</f>
        <v>5.77</v>
      </c>
    </row>
    <row r="16" spans="1:28" ht="15.6" x14ac:dyDescent="0.3">
      <c r="AA16" s="4"/>
    </row>
    <row r="17" spans="1:29" ht="15.6" x14ac:dyDescent="0.25">
      <c r="A17" t="s">
        <v>2</v>
      </c>
      <c r="B17" s="1">
        <v>26.14</v>
      </c>
      <c r="C17" s="1">
        <v>22.52</v>
      </c>
      <c r="D17" s="1">
        <v>21.27</v>
      </c>
      <c r="E17" s="1">
        <v>21.19</v>
      </c>
      <c r="F17" s="1">
        <v>21.23</v>
      </c>
      <c r="G17" s="1">
        <v>26.25</v>
      </c>
      <c r="H17" s="1">
        <v>31.1</v>
      </c>
      <c r="I17" s="1">
        <v>34.36</v>
      </c>
      <c r="J17" s="1">
        <v>36.69</v>
      </c>
      <c r="K17" s="1">
        <v>37.96</v>
      </c>
      <c r="L17" s="1">
        <v>39.67</v>
      </c>
      <c r="M17" s="1">
        <v>39.82</v>
      </c>
      <c r="N17" s="1">
        <v>39.78</v>
      </c>
      <c r="O17" s="1">
        <v>39.79</v>
      </c>
      <c r="P17" s="1">
        <v>39.78</v>
      </c>
      <c r="Q17" s="1">
        <v>39.75</v>
      </c>
      <c r="R17" s="1">
        <v>39.79</v>
      </c>
      <c r="S17" s="1">
        <v>38.5</v>
      </c>
      <c r="T17" s="1">
        <v>35.89</v>
      </c>
      <c r="U17" s="1">
        <v>38.57</v>
      </c>
      <c r="V17" s="1">
        <v>36.71</v>
      </c>
      <c r="W17" s="1">
        <v>34.630000000000003</v>
      </c>
      <c r="X17" s="1">
        <v>32.68</v>
      </c>
      <c r="Y17" s="1">
        <v>28.8</v>
      </c>
      <c r="AA17" s="3">
        <v>37.67</v>
      </c>
      <c r="AB17" s="9">
        <f>AA17-AA9</f>
        <v>6.9350000000000023</v>
      </c>
    </row>
    <row r="20" spans="1:29" x14ac:dyDescent="0.25">
      <c r="A20" t="s">
        <v>4</v>
      </c>
      <c r="AC20" s="10" t="s">
        <v>6</v>
      </c>
    </row>
    <row r="21" spans="1:29" x14ac:dyDescent="0.25">
      <c r="A21" s="5">
        <v>37157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  <c r="AC21" s="10" t="s">
        <v>5</v>
      </c>
    </row>
    <row r="22" spans="1:29" ht="15.6" x14ac:dyDescent="0.25">
      <c r="A22" t="s">
        <v>0</v>
      </c>
      <c r="B22" s="1">
        <v>23.6</v>
      </c>
      <c r="C22" s="1">
        <v>21.09</v>
      </c>
      <c r="D22" s="1">
        <v>20.8</v>
      </c>
      <c r="E22" s="1">
        <v>17.350000000000001</v>
      </c>
      <c r="F22" s="1">
        <v>15.76</v>
      </c>
      <c r="G22" s="1">
        <v>18.91</v>
      </c>
      <c r="H22" s="1">
        <v>18.760000000000002</v>
      </c>
      <c r="I22" s="1">
        <v>20.91</v>
      </c>
      <c r="J22" s="1">
        <v>23.91</v>
      </c>
      <c r="K22" s="1">
        <v>24.53</v>
      </c>
      <c r="L22" s="1">
        <v>25.98</v>
      </c>
      <c r="M22" s="1">
        <v>28.69</v>
      </c>
      <c r="N22" s="1">
        <v>28.9</v>
      </c>
      <c r="O22" s="1">
        <v>28.94</v>
      </c>
      <c r="P22" s="1">
        <v>28.93</v>
      </c>
      <c r="Q22" s="1">
        <v>28.92</v>
      </c>
      <c r="R22" s="1">
        <v>28.95</v>
      </c>
      <c r="S22" s="1">
        <v>29.57</v>
      </c>
      <c r="T22" s="1">
        <v>31.28</v>
      </c>
      <c r="U22" s="1">
        <v>31.81</v>
      </c>
      <c r="V22" s="1">
        <v>30.21</v>
      </c>
      <c r="W22" s="1">
        <v>29</v>
      </c>
      <c r="X22" s="1">
        <v>24.39</v>
      </c>
      <c r="Y22" s="1">
        <v>24.51</v>
      </c>
      <c r="AA22" s="6">
        <v>27.45</v>
      </c>
      <c r="AB22" s="9">
        <v>5.64</v>
      </c>
      <c r="AC22" s="9">
        <f>AA22+AB22</f>
        <v>33.089999999999996</v>
      </c>
    </row>
    <row r="23" spans="1:29" ht="15.6" x14ac:dyDescent="0.3">
      <c r="AA23" s="7"/>
      <c r="AC23" s="9"/>
    </row>
    <row r="24" spans="1:29" ht="15.6" x14ac:dyDescent="0.25">
      <c r="A24" t="s">
        <v>1</v>
      </c>
      <c r="B24" s="1">
        <v>25.55</v>
      </c>
      <c r="C24" s="1">
        <v>22.78</v>
      </c>
      <c r="D24" s="1">
        <v>22.58</v>
      </c>
      <c r="E24" s="1">
        <v>18.829999999999998</v>
      </c>
      <c r="F24" s="1">
        <v>17.11</v>
      </c>
      <c r="G24" s="1">
        <v>20.47</v>
      </c>
      <c r="H24" s="1">
        <v>20.059999999999999</v>
      </c>
      <c r="I24" s="1">
        <v>22.98</v>
      </c>
      <c r="J24" s="1">
        <v>27.77</v>
      </c>
      <c r="K24" s="1">
        <v>28.22</v>
      </c>
      <c r="L24" s="1">
        <v>29.77</v>
      </c>
      <c r="M24" s="1">
        <v>32.130000000000003</v>
      </c>
      <c r="N24" s="1">
        <v>32.47</v>
      </c>
      <c r="O24" s="1">
        <v>32.4</v>
      </c>
      <c r="P24" s="1">
        <v>32.25</v>
      </c>
      <c r="Q24" s="1">
        <v>32.22</v>
      </c>
      <c r="R24" s="1">
        <v>32.39</v>
      </c>
      <c r="S24" s="1">
        <v>33.57</v>
      </c>
      <c r="T24" s="1">
        <v>35.67</v>
      </c>
      <c r="U24" s="1">
        <v>35.83</v>
      </c>
      <c r="V24" s="1">
        <v>33.92</v>
      </c>
      <c r="W24" s="1">
        <v>32.42</v>
      </c>
      <c r="X24" s="1">
        <v>27.49</v>
      </c>
      <c r="Y24" s="1">
        <v>26.21</v>
      </c>
      <c r="AA24" s="6">
        <v>30.87</v>
      </c>
      <c r="AB24" s="9">
        <v>5.77</v>
      </c>
      <c r="AC24" s="9">
        <f>AA24+AB24</f>
        <v>36.64</v>
      </c>
    </row>
    <row r="25" spans="1:29" ht="15.6" x14ac:dyDescent="0.3">
      <c r="AA25" s="7"/>
      <c r="AC25" s="9"/>
    </row>
    <row r="26" spans="1:29" ht="15.6" x14ac:dyDescent="0.25">
      <c r="A26" t="s">
        <v>2</v>
      </c>
      <c r="B26" s="1">
        <v>26.05</v>
      </c>
      <c r="C26" s="1">
        <v>23.2</v>
      </c>
      <c r="D26" s="1">
        <v>23.01</v>
      </c>
      <c r="E26" s="1">
        <v>19.2</v>
      </c>
      <c r="F26" s="1">
        <v>17.440000000000001</v>
      </c>
      <c r="G26" s="1">
        <v>20.83</v>
      </c>
      <c r="H26" s="1">
        <v>20.39</v>
      </c>
      <c r="I26" s="1">
        <v>23.32</v>
      </c>
      <c r="J26" s="1">
        <v>28.16</v>
      </c>
      <c r="K26" s="1">
        <v>28.64</v>
      </c>
      <c r="L26" s="1">
        <v>31.12</v>
      </c>
      <c r="M26" s="1">
        <v>34.06</v>
      </c>
      <c r="N26" s="1">
        <v>34.270000000000003</v>
      </c>
      <c r="O26" s="1">
        <v>36.299999999999997</v>
      </c>
      <c r="P26" s="1">
        <v>36.26</v>
      </c>
      <c r="Q26" s="1">
        <v>36.14</v>
      </c>
      <c r="R26" s="1">
        <v>36.299999999999997</v>
      </c>
      <c r="S26" s="1">
        <v>36.409999999999997</v>
      </c>
      <c r="T26" s="1">
        <v>36.340000000000003</v>
      </c>
      <c r="U26" s="1">
        <v>36.58</v>
      </c>
      <c r="V26" s="1">
        <v>36.409999999999997</v>
      </c>
      <c r="W26" s="1">
        <v>34.130000000000003</v>
      </c>
      <c r="X26" s="1">
        <v>28.05</v>
      </c>
      <c r="Y26" s="1">
        <v>26.66</v>
      </c>
      <c r="AA26" s="6">
        <v>32.799999999999997</v>
      </c>
      <c r="AB26" s="9">
        <v>6.9349999999999996</v>
      </c>
      <c r="AC26" s="9">
        <f>AA26+AB26</f>
        <v>39.734999999999999</v>
      </c>
    </row>
    <row r="29" spans="1:29" x14ac:dyDescent="0.25">
      <c r="A29" t="s">
        <v>5</v>
      </c>
    </row>
    <row r="30" spans="1:29" x14ac:dyDescent="0.25">
      <c r="A30" s="5">
        <v>37158</v>
      </c>
    </row>
    <row r="31" spans="1:29" ht="15.6" x14ac:dyDescent="0.25">
      <c r="A31" t="s">
        <v>0</v>
      </c>
      <c r="B31" s="1">
        <v>23.43</v>
      </c>
      <c r="C31" s="1">
        <v>22.64</v>
      </c>
      <c r="D31" s="1">
        <v>21.61</v>
      </c>
      <c r="E31" s="1">
        <v>20.5</v>
      </c>
      <c r="F31" s="1">
        <v>21.64</v>
      </c>
      <c r="G31" s="1">
        <v>23.14</v>
      </c>
      <c r="H31" s="1">
        <v>27.89</v>
      </c>
      <c r="I31" s="1">
        <v>31.67</v>
      </c>
      <c r="J31" s="1">
        <v>36.049999999999997</v>
      </c>
      <c r="K31" s="1">
        <v>35.58</v>
      </c>
      <c r="L31" s="1">
        <v>37</v>
      </c>
      <c r="M31" s="1">
        <v>39.31</v>
      </c>
      <c r="N31" s="1">
        <v>38.31</v>
      </c>
      <c r="O31" s="1">
        <v>37.299999999999997</v>
      </c>
      <c r="P31" s="1">
        <v>37.08</v>
      </c>
      <c r="Q31" s="1">
        <v>37.049999999999997</v>
      </c>
      <c r="R31" s="1">
        <v>36.799999999999997</v>
      </c>
      <c r="S31" s="1">
        <v>37.729999999999997</v>
      </c>
      <c r="T31" s="1">
        <v>35.79</v>
      </c>
      <c r="U31" s="1">
        <v>37.909999999999997</v>
      </c>
      <c r="V31" s="1">
        <v>36.49</v>
      </c>
      <c r="W31" s="1">
        <v>31.89</v>
      </c>
      <c r="X31" s="1">
        <v>25.95</v>
      </c>
      <c r="Y31" s="1">
        <v>24.85</v>
      </c>
      <c r="AA31" s="6">
        <f>AVERAGE(H31:W31)</f>
        <v>35.865625000000001</v>
      </c>
    </row>
    <row r="32" spans="1:29" ht="15.6" x14ac:dyDescent="0.25">
      <c r="AA32" s="6"/>
    </row>
    <row r="33" spans="1:29" ht="15.6" x14ac:dyDescent="0.25">
      <c r="A33" t="s">
        <v>1</v>
      </c>
      <c r="B33" s="1">
        <v>25.06</v>
      </c>
      <c r="C33" s="1">
        <v>24.15</v>
      </c>
      <c r="D33" s="1">
        <v>22.93</v>
      </c>
      <c r="E33" s="1">
        <v>21.72</v>
      </c>
      <c r="F33" s="1">
        <v>22.91</v>
      </c>
      <c r="G33" s="1">
        <v>24.53</v>
      </c>
      <c r="H33" s="1">
        <v>29.33</v>
      </c>
      <c r="I33" s="1">
        <v>33.72</v>
      </c>
      <c r="J33" s="1">
        <v>39.130000000000003</v>
      </c>
      <c r="K33" s="1">
        <v>39.799999999999997</v>
      </c>
      <c r="L33" s="1">
        <v>41.49</v>
      </c>
      <c r="M33" s="1">
        <v>44.1</v>
      </c>
      <c r="N33" s="1">
        <v>42.98</v>
      </c>
      <c r="O33" s="1">
        <v>42.61</v>
      </c>
      <c r="P33" s="1">
        <v>42.61</v>
      </c>
      <c r="Q33" s="1">
        <v>42.64</v>
      </c>
      <c r="R33" s="1">
        <v>42.63</v>
      </c>
      <c r="S33" s="1">
        <v>43.48</v>
      </c>
      <c r="T33" s="1">
        <v>40.83</v>
      </c>
      <c r="U33" s="1">
        <v>43.04</v>
      </c>
      <c r="V33" s="1">
        <v>41.31</v>
      </c>
      <c r="W33" s="1">
        <v>35.409999999999997</v>
      </c>
      <c r="X33" s="1">
        <v>28.2</v>
      </c>
      <c r="Y33" s="1">
        <v>27.47</v>
      </c>
      <c r="AA33" s="6">
        <f>AVERAGE(H33:W33)</f>
        <v>40.319375000000001</v>
      </c>
    </row>
    <row r="34" spans="1:29" ht="15.6" x14ac:dyDescent="0.25">
      <c r="AA34" s="6"/>
    </row>
    <row r="35" spans="1:29" ht="15.6" x14ac:dyDescent="0.25">
      <c r="A35" t="s">
        <v>2</v>
      </c>
      <c r="B35" s="1">
        <v>25.51</v>
      </c>
      <c r="C35" s="1">
        <v>24.58</v>
      </c>
      <c r="D35" s="1">
        <v>23.34</v>
      </c>
      <c r="E35" s="1">
        <v>22.1</v>
      </c>
      <c r="F35" s="1">
        <v>23.31</v>
      </c>
      <c r="G35" s="1">
        <v>24.97</v>
      </c>
      <c r="H35" s="1">
        <v>29.87</v>
      </c>
      <c r="I35" s="1">
        <v>34.270000000000003</v>
      </c>
      <c r="J35" s="1">
        <v>39.76</v>
      </c>
      <c r="K35" s="1">
        <v>40.43</v>
      </c>
      <c r="L35" s="1">
        <v>42.2</v>
      </c>
      <c r="M35" s="1">
        <v>44.84</v>
      </c>
      <c r="N35" s="1">
        <v>43.72</v>
      </c>
      <c r="O35" s="1">
        <v>43.36</v>
      </c>
      <c r="P35" s="1">
        <v>43.31</v>
      </c>
      <c r="Q35" s="1">
        <v>43.32</v>
      </c>
      <c r="R35" s="1">
        <v>43.31</v>
      </c>
      <c r="S35" s="1">
        <v>44.16</v>
      </c>
      <c r="T35" s="1">
        <v>41.34</v>
      </c>
      <c r="U35" s="1">
        <v>43.58</v>
      </c>
      <c r="V35" s="1">
        <v>41.82</v>
      </c>
      <c r="W35" s="1">
        <v>36</v>
      </c>
      <c r="X35" s="1">
        <v>33.369999999999997</v>
      </c>
      <c r="Y35" s="1">
        <v>28</v>
      </c>
      <c r="AA35" s="6">
        <f>AVERAGE(H35:W35)</f>
        <v>40.955625000000012</v>
      </c>
    </row>
    <row r="36" spans="1:29" ht="15.6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A36" s="3"/>
    </row>
    <row r="38" spans="1:29" x14ac:dyDescent="0.25">
      <c r="A38" t="s">
        <v>4</v>
      </c>
      <c r="AC38" s="10" t="s">
        <v>6</v>
      </c>
    </row>
    <row r="39" spans="1:29" x14ac:dyDescent="0.25">
      <c r="A39" s="5">
        <v>37164</v>
      </c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  <c r="S39" s="8">
        <v>18</v>
      </c>
      <c r="T39" s="8">
        <v>19</v>
      </c>
      <c r="U39" s="8">
        <v>20</v>
      </c>
      <c r="V39" s="8">
        <v>21</v>
      </c>
      <c r="W39" s="8">
        <v>22</v>
      </c>
      <c r="X39" s="8">
        <v>23</v>
      </c>
      <c r="Y39" s="8">
        <v>24</v>
      </c>
      <c r="AC39" s="10" t="s">
        <v>5</v>
      </c>
    </row>
    <row r="40" spans="1:29" ht="15.6" x14ac:dyDescent="0.25">
      <c r="A40" t="s">
        <v>0</v>
      </c>
      <c r="B40" s="1">
        <v>22.04</v>
      </c>
      <c r="C40" s="1">
        <v>15.99</v>
      </c>
      <c r="D40" s="1">
        <v>15.15</v>
      </c>
      <c r="E40" s="1">
        <v>14.65</v>
      </c>
      <c r="F40" s="1">
        <v>14.61</v>
      </c>
      <c r="G40" s="1">
        <v>15.59</v>
      </c>
      <c r="H40" s="1">
        <v>14.97</v>
      </c>
      <c r="I40" s="1">
        <v>18.25</v>
      </c>
      <c r="J40" s="1">
        <v>23.86</v>
      </c>
      <c r="K40" s="1">
        <v>24.19</v>
      </c>
      <c r="L40" s="1">
        <v>24.37</v>
      </c>
      <c r="M40" s="1">
        <v>24.38</v>
      </c>
      <c r="N40" s="1">
        <v>24.38</v>
      </c>
      <c r="O40" s="1">
        <v>24.6</v>
      </c>
      <c r="P40" s="1">
        <v>24.61</v>
      </c>
      <c r="Q40" s="1">
        <v>24.68</v>
      </c>
      <c r="R40" s="1">
        <v>24.82</v>
      </c>
      <c r="S40" s="1">
        <v>25.33</v>
      </c>
      <c r="T40" s="1">
        <v>25.62</v>
      </c>
      <c r="U40" s="1">
        <v>26.67</v>
      </c>
      <c r="V40" s="1">
        <v>27.12</v>
      </c>
      <c r="W40" s="1">
        <v>25.96</v>
      </c>
      <c r="X40" s="1">
        <v>24.28</v>
      </c>
      <c r="Y40" s="1">
        <v>23.21</v>
      </c>
      <c r="AA40" s="6">
        <f>AVERAGE(H40:W40)</f>
        <v>23.988125</v>
      </c>
      <c r="AB40" s="9">
        <v>5.64</v>
      </c>
      <c r="AC40" s="9">
        <f>AA40+AB40</f>
        <v>29.628125000000001</v>
      </c>
    </row>
    <row r="41" spans="1:29" ht="15.6" x14ac:dyDescent="0.25">
      <c r="AA41" s="6"/>
      <c r="AC41" s="9"/>
    </row>
    <row r="42" spans="1:29" ht="15.6" x14ac:dyDescent="0.25">
      <c r="A42" t="s">
        <v>1</v>
      </c>
      <c r="B42" s="1">
        <v>24.08</v>
      </c>
      <c r="C42" s="1">
        <v>17.68</v>
      </c>
      <c r="D42" s="1">
        <v>16.489999999999998</v>
      </c>
      <c r="E42" s="1">
        <v>15.68</v>
      </c>
      <c r="F42" s="1">
        <v>15.57</v>
      </c>
      <c r="G42" s="1">
        <v>16.79</v>
      </c>
      <c r="H42" s="1">
        <v>16.11</v>
      </c>
      <c r="I42" s="1">
        <v>20.75</v>
      </c>
      <c r="J42" s="1">
        <v>28.28</v>
      </c>
      <c r="K42" s="1">
        <v>29.07</v>
      </c>
      <c r="L42" s="1">
        <v>29.33</v>
      </c>
      <c r="M42" s="1">
        <v>29.45</v>
      </c>
      <c r="N42" s="1">
        <v>29.35</v>
      </c>
      <c r="O42" s="1">
        <v>29.78</v>
      </c>
      <c r="P42" s="1">
        <v>29.82</v>
      </c>
      <c r="Q42" s="1">
        <v>29.67</v>
      </c>
      <c r="R42" s="1">
        <v>29.75</v>
      </c>
      <c r="S42" s="1">
        <v>30.46</v>
      </c>
      <c r="T42" s="1">
        <v>30.46</v>
      </c>
      <c r="U42" s="1">
        <v>32.22</v>
      </c>
      <c r="V42" s="1">
        <v>32.75</v>
      </c>
      <c r="W42" s="1">
        <v>30.75</v>
      </c>
      <c r="X42" s="1">
        <v>28.66</v>
      </c>
      <c r="Y42" s="1">
        <v>25.59</v>
      </c>
      <c r="AA42" s="6">
        <f>AVERAGE(H42:W42)</f>
        <v>28.625</v>
      </c>
      <c r="AB42" s="9">
        <v>5.77</v>
      </c>
      <c r="AC42" s="9">
        <f>AA42+AB42</f>
        <v>34.394999999999996</v>
      </c>
    </row>
    <row r="43" spans="1:29" ht="15.6" x14ac:dyDescent="0.25">
      <c r="AA43" s="6"/>
      <c r="AC43" s="9"/>
    </row>
    <row r="44" spans="1:29" ht="15.6" x14ac:dyDescent="0.25">
      <c r="A44" t="s">
        <v>2</v>
      </c>
      <c r="B44" s="1">
        <v>24.03</v>
      </c>
      <c r="C44" s="1">
        <v>17.62</v>
      </c>
      <c r="D44" s="1">
        <v>16.41</v>
      </c>
      <c r="E44" s="1">
        <v>15.59</v>
      </c>
      <c r="F44" s="1">
        <v>15.48</v>
      </c>
      <c r="G44" s="1">
        <v>16.670000000000002</v>
      </c>
      <c r="H44" s="1">
        <v>15.97</v>
      </c>
      <c r="I44" s="1">
        <v>20.6</v>
      </c>
      <c r="J44" s="1">
        <v>28.09</v>
      </c>
      <c r="K44" s="1">
        <v>28.93</v>
      </c>
      <c r="L44" s="1">
        <v>29.2</v>
      </c>
      <c r="M44" s="1">
        <v>29.33</v>
      </c>
      <c r="N44" s="1">
        <v>29.31</v>
      </c>
      <c r="O44" s="1">
        <v>29.67</v>
      </c>
      <c r="P44" s="1">
        <v>29.73</v>
      </c>
      <c r="Q44" s="1">
        <v>29.64</v>
      </c>
      <c r="R44" s="1">
        <v>29.67</v>
      </c>
      <c r="S44" s="1">
        <v>30.37</v>
      </c>
      <c r="T44" s="1">
        <v>30.35</v>
      </c>
      <c r="U44" s="1">
        <v>32.04</v>
      </c>
      <c r="V44" s="1">
        <v>32.590000000000003</v>
      </c>
      <c r="W44" s="1">
        <v>30.68</v>
      </c>
      <c r="X44" s="1">
        <v>28.72</v>
      </c>
      <c r="Y44" s="1">
        <v>25.61</v>
      </c>
      <c r="AA44" s="6">
        <f>AVERAGE(H44:W44)</f>
        <v>28.510625000000008</v>
      </c>
      <c r="AB44" s="9">
        <v>6.9349999999999996</v>
      </c>
      <c r="AC44" s="9">
        <f>AA44+AB44</f>
        <v>35.445625000000007</v>
      </c>
    </row>
    <row r="46" spans="1:29" x14ac:dyDescent="0.25">
      <c r="A46" t="s">
        <v>4</v>
      </c>
    </row>
    <row r="47" spans="1:29" x14ac:dyDescent="0.25">
      <c r="A47" s="5">
        <v>37164</v>
      </c>
    </row>
    <row r="48" spans="1:29" ht="15.6" x14ac:dyDescent="0.25">
      <c r="A48" t="s">
        <v>0</v>
      </c>
      <c r="B48" s="1">
        <v>20.350000000000001</v>
      </c>
      <c r="C48" s="1">
        <v>16.39</v>
      </c>
      <c r="D48" s="1">
        <v>15.52</v>
      </c>
      <c r="E48" s="1">
        <v>14.92</v>
      </c>
      <c r="F48" s="1">
        <v>15.35</v>
      </c>
      <c r="G48" s="1">
        <v>17.98</v>
      </c>
      <c r="H48" s="1">
        <v>22.9</v>
      </c>
      <c r="I48" s="1">
        <v>24.21</v>
      </c>
      <c r="J48" s="1">
        <v>25.93</v>
      </c>
      <c r="K48" s="1">
        <v>26.79</v>
      </c>
      <c r="L48" s="1">
        <v>26.18</v>
      </c>
      <c r="M48" s="1">
        <v>26.31</v>
      </c>
      <c r="N48" s="1">
        <v>26.31</v>
      </c>
      <c r="O48" s="1">
        <v>26.41</v>
      </c>
      <c r="P48" s="1">
        <v>26.56</v>
      </c>
      <c r="Q48" s="1">
        <v>25.77</v>
      </c>
      <c r="R48" s="1">
        <v>26.01</v>
      </c>
      <c r="S48" s="1">
        <v>25.93</v>
      </c>
      <c r="T48" s="1">
        <v>26.09</v>
      </c>
      <c r="U48" s="1">
        <v>27.86</v>
      </c>
      <c r="V48" s="1">
        <v>26.15</v>
      </c>
      <c r="W48" s="1">
        <v>25.45</v>
      </c>
      <c r="X48" s="1">
        <v>24.07</v>
      </c>
      <c r="Y48" s="1">
        <v>21.08</v>
      </c>
      <c r="AA48" s="6">
        <f>AVERAGE(H48:W48)</f>
        <v>25.928749999999997</v>
      </c>
      <c r="AB48" s="9">
        <f>AA48-AA40</f>
        <v>1.9406249999999972</v>
      </c>
    </row>
    <row r="49" spans="1:29" ht="15.6" x14ac:dyDescent="0.25">
      <c r="AA49" s="6"/>
      <c r="AB49" s="9"/>
    </row>
    <row r="50" spans="1:29" ht="15.6" x14ac:dyDescent="0.25">
      <c r="A50" t="s">
        <v>1</v>
      </c>
      <c r="B50" s="1">
        <v>21.62</v>
      </c>
      <c r="C50" s="1">
        <v>17.55</v>
      </c>
      <c r="D50" s="1">
        <v>16.46</v>
      </c>
      <c r="E50" s="1">
        <v>15.65</v>
      </c>
      <c r="F50" s="1">
        <v>16.309999999999999</v>
      </c>
      <c r="G50" s="1">
        <v>19.350000000000001</v>
      </c>
      <c r="H50" s="1">
        <v>24.43</v>
      </c>
      <c r="I50" s="1">
        <v>27.46</v>
      </c>
      <c r="J50" s="1">
        <v>29.66</v>
      </c>
      <c r="K50" s="1">
        <v>30.74</v>
      </c>
      <c r="L50" s="1">
        <v>30.75</v>
      </c>
      <c r="M50" s="1">
        <v>30.87</v>
      </c>
      <c r="N50" s="1">
        <v>30.87</v>
      </c>
      <c r="O50" s="1">
        <v>31.37</v>
      </c>
      <c r="P50" s="1">
        <v>31.66</v>
      </c>
      <c r="Q50" s="1">
        <v>30.79</v>
      </c>
      <c r="R50" s="1">
        <v>31.14</v>
      </c>
      <c r="S50" s="1">
        <v>30.92</v>
      </c>
      <c r="T50" s="1">
        <v>30.85</v>
      </c>
      <c r="U50" s="1">
        <v>32.950000000000003</v>
      </c>
      <c r="V50" s="1">
        <v>30.68</v>
      </c>
      <c r="W50" s="1">
        <v>29.14</v>
      </c>
      <c r="X50" s="1">
        <v>27.42</v>
      </c>
      <c r="Y50" s="1">
        <v>23.19</v>
      </c>
      <c r="AA50" s="6">
        <f>AVERAGE(H50:W50)</f>
        <v>30.267500000000002</v>
      </c>
      <c r="AB50" s="9">
        <f>AA50-AA42</f>
        <v>1.6425000000000018</v>
      </c>
    </row>
    <row r="51" spans="1:29" ht="15.6" x14ac:dyDescent="0.25">
      <c r="AA51" s="6"/>
      <c r="AB51" s="9"/>
    </row>
    <row r="52" spans="1:29" ht="15.6" x14ac:dyDescent="0.25">
      <c r="A52" t="s">
        <v>2</v>
      </c>
      <c r="B52" s="1">
        <v>21.99</v>
      </c>
      <c r="C52" s="1">
        <v>17.84</v>
      </c>
      <c r="D52" s="1">
        <v>16.73</v>
      </c>
      <c r="E52" s="1">
        <v>15.88</v>
      </c>
      <c r="F52" s="1">
        <v>16.559999999999999</v>
      </c>
      <c r="G52" s="1">
        <v>19.66</v>
      </c>
      <c r="H52" s="1">
        <v>24.83</v>
      </c>
      <c r="I52" s="1">
        <v>27.95</v>
      </c>
      <c r="J52" s="1">
        <v>30.22</v>
      </c>
      <c r="K52" s="1">
        <v>31.35</v>
      </c>
      <c r="L52" s="1">
        <v>31.37</v>
      </c>
      <c r="M52" s="1">
        <v>32.21</v>
      </c>
      <c r="N52" s="1">
        <v>32.21</v>
      </c>
      <c r="O52" s="1">
        <v>31.94</v>
      </c>
      <c r="P52" s="1">
        <v>32.22</v>
      </c>
      <c r="Q52" s="1">
        <v>31.34</v>
      </c>
      <c r="R52" s="1">
        <v>31.64</v>
      </c>
      <c r="S52" s="1">
        <v>31.47</v>
      </c>
      <c r="T52" s="1">
        <v>31.36</v>
      </c>
      <c r="U52" s="1">
        <v>33.47</v>
      </c>
      <c r="V52" s="1">
        <v>31.14</v>
      </c>
      <c r="W52" s="1">
        <v>29.56</v>
      </c>
      <c r="X52" s="1">
        <v>27.92</v>
      </c>
      <c r="Y52" s="1">
        <v>23.6</v>
      </c>
      <c r="AA52" s="6">
        <f>AVERAGE(H52:W52)</f>
        <v>30.892500000000002</v>
      </c>
      <c r="AB52" s="9">
        <f>AA52-AA44</f>
        <v>2.3818749999999937</v>
      </c>
    </row>
    <row r="53" spans="1:29" ht="15.6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A53" s="6"/>
      <c r="AB53" s="9"/>
    </row>
    <row r="55" spans="1:29" x14ac:dyDescent="0.25">
      <c r="A55" t="s">
        <v>4</v>
      </c>
    </row>
    <row r="56" spans="1:29" x14ac:dyDescent="0.25">
      <c r="A56" s="5">
        <v>37171</v>
      </c>
      <c r="B56" s="8">
        <v>1</v>
      </c>
      <c r="C56" s="8">
        <v>2</v>
      </c>
      <c r="D56" s="8">
        <v>3</v>
      </c>
      <c r="E56" s="8">
        <v>4</v>
      </c>
      <c r="F56" s="8">
        <v>5</v>
      </c>
      <c r="G56" s="8">
        <v>6</v>
      </c>
      <c r="H56" s="8">
        <v>7</v>
      </c>
      <c r="I56" s="8">
        <v>8</v>
      </c>
      <c r="J56" s="8">
        <v>9</v>
      </c>
      <c r="K56" s="8">
        <v>10</v>
      </c>
      <c r="L56" s="8">
        <v>11</v>
      </c>
      <c r="M56" s="8">
        <v>12</v>
      </c>
      <c r="N56" s="8">
        <v>13</v>
      </c>
      <c r="O56" s="8">
        <v>14</v>
      </c>
      <c r="P56" s="8">
        <v>15</v>
      </c>
      <c r="Q56" s="8">
        <v>16</v>
      </c>
      <c r="R56" s="8">
        <v>17</v>
      </c>
      <c r="S56" s="8">
        <v>18</v>
      </c>
      <c r="T56" s="8">
        <v>19</v>
      </c>
      <c r="U56" s="8">
        <v>20</v>
      </c>
      <c r="V56" s="8">
        <v>21</v>
      </c>
      <c r="W56" s="8">
        <v>22</v>
      </c>
      <c r="X56" s="8">
        <v>23</v>
      </c>
      <c r="Y56" s="8">
        <v>24</v>
      </c>
      <c r="AC56" s="10" t="s">
        <v>5</v>
      </c>
    </row>
    <row r="57" spans="1:29" ht="15.6" x14ac:dyDescent="0.25">
      <c r="A57" t="s">
        <v>0</v>
      </c>
      <c r="B57" s="1">
        <v>25.83</v>
      </c>
      <c r="C57" s="1">
        <v>22.52</v>
      </c>
      <c r="D57" s="1">
        <v>22.18</v>
      </c>
      <c r="E57" s="1">
        <v>22.21</v>
      </c>
      <c r="F57" s="1">
        <v>21.94</v>
      </c>
      <c r="G57" s="1">
        <v>22.39</v>
      </c>
      <c r="H57" s="1">
        <v>22.93</v>
      </c>
      <c r="I57" s="1">
        <v>23.15</v>
      </c>
      <c r="J57" s="1">
        <v>25.5</v>
      </c>
      <c r="K57" s="1">
        <v>26.52</v>
      </c>
      <c r="L57" s="1">
        <v>27.46</v>
      </c>
      <c r="M57" s="1">
        <v>27.84</v>
      </c>
      <c r="N57" s="1">
        <v>27.68</v>
      </c>
      <c r="O57" s="1">
        <v>27.55</v>
      </c>
      <c r="P57" s="1">
        <v>27.62</v>
      </c>
      <c r="Q57" s="1">
        <v>27.42</v>
      </c>
      <c r="R57" s="1">
        <v>27.85</v>
      </c>
      <c r="S57" s="1">
        <v>28.54</v>
      </c>
      <c r="T57" s="1">
        <v>30.52</v>
      </c>
      <c r="U57" s="1">
        <v>32.57</v>
      </c>
      <c r="V57" s="1">
        <v>32.75</v>
      </c>
      <c r="W57" s="1">
        <v>31.71</v>
      </c>
      <c r="X57" s="1">
        <v>26.15</v>
      </c>
      <c r="Y57" s="1">
        <v>26.16</v>
      </c>
      <c r="AA57" s="6">
        <f>AVERAGE(H57:W57)</f>
        <v>27.975625000000001</v>
      </c>
      <c r="AB57" s="9">
        <v>1.94</v>
      </c>
      <c r="AC57" s="9">
        <f>AA57+AB57</f>
        <v>29.915625000000002</v>
      </c>
    </row>
    <row r="58" spans="1:29" ht="15.6" x14ac:dyDescent="0.25">
      <c r="AA58" s="6"/>
      <c r="AC58" s="9"/>
    </row>
    <row r="59" spans="1:29" ht="15.6" x14ac:dyDescent="0.25">
      <c r="A59" t="s">
        <v>1</v>
      </c>
      <c r="B59" s="1">
        <v>26.75</v>
      </c>
      <c r="C59" s="1">
        <v>23.42</v>
      </c>
      <c r="D59" s="1">
        <v>23.12</v>
      </c>
      <c r="E59" s="1">
        <v>23.16</v>
      </c>
      <c r="F59" s="1">
        <v>22.88</v>
      </c>
      <c r="G59" s="1">
        <v>23.28</v>
      </c>
      <c r="H59" s="1">
        <v>23.86</v>
      </c>
      <c r="I59" s="1">
        <v>24.73</v>
      </c>
      <c r="J59" s="1">
        <v>27.94</v>
      </c>
      <c r="K59" s="1">
        <v>29.04</v>
      </c>
      <c r="L59" s="1">
        <v>30.38</v>
      </c>
      <c r="M59" s="1">
        <v>30.79</v>
      </c>
      <c r="N59" s="1">
        <v>30.56</v>
      </c>
      <c r="O59" s="1">
        <v>30.43</v>
      </c>
      <c r="P59" s="1">
        <v>30.19</v>
      </c>
      <c r="Q59" s="1">
        <v>30.06</v>
      </c>
      <c r="R59" s="1">
        <v>30.4</v>
      </c>
      <c r="S59" s="1">
        <v>31.45</v>
      </c>
      <c r="T59" s="1">
        <v>33.869999999999997</v>
      </c>
      <c r="U59" s="1">
        <v>35.880000000000003</v>
      </c>
      <c r="V59" s="1">
        <v>35.99</v>
      </c>
      <c r="W59" s="1">
        <v>34.76</v>
      </c>
      <c r="X59" s="1">
        <v>28.76</v>
      </c>
      <c r="Y59" s="1">
        <v>27.72</v>
      </c>
      <c r="AA59" s="6">
        <f>AVERAGE(H59:W59)</f>
        <v>30.645624999999999</v>
      </c>
      <c r="AB59" s="9">
        <v>1.64</v>
      </c>
      <c r="AC59" s="9">
        <f>AA59+AB59</f>
        <v>32.285624999999996</v>
      </c>
    </row>
    <row r="60" spans="1:29" ht="15.6" x14ac:dyDescent="0.25">
      <c r="AA60" s="6"/>
      <c r="AC60" s="9"/>
    </row>
    <row r="61" spans="1:29" ht="15.6" x14ac:dyDescent="0.25">
      <c r="A61" t="s">
        <v>2</v>
      </c>
      <c r="B61" s="1">
        <v>26.95</v>
      </c>
      <c r="C61" s="1">
        <v>23.6</v>
      </c>
      <c r="D61" s="1">
        <v>23.3</v>
      </c>
      <c r="E61" s="1">
        <v>23.33</v>
      </c>
      <c r="F61" s="1">
        <v>23.06</v>
      </c>
      <c r="G61" s="1">
        <v>23.45</v>
      </c>
      <c r="H61" s="1">
        <v>24.04</v>
      </c>
      <c r="I61" s="1">
        <v>24.86</v>
      </c>
      <c r="J61" s="1">
        <v>28</v>
      </c>
      <c r="K61" s="1">
        <v>29.02</v>
      </c>
      <c r="L61" s="1">
        <v>30.39</v>
      </c>
      <c r="M61" s="1">
        <v>30.83</v>
      </c>
      <c r="N61" s="1">
        <v>30.62</v>
      </c>
      <c r="O61" s="1">
        <v>30.49</v>
      </c>
      <c r="P61" s="1">
        <v>30.25</v>
      </c>
      <c r="Q61" s="1">
        <v>30.13</v>
      </c>
      <c r="R61" s="1">
        <v>30.47</v>
      </c>
      <c r="S61" s="1">
        <v>31.5</v>
      </c>
      <c r="T61" s="1">
        <v>33.89</v>
      </c>
      <c r="U61" s="1">
        <v>35.880000000000003</v>
      </c>
      <c r="V61" s="1">
        <v>35.96</v>
      </c>
      <c r="W61" s="1">
        <v>34.79</v>
      </c>
      <c r="X61" s="1">
        <v>28.89</v>
      </c>
      <c r="Y61" s="1">
        <v>27.95</v>
      </c>
      <c r="AA61" s="6">
        <f>AVERAGE(H61:W61)</f>
        <v>30.695</v>
      </c>
      <c r="AB61" s="9">
        <v>2.38</v>
      </c>
      <c r="AC61" s="9">
        <f>AA61+AB61</f>
        <v>33.075000000000003</v>
      </c>
    </row>
    <row r="63" spans="1:29" x14ac:dyDescent="0.25">
      <c r="A63" t="s">
        <v>5</v>
      </c>
    </row>
    <row r="64" spans="1:29" x14ac:dyDescent="0.25">
      <c r="A64" s="5">
        <v>37172</v>
      </c>
    </row>
    <row r="65" spans="1:28" ht="15.6" x14ac:dyDescent="0.25">
      <c r="A65" t="s">
        <v>0</v>
      </c>
      <c r="B65" s="1">
        <v>27.53</v>
      </c>
      <c r="C65" s="1">
        <v>25.09</v>
      </c>
      <c r="D65" s="1">
        <v>22.79</v>
      </c>
      <c r="E65" s="1">
        <v>23.35</v>
      </c>
      <c r="F65" s="1">
        <v>24.85</v>
      </c>
      <c r="G65" s="1">
        <v>26.82</v>
      </c>
      <c r="H65" s="1">
        <v>31.86</v>
      </c>
      <c r="I65" s="1">
        <v>29.72</v>
      </c>
      <c r="J65" s="1">
        <v>31.15</v>
      </c>
      <c r="K65" s="1">
        <v>31.16</v>
      </c>
      <c r="L65" s="1">
        <v>30.76</v>
      </c>
      <c r="M65" s="1">
        <v>30.94</v>
      </c>
      <c r="N65" s="1">
        <v>30.05</v>
      </c>
      <c r="O65" s="1">
        <v>28.75</v>
      </c>
      <c r="P65" s="1">
        <v>28.82</v>
      </c>
      <c r="Q65" s="1">
        <v>27.82</v>
      </c>
      <c r="R65" s="1">
        <v>28.35</v>
      </c>
      <c r="S65" s="1">
        <v>30.58</v>
      </c>
      <c r="T65" s="1">
        <v>31.3</v>
      </c>
      <c r="U65" s="1">
        <v>31.98</v>
      </c>
      <c r="V65" s="1">
        <v>31.32</v>
      </c>
      <c r="W65" s="1">
        <v>31.04</v>
      </c>
      <c r="X65" s="1">
        <v>25.35</v>
      </c>
      <c r="Y65" s="1">
        <v>26.93</v>
      </c>
      <c r="AA65" s="6">
        <f>AVERAGE(H65:W65)</f>
        <v>30.35</v>
      </c>
      <c r="AB65" s="9">
        <f>AA65-AA57</f>
        <v>2.3743750000000006</v>
      </c>
    </row>
    <row r="66" spans="1:28" ht="15.6" x14ac:dyDescent="0.25">
      <c r="AA66" s="6"/>
      <c r="AB66" s="9"/>
    </row>
    <row r="67" spans="1:28" ht="15.6" x14ac:dyDescent="0.25">
      <c r="A67" t="s">
        <v>1</v>
      </c>
      <c r="B67" s="1">
        <v>28.08</v>
      </c>
      <c r="C67" s="1">
        <v>25.88</v>
      </c>
      <c r="D67" s="1">
        <v>23.51</v>
      </c>
      <c r="E67" s="1">
        <v>24.15</v>
      </c>
      <c r="F67" s="1">
        <v>25.64</v>
      </c>
      <c r="G67" s="1">
        <v>27.23</v>
      </c>
      <c r="H67" s="1">
        <v>33.479999999999997</v>
      </c>
      <c r="I67" s="1">
        <v>31.64</v>
      </c>
      <c r="J67" s="1">
        <v>34.549999999999997</v>
      </c>
      <c r="K67" s="1">
        <v>35</v>
      </c>
      <c r="L67" s="1">
        <v>35.18</v>
      </c>
      <c r="M67" s="1">
        <v>35.33</v>
      </c>
      <c r="N67" s="1">
        <v>34.35</v>
      </c>
      <c r="O67" s="1">
        <v>33.08</v>
      </c>
      <c r="P67" s="1">
        <v>32.99</v>
      </c>
      <c r="Q67" s="1">
        <v>31.67</v>
      </c>
      <c r="R67" s="1">
        <v>32.31</v>
      </c>
      <c r="S67" s="1">
        <v>35.14</v>
      </c>
      <c r="T67" s="1">
        <v>36.15</v>
      </c>
      <c r="U67" s="1">
        <v>37.119999999999997</v>
      </c>
      <c r="V67" s="1">
        <v>36.450000000000003</v>
      </c>
      <c r="W67" s="1">
        <v>35.07</v>
      </c>
      <c r="X67" s="1">
        <v>28.42</v>
      </c>
      <c r="Y67" s="1">
        <v>29.06</v>
      </c>
      <c r="AA67" s="6">
        <f>AVERAGE(H67:W67)</f>
        <v>34.344375000000007</v>
      </c>
      <c r="AB67" s="9">
        <f>AA67-AA59</f>
        <v>3.6987500000000075</v>
      </c>
    </row>
    <row r="68" spans="1:28" ht="15.6" x14ac:dyDescent="0.25">
      <c r="AA68" s="6"/>
      <c r="AB68" s="9"/>
    </row>
    <row r="69" spans="1:28" ht="15.6" x14ac:dyDescent="0.25">
      <c r="A69" t="s">
        <v>2</v>
      </c>
      <c r="B69" s="1">
        <v>28.18</v>
      </c>
      <c r="C69" s="1">
        <v>26.08</v>
      </c>
      <c r="D69" s="1">
        <v>23.7</v>
      </c>
      <c r="E69" s="1">
        <v>24.37</v>
      </c>
      <c r="F69" s="1">
        <v>25.89</v>
      </c>
      <c r="G69" s="1">
        <v>27.37</v>
      </c>
      <c r="H69" s="1">
        <v>33.46</v>
      </c>
      <c r="I69" s="1">
        <v>31.8</v>
      </c>
      <c r="J69" s="1">
        <v>34.68</v>
      </c>
      <c r="K69" s="1">
        <v>35.19</v>
      </c>
      <c r="L69" s="1">
        <v>35.4</v>
      </c>
      <c r="M69" s="1">
        <v>35.53</v>
      </c>
      <c r="N69" s="1">
        <v>34.520000000000003</v>
      </c>
      <c r="O69" s="1">
        <v>33.25</v>
      </c>
      <c r="P69" s="1">
        <v>33.18</v>
      </c>
      <c r="Q69" s="1">
        <v>31.83</v>
      </c>
      <c r="R69" s="1">
        <v>32.43</v>
      </c>
      <c r="S69" s="1">
        <v>35.22</v>
      </c>
      <c r="T69" s="1">
        <v>36.22</v>
      </c>
      <c r="U69" s="1">
        <v>37.159999999999997</v>
      </c>
      <c r="V69" s="1">
        <v>36.43</v>
      </c>
      <c r="W69" s="1">
        <v>35.130000000000003</v>
      </c>
      <c r="X69" s="1">
        <v>28.64</v>
      </c>
      <c r="Y69" s="1">
        <v>29.23</v>
      </c>
      <c r="AA69" s="6">
        <f>AVERAGE(H69:W69)</f>
        <v>34.464374999999997</v>
      </c>
      <c r="AB69" s="9">
        <f>AA69-AA61</f>
        <v>3.7693749999999966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topLeftCell="A15" workbookViewId="0">
      <selection activeCell="E36" sqref="E36"/>
    </sheetView>
  </sheetViews>
  <sheetFormatPr defaultRowHeight="13.2" x14ac:dyDescent="0.25"/>
  <cols>
    <col min="1" max="1" width="14.44140625" customWidth="1"/>
    <col min="2" max="2" width="2.33203125" customWidth="1"/>
    <col min="3" max="3" width="9.109375" style="8" customWidth="1"/>
    <col min="4" max="4" width="6.33203125" style="13" customWidth="1"/>
    <col min="5" max="5" width="9.109375" style="8" customWidth="1"/>
    <col min="6" max="6" width="5.88671875" style="13" customWidth="1"/>
    <col min="7" max="7" width="9.5546875" style="8" customWidth="1"/>
    <col min="8" max="8" width="6.6640625" style="13" customWidth="1"/>
    <col min="9" max="9" width="8.33203125" style="8" customWidth="1"/>
    <col min="10" max="10" width="6.6640625" style="15" customWidth="1"/>
    <col min="11" max="11" width="2.109375" style="13" customWidth="1"/>
    <col min="12" max="12" width="10.109375" customWidth="1"/>
    <col min="13" max="13" width="1.6640625" customWidth="1"/>
    <col min="14" max="14" width="11.33203125" customWidth="1"/>
    <col min="15" max="15" width="1.88671875" customWidth="1"/>
    <col min="16" max="16" width="7.6640625" customWidth="1"/>
    <col min="17" max="17" width="1.5546875" customWidth="1"/>
    <col min="18" max="18" width="9.88671875" customWidth="1"/>
    <col min="19" max="19" width="7.5546875" customWidth="1"/>
    <col min="20" max="20" width="11" customWidth="1"/>
    <col min="21" max="21" width="1.6640625" customWidth="1"/>
    <col min="22" max="22" width="12.44140625" customWidth="1"/>
    <col min="23" max="23" width="2.109375" customWidth="1"/>
    <col min="24" max="24" width="9.6640625" customWidth="1"/>
  </cols>
  <sheetData>
    <row r="2" spans="1:24" x14ac:dyDescent="0.25">
      <c r="R2" s="12" t="s">
        <v>61</v>
      </c>
    </row>
    <row r="3" spans="1:24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8" thickBot="1" x14ac:dyDescent="0.3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8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5"/>
    <row r="7" spans="1:24" s="31" customFormat="1" x14ac:dyDescent="0.25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0">
        <v>0.56599999999999995</v>
      </c>
      <c r="O7" s="35"/>
      <c r="P7" s="41">
        <f>22485/24</f>
        <v>936.875</v>
      </c>
      <c r="Q7" s="41"/>
      <c r="R7" s="35"/>
      <c r="S7" s="35"/>
      <c r="T7" s="43">
        <v>0.59</v>
      </c>
      <c r="U7" s="35"/>
      <c r="V7" s="42" t="s">
        <v>13</v>
      </c>
      <c r="W7" s="35"/>
      <c r="X7" s="35">
        <v>728</v>
      </c>
    </row>
    <row r="8" spans="1:24" s="31" customFormat="1" ht="12.75" customHeight="1" x14ac:dyDescent="0.25">
      <c r="A8" s="45">
        <v>37164</v>
      </c>
      <c r="C8" s="32">
        <v>24.57</v>
      </c>
      <c r="D8" s="37">
        <f>C8-C7</f>
        <v>-3.0500000000000007</v>
      </c>
      <c r="E8" s="32">
        <v>29.41</v>
      </c>
      <c r="F8" s="37">
        <f>E8-E7</f>
        <v>-1.4699999999999989</v>
      </c>
      <c r="G8" s="32">
        <v>29.31</v>
      </c>
      <c r="H8" s="37">
        <f t="shared" ref="H8:H22" si="0">G8-G7</f>
        <v>-1.9299999999999997</v>
      </c>
      <c r="I8" s="36">
        <v>18.52</v>
      </c>
      <c r="J8" s="37">
        <f t="shared" ref="J8:J29" si="1">I8-I7</f>
        <v>-1.9100000000000001</v>
      </c>
      <c r="K8" s="37"/>
      <c r="L8" s="38">
        <v>17160</v>
      </c>
      <c r="M8" s="35"/>
      <c r="N8" s="40">
        <v>0.44800000000000001</v>
      </c>
      <c r="O8" s="35"/>
      <c r="P8" s="41">
        <f>19071/24</f>
        <v>794.625</v>
      </c>
      <c r="Q8" s="41"/>
      <c r="R8" s="35"/>
      <c r="S8" s="35"/>
      <c r="T8" s="43">
        <v>0.56499999999999995</v>
      </c>
      <c r="U8" s="35"/>
      <c r="V8" s="42" t="s">
        <v>14</v>
      </c>
      <c r="W8" s="35"/>
      <c r="X8" s="35">
        <v>728</v>
      </c>
    </row>
    <row r="9" spans="1:24" x14ac:dyDescent="0.25">
      <c r="A9" s="44">
        <v>37165</v>
      </c>
      <c r="B9" s="11"/>
      <c r="C9" s="26">
        <v>26</v>
      </c>
      <c r="D9" s="25">
        <f>C9-C8</f>
        <v>1.4299999999999997</v>
      </c>
      <c r="E9" s="26">
        <v>30.45</v>
      </c>
      <c r="F9" s="25">
        <f>E9-E8</f>
        <v>1.0399999999999991</v>
      </c>
      <c r="G9" s="26">
        <v>31.09</v>
      </c>
      <c r="H9" s="25">
        <f t="shared" si="0"/>
        <v>1.7800000000000011</v>
      </c>
      <c r="I9" s="26">
        <v>24.89</v>
      </c>
      <c r="J9" s="25">
        <f t="shared" si="1"/>
        <v>6.370000000000001</v>
      </c>
      <c r="K9" s="25"/>
      <c r="L9" s="21">
        <v>19598</v>
      </c>
      <c r="M9" s="27"/>
      <c r="N9" s="23">
        <v>0.55800000000000005</v>
      </c>
      <c r="O9" s="22"/>
      <c r="P9" s="24">
        <f>34701/24</f>
        <v>1445.875</v>
      </c>
      <c r="Q9" s="24"/>
      <c r="R9" s="22"/>
      <c r="S9" s="22"/>
      <c r="T9" s="28">
        <v>0.45400000000000001</v>
      </c>
      <c r="U9" s="22"/>
      <c r="V9" s="29" t="s">
        <v>15</v>
      </c>
      <c r="W9" s="22"/>
      <c r="X9" s="21">
        <v>1548</v>
      </c>
    </row>
    <row r="10" spans="1:24" x14ac:dyDescent="0.25">
      <c r="A10" s="11">
        <f t="shared" ref="A10:A39" si="2">A9+1</f>
        <v>37166</v>
      </c>
      <c r="B10" s="11"/>
      <c r="C10" s="26">
        <v>26.29</v>
      </c>
      <c r="D10" s="25">
        <f>C10-C9</f>
        <v>0.28999999999999915</v>
      </c>
      <c r="E10" s="26">
        <v>30.64</v>
      </c>
      <c r="F10" s="25">
        <f>E10-E9</f>
        <v>0.19000000000000128</v>
      </c>
      <c r="G10" s="26">
        <v>32.83</v>
      </c>
      <c r="H10" s="25">
        <f t="shared" si="0"/>
        <v>1.7399999999999984</v>
      </c>
      <c r="I10" s="26">
        <v>24.77</v>
      </c>
      <c r="J10" s="25">
        <f t="shared" si="1"/>
        <v>-0.12000000000000099</v>
      </c>
      <c r="K10" s="25"/>
      <c r="L10" s="21">
        <v>20010</v>
      </c>
      <c r="M10" s="27"/>
      <c r="N10" s="23">
        <v>0.5</v>
      </c>
      <c r="O10" s="22"/>
      <c r="P10" s="24">
        <f>29070/24</f>
        <v>1211.25</v>
      </c>
      <c r="Q10" s="24"/>
      <c r="R10" s="22"/>
      <c r="S10" s="22"/>
      <c r="T10" s="28">
        <v>0.47699999999999998</v>
      </c>
      <c r="U10" s="22"/>
      <c r="V10" s="29" t="s">
        <v>16</v>
      </c>
      <c r="W10" s="22"/>
      <c r="X10" s="21">
        <v>1548</v>
      </c>
    </row>
    <row r="11" spans="1:24" x14ac:dyDescent="0.25">
      <c r="A11" s="11">
        <f t="shared" si="2"/>
        <v>37167</v>
      </c>
      <c r="B11" s="11"/>
      <c r="C11" s="26">
        <v>26.85</v>
      </c>
      <c r="D11" s="25">
        <f t="shared" ref="D11:F13" si="3">C11-C10</f>
        <v>0.56000000000000227</v>
      </c>
      <c r="E11" s="26">
        <v>28.76</v>
      </c>
      <c r="F11" s="25">
        <f t="shared" si="3"/>
        <v>-1.879999999999999</v>
      </c>
      <c r="G11" s="26">
        <v>30.24</v>
      </c>
      <c r="H11" s="25">
        <f t="shared" si="0"/>
        <v>-2.59</v>
      </c>
      <c r="I11" s="26">
        <v>29.84</v>
      </c>
      <c r="J11" s="25">
        <f t="shared" si="1"/>
        <v>5.07</v>
      </c>
      <c r="K11" s="25"/>
      <c r="L11" s="21">
        <v>20719</v>
      </c>
      <c r="M11" s="27"/>
      <c r="N11" s="23">
        <v>0.49299999999999999</v>
      </c>
      <c r="O11" s="22"/>
      <c r="P11" s="24">
        <f>18022/24</f>
        <v>750.91666666666663</v>
      </c>
      <c r="Q11" s="24"/>
      <c r="R11" s="22"/>
      <c r="S11" s="22"/>
      <c r="T11" s="28">
        <v>0.57699999999999996</v>
      </c>
      <c r="U11" s="22"/>
      <c r="V11" s="29" t="s">
        <v>17</v>
      </c>
      <c r="W11" s="22"/>
      <c r="X11" s="21">
        <v>1548</v>
      </c>
    </row>
    <row r="12" spans="1:24" x14ac:dyDescent="0.25">
      <c r="A12" s="11">
        <f t="shared" si="2"/>
        <v>37168</v>
      </c>
      <c r="B12" s="11"/>
      <c r="C12" s="26">
        <v>27.33</v>
      </c>
      <c r="D12" s="25">
        <f t="shared" si="3"/>
        <v>0.47999999999999687</v>
      </c>
      <c r="E12" s="26">
        <v>31.66</v>
      </c>
      <c r="F12" s="25">
        <f t="shared" si="3"/>
        <v>2.8999999999999986</v>
      </c>
      <c r="G12" s="26">
        <v>33.67</v>
      </c>
      <c r="H12" s="25">
        <f t="shared" si="0"/>
        <v>3.4300000000000033</v>
      </c>
      <c r="I12" s="26">
        <v>29.87</v>
      </c>
      <c r="J12" s="25">
        <f t="shared" si="1"/>
        <v>3.0000000000001137E-2</v>
      </c>
      <c r="K12" s="25"/>
      <c r="L12" s="21">
        <v>21426</v>
      </c>
      <c r="M12" s="27"/>
      <c r="N12" s="23">
        <v>0.34499999999999997</v>
      </c>
      <c r="O12" s="22"/>
      <c r="P12" s="24">
        <f>16524/24</f>
        <v>688.5</v>
      </c>
      <c r="Q12" s="24"/>
      <c r="R12" s="22"/>
      <c r="S12" s="22"/>
      <c r="T12" s="28">
        <v>0.51400000000000001</v>
      </c>
      <c r="U12" s="22"/>
      <c r="V12" s="29" t="s">
        <v>18</v>
      </c>
      <c r="W12" s="22"/>
      <c r="X12" s="21">
        <v>728</v>
      </c>
    </row>
    <row r="13" spans="1:24" x14ac:dyDescent="0.25">
      <c r="A13" s="11">
        <f t="shared" si="2"/>
        <v>37169</v>
      </c>
      <c r="B13" s="11"/>
      <c r="C13" s="26">
        <v>26.83</v>
      </c>
      <c r="D13" s="25">
        <f t="shared" si="3"/>
        <v>-0.5</v>
      </c>
      <c r="E13" s="26">
        <v>30.86</v>
      </c>
      <c r="F13" s="25">
        <f t="shared" si="3"/>
        <v>-0.80000000000000071</v>
      </c>
      <c r="G13" s="26">
        <v>32.61</v>
      </c>
      <c r="H13" s="25">
        <f t="shared" si="0"/>
        <v>-1.0600000000000023</v>
      </c>
      <c r="I13" s="26">
        <v>28.61</v>
      </c>
      <c r="J13" s="25">
        <f t="shared" si="1"/>
        <v>-1.2600000000000016</v>
      </c>
      <c r="K13" s="25"/>
      <c r="L13" s="21">
        <v>20585</v>
      </c>
      <c r="M13" s="27"/>
      <c r="N13" s="23">
        <v>0.24030000000000001</v>
      </c>
      <c r="O13" s="22"/>
      <c r="P13" s="24">
        <f>12099/24</f>
        <v>504.125</v>
      </c>
      <c r="Q13" s="24"/>
      <c r="R13" s="22"/>
      <c r="S13" s="22"/>
      <c r="T13" s="28">
        <v>0.51500000000000001</v>
      </c>
      <c r="U13" s="22"/>
      <c r="V13" s="29" t="s">
        <v>19</v>
      </c>
      <c r="W13" s="22"/>
      <c r="X13" s="21">
        <v>1403</v>
      </c>
    </row>
    <row r="14" spans="1:24" s="31" customFormat="1" x14ac:dyDescent="0.25">
      <c r="A14" s="30">
        <f t="shared" si="2"/>
        <v>37170</v>
      </c>
      <c r="B14" s="30"/>
      <c r="C14" s="36">
        <v>29.34</v>
      </c>
      <c r="D14" s="37">
        <f t="shared" ref="D14:D39" si="4">C14-C13</f>
        <v>2.5100000000000016</v>
      </c>
      <c r="E14" s="36">
        <v>33.24</v>
      </c>
      <c r="F14" s="37">
        <f t="shared" ref="F14:F22" si="5">E14-E13</f>
        <v>2.3800000000000026</v>
      </c>
      <c r="G14" s="36">
        <v>33.42</v>
      </c>
      <c r="H14" s="37">
        <f t="shared" si="0"/>
        <v>0.81000000000000227</v>
      </c>
      <c r="I14" s="36">
        <v>24.44</v>
      </c>
      <c r="J14" s="37">
        <f t="shared" si="1"/>
        <v>-4.1699999999999982</v>
      </c>
      <c r="K14" s="37"/>
      <c r="L14" s="38">
        <v>17836</v>
      </c>
      <c r="M14" s="39"/>
      <c r="N14" s="40">
        <v>-0.57599999999999996</v>
      </c>
      <c r="O14" s="35"/>
      <c r="P14" s="41">
        <f>-4549/24</f>
        <v>-189.54166666666666</v>
      </c>
      <c r="Q14" s="41"/>
      <c r="R14" s="35"/>
      <c r="S14" s="35"/>
      <c r="T14" s="43">
        <v>0.47599999999999998</v>
      </c>
      <c r="U14" s="35"/>
      <c r="V14" s="42" t="s">
        <v>20</v>
      </c>
      <c r="W14" s="35"/>
      <c r="X14" s="38">
        <f>1403+800</f>
        <v>2203</v>
      </c>
    </row>
    <row r="15" spans="1:24" s="31" customFormat="1" x14ac:dyDescent="0.25">
      <c r="A15" s="30">
        <f t="shared" si="2"/>
        <v>37171</v>
      </c>
      <c r="B15" s="30"/>
      <c r="C15" s="36">
        <v>27.98</v>
      </c>
      <c r="D15" s="37">
        <f t="shared" si="4"/>
        <v>-1.3599999999999994</v>
      </c>
      <c r="E15" s="36">
        <v>30.65</v>
      </c>
      <c r="F15" s="37">
        <f t="shared" si="5"/>
        <v>-2.5900000000000034</v>
      </c>
      <c r="G15" s="36">
        <v>30.7</v>
      </c>
      <c r="H15" s="37">
        <f t="shared" si="0"/>
        <v>-2.7200000000000024</v>
      </c>
      <c r="I15" s="36">
        <v>23.9</v>
      </c>
      <c r="J15" s="37">
        <f t="shared" si="1"/>
        <v>-0.5400000000000027</v>
      </c>
      <c r="K15" s="37"/>
      <c r="L15" s="38">
        <v>17454</v>
      </c>
      <c r="M15" s="39"/>
      <c r="N15" s="40">
        <v>-9.8000000000000004E-2</v>
      </c>
      <c r="O15" s="35"/>
      <c r="P15" s="41">
        <f>-3658/24</f>
        <v>-152.41666666666666</v>
      </c>
      <c r="Q15" s="41"/>
      <c r="R15" s="35"/>
      <c r="S15" s="35"/>
      <c r="T15" s="43">
        <v>0.45700000000000002</v>
      </c>
      <c r="U15" s="35"/>
      <c r="V15" s="42" t="s">
        <v>21</v>
      </c>
      <c r="W15" s="35"/>
      <c r="X15" s="38">
        <f>1403+800</f>
        <v>2203</v>
      </c>
    </row>
    <row r="16" spans="1:24" x14ac:dyDescent="0.25">
      <c r="A16" s="11">
        <f t="shared" si="2"/>
        <v>37172</v>
      </c>
      <c r="B16" s="11"/>
      <c r="C16" s="26">
        <v>29.94</v>
      </c>
      <c r="D16" s="25">
        <f t="shared" si="4"/>
        <v>1.9600000000000009</v>
      </c>
      <c r="E16" s="26">
        <v>34.03</v>
      </c>
      <c r="F16" s="25">
        <f t="shared" si="5"/>
        <v>3.3800000000000026</v>
      </c>
      <c r="G16" s="26">
        <v>34.159999999999997</v>
      </c>
      <c r="H16" s="25">
        <f t="shared" si="0"/>
        <v>3.4599999999999973</v>
      </c>
      <c r="I16" s="26">
        <v>27.97</v>
      </c>
      <c r="J16" s="25">
        <f t="shared" si="1"/>
        <v>4.07</v>
      </c>
      <c r="K16" s="25"/>
      <c r="L16" s="21">
        <v>19350</v>
      </c>
      <c r="M16" s="27"/>
      <c r="N16" s="23">
        <v>2.5000000000000001E-2</v>
      </c>
      <c r="O16" s="22"/>
      <c r="P16" s="24">
        <f>493/24</f>
        <v>20.541666666666668</v>
      </c>
      <c r="Q16" s="24"/>
      <c r="R16" s="22"/>
      <c r="S16" s="22"/>
      <c r="T16" s="28">
        <v>0.498</v>
      </c>
      <c r="U16" s="22"/>
      <c r="V16" s="29" t="s">
        <v>22</v>
      </c>
      <c r="W16" s="22"/>
      <c r="X16" s="21">
        <v>1403</v>
      </c>
    </row>
    <row r="17" spans="1:24" x14ac:dyDescent="0.25">
      <c r="A17" s="11">
        <f t="shared" si="2"/>
        <v>37173</v>
      </c>
      <c r="C17" s="26">
        <v>29.38</v>
      </c>
      <c r="D17" s="25">
        <f t="shared" si="4"/>
        <v>-0.56000000000000227</v>
      </c>
      <c r="E17" s="26">
        <v>33.869999999999997</v>
      </c>
      <c r="F17" s="25">
        <f t="shared" si="5"/>
        <v>-0.16000000000000369</v>
      </c>
      <c r="G17" s="26">
        <v>34.11</v>
      </c>
      <c r="H17" s="25">
        <f t="shared" si="0"/>
        <v>-4.9999999999997158E-2</v>
      </c>
      <c r="I17" s="26">
        <v>23.75</v>
      </c>
      <c r="J17" s="25">
        <f t="shared" si="1"/>
        <v>-4.2199999999999989</v>
      </c>
      <c r="K17" s="25"/>
      <c r="L17" s="21">
        <v>19381</v>
      </c>
      <c r="M17" s="22"/>
      <c r="N17" s="23">
        <v>1E-3</v>
      </c>
      <c r="O17" s="22"/>
      <c r="P17" s="24">
        <f>25/24</f>
        <v>1.0416666666666667</v>
      </c>
      <c r="Q17" s="24"/>
      <c r="R17" s="22"/>
      <c r="S17" s="22"/>
      <c r="T17" s="28">
        <v>0.51400000000000001</v>
      </c>
      <c r="U17" s="22"/>
      <c r="V17" s="29" t="s">
        <v>23</v>
      </c>
      <c r="W17" s="22"/>
      <c r="X17" s="21">
        <f>X16+400</f>
        <v>1803</v>
      </c>
    </row>
    <row r="18" spans="1:24" x14ac:dyDescent="0.25">
      <c r="A18" s="11">
        <f t="shared" si="2"/>
        <v>37174</v>
      </c>
      <c r="C18" s="18">
        <v>26.97</v>
      </c>
      <c r="D18" s="25">
        <f t="shared" si="4"/>
        <v>-2.41</v>
      </c>
      <c r="E18" s="18">
        <v>31.43</v>
      </c>
      <c r="F18" s="25">
        <f t="shared" si="5"/>
        <v>-2.4399999999999977</v>
      </c>
      <c r="G18" s="18">
        <v>31.65</v>
      </c>
      <c r="H18" s="25">
        <f t="shared" si="0"/>
        <v>-2.4600000000000009</v>
      </c>
      <c r="I18" s="26">
        <v>21.79</v>
      </c>
      <c r="J18" s="25">
        <f t="shared" si="1"/>
        <v>-1.9600000000000009</v>
      </c>
      <c r="K18" s="25"/>
      <c r="L18" s="21">
        <v>19577</v>
      </c>
      <c r="M18" s="22"/>
      <c r="N18" s="23">
        <v>0.36099999999999999</v>
      </c>
      <c r="O18" s="22"/>
      <c r="P18" s="24">
        <f>12425/24</f>
        <v>517.70833333333337</v>
      </c>
      <c r="Q18" s="24"/>
      <c r="R18" s="22"/>
      <c r="S18" s="22"/>
      <c r="T18" s="28">
        <v>0.50800000000000001</v>
      </c>
      <c r="U18" s="22"/>
      <c r="V18" s="29" t="s">
        <v>25</v>
      </c>
      <c r="W18" s="22"/>
      <c r="X18" s="21">
        <f>X17</f>
        <v>1803</v>
      </c>
    </row>
    <row r="19" spans="1:24" x14ac:dyDescent="0.25">
      <c r="A19" s="11">
        <f t="shared" si="2"/>
        <v>37175</v>
      </c>
      <c r="C19" s="18">
        <v>29.21</v>
      </c>
      <c r="D19" s="25">
        <f t="shared" si="4"/>
        <v>2.240000000000002</v>
      </c>
      <c r="E19" s="18">
        <v>33.35</v>
      </c>
      <c r="F19" s="25">
        <f t="shared" si="5"/>
        <v>1.9200000000000017</v>
      </c>
      <c r="G19" s="18">
        <v>33.75</v>
      </c>
      <c r="H19" s="25">
        <f t="shared" si="0"/>
        <v>2.1000000000000014</v>
      </c>
      <c r="I19" s="26">
        <v>22.62</v>
      </c>
      <c r="J19" s="25">
        <f t="shared" si="1"/>
        <v>0.83000000000000185</v>
      </c>
      <c r="K19" s="19"/>
      <c r="L19" s="21">
        <v>20179</v>
      </c>
      <c r="M19" s="22"/>
      <c r="N19" s="23">
        <v>9.8000000000000004E-2</v>
      </c>
      <c r="O19" s="22"/>
      <c r="P19" s="24">
        <f>1697/24</f>
        <v>70.708333333333329</v>
      </c>
      <c r="Q19" s="24"/>
      <c r="R19" s="96">
        <f>741585/24</f>
        <v>30899.375</v>
      </c>
      <c r="S19" s="22"/>
      <c r="T19" s="28">
        <v>0.52</v>
      </c>
      <c r="U19" s="22"/>
      <c r="V19" s="29" t="s">
        <v>26</v>
      </c>
      <c r="W19" s="22"/>
      <c r="X19" s="21">
        <f>X18</f>
        <v>1803</v>
      </c>
    </row>
    <row r="20" spans="1:24" x14ac:dyDescent="0.25">
      <c r="A20" s="11">
        <f t="shared" si="2"/>
        <v>37176</v>
      </c>
      <c r="C20" s="18">
        <v>26.14</v>
      </c>
      <c r="D20" s="25">
        <f t="shared" si="4"/>
        <v>-3.0700000000000003</v>
      </c>
      <c r="E20" s="18">
        <v>31.11</v>
      </c>
      <c r="F20" s="25">
        <f t="shared" si="5"/>
        <v>-2.240000000000002</v>
      </c>
      <c r="G20" s="18">
        <v>32.53</v>
      </c>
      <c r="H20" s="25">
        <f t="shared" si="0"/>
        <v>-1.2199999999999989</v>
      </c>
      <c r="I20" s="18">
        <v>27.41</v>
      </c>
      <c r="J20" s="25">
        <f t="shared" si="1"/>
        <v>4.7899999999999991</v>
      </c>
      <c r="K20" s="19"/>
      <c r="L20" s="21">
        <v>20201</v>
      </c>
      <c r="M20" s="22"/>
      <c r="N20" s="23">
        <v>0.49199999999999999</v>
      </c>
      <c r="O20" s="22"/>
      <c r="P20" s="24">
        <f>25886/24</f>
        <v>1078.5833333333333</v>
      </c>
      <c r="Q20" s="24"/>
      <c r="R20" s="96">
        <f>740472/24</f>
        <v>30853</v>
      </c>
      <c r="S20" s="101">
        <f t="shared" ref="S20:S36" si="6">R20-R19</f>
        <v>-46.375</v>
      </c>
      <c r="T20" s="28">
        <v>0.495</v>
      </c>
      <c r="U20" s="22"/>
      <c r="V20" s="29" t="s">
        <v>27</v>
      </c>
      <c r="W20" s="22"/>
      <c r="X20" s="21">
        <f>X19</f>
        <v>1803</v>
      </c>
    </row>
    <row r="21" spans="1:24" s="31" customFormat="1" x14ac:dyDescent="0.25">
      <c r="A21" s="30">
        <f t="shared" si="2"/>
        <v>37177</v>
      </c>
      <c r="C21" s="32">
        <v>25.31</v>
      </c>
      <c r="D21" s="37">
        <f t="shared" si="4"/>
        <v>-0.83000000000000185</v>
      </c>
      <c r="E21" s="32">
        <v>29.79</v>
      </c>
      <c r="F21" s="37">
        <f t="shared" si="5"/>
        <v>-1.3200000000000003</v>
      </c>
      <c r="G21" s="32">
        <v>30.13</v>
      </c>
      <c r="H21" s="37">
        <f t="shared" si="0"/>
        <v>-2.4000000000000021</v>
      </c>
      <c r="I21" s="32">
        <v>27.05</v>
      </c>
      <c r="J21" s="37">
        <f t="shared" si="1"/>
        <v>-0.35999999999999943</v>
      </c>
      <c r="K21" s="33"/>
      <c r="L21" s="38">
        <v>18232</v>
      </c>
      <c r="M21" s="35"/>
      <c r="N21" s="40">
        <v>0.60499999999999998</v>
      </c>
      <c r="O21" s="35"/>
      <c r="P21" s="41">
        <f>35721/24</f>
        <v>1488.375</v>
      </c>
      <c r="Q21" s="41"/>
      <c r="R21" s="97">
        <f>721891/24</f>
        <v>30078.791666666668</v>
      </c>
      <c r="S21" s="100">
        <f t="shared" si="6"/>
        <v>-774.20833333333212</v>
      </c>
      <c r="T21" s="43">
        <v>0.42599999999999999</v>
      </c>
      <c r="U21" s="35"/>
      <c r="V21" s="42" t="s">
        <v>39</v>
      </c>
      <c r="W21" s="35"/>
      <c r="X21" s="38">
        <f>X20</f>
        <v>1803</v>
      </c>
    </row>
    <row r="22" spans="1:24" s="31" customFormat="1" x14ac:dyDescent="0.25">
      <c r="A22" s="30">
        <f t="shared" si="2"/>
        <v>37178</v>
      </c>
      <c r="C22" s="32">
        <v>24.52</v>
      </c>
      <c r="D22" s="37">
        <f t="shared" si="4"/>
        <v>-0.78999999999999915</v>
      </c>
      <c r="E22" s="32">
        <v>29.21</v>
      </c>
      <c r="F22" s="37">
        <f t="shared" si="5"/>
        <v>-0.57999999999999829</v>
      </c>
      <c r="G22" s="32">
        <v>29.49</v>
      </c>
      <c r="H22" s="37">
        <f t="shared" si="0"/>
        <v>-0.64000000000000057</v>
      </c>
      <c r="I22" s="32">
        <v>22.46</v>
      </c>
      <c r="J22" s="37">
        <f t="shared" si="1"/>
        <v>-4.59</v>
      </c>
      <c r="K22" s="33"/>
      <c r="L22" s="38">
        <v>18545</v>
      </c>
      <c r="M22" s="35"/>
      <c r="N22" s="40">
        <v>0.53400000000000003</v>
      </c>
      <c r="O22" s="35"/>
      <c r="P22" s="41">
        <f>33064/24</f>
        <v>1377.6666666666667</v>
      </c>
      <c r="Q22" s="41"/>
      <c r="R22" s="97">
        <f>714703/24</f>
        <v>29779.291666666668</v>
      </c>
      <c r="S22" s="100">
        <f t="shared" si="6"/>
        <v>-299.5</v>
      </c>
      <c r="T22" s="43">
        <v>0.42399999999999999</v>
      </c>
      <c r="U22" s="35"/>
      <c r="V22" s="42" t="s">
        <v>40</v>
      </c>
      <c r="W22" s="35"/>
      <c r="X22" s="38">
        <v>2284</v>
      </c>
    </row>
    <row r="23" spans="1:24" x14ac:dyDescent="0.25">
      <c r="A23" s="11">
        <f t="shared" si="2"/>
        <v>37179</v>
      </c>
      <c r="C23" s="26">
        <v>27.41</v>
      </c>
      <c r="D23" s="25">
        <f t="shared" si="4"/>
        <v>2.8900000000000006</v>
      </c>
      <c r="E23" s="26">
        <v>32</v>
      </c>
      <c r="F23" s="25">
        <f t="shared" ref="F23:F29" si="7">E23-E22</f>
        <v>2.7899999999999991</v>
      </c>
      <c r="G23" s="18">
        <v>32.99</v>
      </c>
      <c r="H23" s="25">
        <f t="shared" ref="H23:H29" si="8">G23-G22</f>
        <v>3.5000000000000036</v>
      </c>
      <c r="I23" s="26">
        <v>29</v>
      </c>
      <c r="J23" s="25">
        <f t="shared" si="1"/>
        <v>6.5399999999999991</v>
      </c>
      <c r="K23" s="19"/>
      <c r="L23" s="21">
        <v>20175</v>
      </c>
      <c r="M23" s="22"/>
      <c r="N23" s="23">
        <v>0.33500000000000002</v>
      </c>
      <c r="O23" s="22"/>
      <c r="P23" s="22">
        <f>22512/24</f>
        <v>938</v>
      </c>
      <c r="Q23" s="22"/>
      <c r="R23" s="96">
        <v>30515</v>
      </c>
      <c r="S23" s="101">
        <f t="shared" si="6"/>
        <v>735.70833333333212</v>
      </c>
      <c r="T23" s="28">
        <v>0.496</v>
      </c>
      <c r="U23" s="22"/>
      <c r="V23" s="29" t="s">
        <v>41</v>
      </c>
      <c r="W23" s="22"/>
      <c r="X23" s="21">
        <v>2284</v>
      </c>
    </row>
    <row r="24" spans="1:24" x14ac:dyDescent="0.25">
      <c r="A24" s="11">
        <f t="shared" si="2"/>
        <v>37180</v>
      </c>
      <c r="C24" s="18">
        <v>27.48</v>
      </c>
      <c r="D24" s="25">
        <f t="shared" si="4"/>
        <v>7.0000000000000284E-2</v>
      </c>
      <c r="E24" s="18">
        <v>32.869999999999997</v>
      </c>
      <c r="F24" s="25">
        <f t="shared" si="7"/>
        <v>0.86999999999999744</v>
      </c>
      <c r="G24" s="18">
        <v>33.270000000000003</v>
      </c>
      <c r="H24" s="25">
        <f t="shared" si="8"/>
        <v>0.28000000000000114</v>
      </c>
      <c r="I24" s="18">
        <v>23.82</v>
      </c>
      <c r="J24" s="25">
        <f t="shared" si="1"/>
        <v>-5.18</v>
      </c>
      <c r="K24" s="19"/>
      <c r="L24" s="21">
        <v>19790</v>
      </c>
      <c r="M24" s="22"/>
      <c r="N24" s="23">
        <v>0.35699999999999998</v>
      </c>
      <c r="O24" s="22"/>
      <c r="P24" s="24">
        <f>23793/24</f>
        <v>991.375</v>
      </c>
      <c r="Q24" s="24"/>
      <c r="R24" s="96">
        <v>29478</v>
      </c>
      <c r="S24" s="101">
        <f t="shared" si="6"/>
        <v>-1037</v>
      </c>
      <c r="T24" s="28">
        <v>0.504</v>
      </c>
      <c r="U24" s="22"/>
      <c r="V24" s="29" t="s">
        <v>42</v>
      </c>
      <c r="W24" s="22"/>
      <c r="X24" s="21">
        <v>2284</v>
      </c>
    </row>
    <row r="25" spans="1:24" x14ac:dyDescent="0.25">
      <c r="A25" s="11">
        <f t="shared" si="2"/>
        <v>37181</v>
      </c>
      <c r="C25" s="18">
        <v>28.15</v>
      </c>
      <c r="D25" s="25">
        <f t="shared" si="4"/>
        <v>0.66999999999999815</v>
      </c>
      <c r="E25" s="18">
        <v>33.35</v>
      </c>
      <c r="F25" s="25">
        <f t="shared" si="7"/>
        <v>0.48000000000000398</v>
      </c>
      <c r="G25" s="18">
        <v>33.71</v>
      </c>
      <c r="H25" s="25">
        <f t="shared" si="8"/>
        <v>0.43999999999999773</v>
      </c>
      <c r="I25" s="26">
        <v>31</v>
      </c>
      <c r="J25" s="25">
        <f t="shared" si="1"/>
        <v>7.18</v>
      </c>
      <c r="K25" s="19"/>
      <c r="L25" s="21">
        <v>19878</v>
      </c>
      <c r="M25" s="22"/>
      <c r="N25" s="23">
        <v>0.41199999999999998</v>
      </c>
      <c r="O25" s="22"/>
      <c r="P25" s="24">
        <f>28589/24</f>
        <v>1191.2083333333333</v>
      </c>
      <c r="Q25" s="24"/>
      <c r="R25" s="96">
        <v>28363</v>
      </c>
      <c r="S25" s="101">
        <f t="shared" si="6"/>
        <v>-1115</v>
      </c>
      <c r="T25" s="28">
        <v>0.49199999999999999</v>
      </c>
      <c r="U25" s="22"/>
      <c r="V25" s="29" t="s">
        <v>43</v>
      </c>
      <c r="W25" s="22"/>
      <c r="X25" s="21">
        <v>6600</v>
      </c>
    </row>
    <row r="26" spans="1:24" x14ac:dyDescent="0.25">
      <c r="A26" s="11">
        <f t="shared" si="2"/>
        <v>37182</v>
      </c>
      <c r="C26" s="18">
        <v>28.53</v>
      </c>
      <c r="D26" s="25">
        <f t="shared" si="4"/>
        <v>0.38000000000000256</v>
      </c>
      <c r="E26" s="18">
        <v>33.85</v>
      </c>
      <c r="F26" s="25">
        <f t="shared" si="7"/>
        <v>0.5</v>
      </c>
      <c r="G26" s="18">
        <v>34.729999999999997</v>
      </c>
      <c r="H26" s="25">
        <f t="shared" si="8"/>
        <v>1.019999999999996</v>
      </c>
      <c r="I26" s="18">
        <v>26.43</v>
      </c>
      <c r="J26" s="25">
        <f t="shared" si="1"/>
        <v>-4.57</v>
      </c>
      <c r="K26" s="19"/>
      <c r="L26" s="21">
        <v>19613</v>
      </c>
      <c r="M26" s="22"/>
      <c r="N26" s="23">
        <v>0.46700000000000003</v>
      </c>
      <c r="O26" s="22"/>
      <c r="P26" s="24">
        <f>29979/24</f>
        <v>1249.125</v>
      </c>
      <c r="Q26" s="24"/>
      <c r="R26" s="96">
        <v>27958</v>
      </c>
      <c r="S26" s="101">
        <f t="shared" si="6"/>
        <v>-405</v>
      </c>
      <c r="T26" s="28">
        <v>0.496</v>
      </c>
      <c r="U26" s="22"/>
      <c r="V26" s="29" t="s">
        <v>44</v>
      </c>
      <c r="W26" s="22"/>
      <c r="X26" s="21">
        <v>7005</v>
      </c>
    </row>
    <row r="27" spans="1:24" x14ac:dyDescent="0.25">
      <c r="A27" s="11">
        <f t="shared" si="2"/>
        <v>37183</v>
      </c>
      <c r="C27" s="18">
        <v>28.71</v>
      </c>
      <c r="D27" s="25">
        <f t="shared" si="4"/>
        <v>0.17999999999999972</v>
      </c>
      <c r="E27" s="18">
        <v>33.76</v>
      </c>
      <c r="F27" s="25">
        <f t="shared" si="7"/>
        <v>-9.0000000000003411E-2</v>
      </c>
      <c r="G27" s="18">
        <v>35.57</v>
      </c>
      <c r="H27" s="25">
        <f t="shared" si="8"/>
        <v>0.84000000000000341</v>
      </c>
      <c r="I27" s="18">
        <v>24.24</v>
      </c>
      <c r="J27" s="25">
        <f t="shared" si="1"/>
        <v>-2.1900000000000013</v>
      </c>
      <c r="K27" s="19"/>
      <c r="L27" s="21">
        <v>19124</v>
      </c>
      <c r="M27" s="22"/>
      <c r="N27" s="23">
        <v>0.59399999999999997</v>
      </c>
      <c r="O27" s="22"/>
      <c r="P27" s="24">
        <f>27945/24</f>
        <v>1164.375</v>
      </c>
      <c r="Q27" s="24"/>
      <c r="R27" s="96">
        <v>28230</v>
      </c>
      <c r="S27" s="101">
        <f t="shared" si="6"/>
        <v>272</v>
      </c>
      <c r="T27" s="28">
        <v>0.504</v>
      </c>
      <c r="U27" s="22"/>
      <c r="V27" s="29" t="s">
        <v>45</v>
      </c>
      <c r="W27" s="22"/>
      <c r="X27" s="21">
        <v>6733</v>
      </c>
    </row>
    <row r="28" spans="1:24" s="31" customFormat="1" x14ac:dyDescent="0.25">
      <c r="A28" s="30">
        <f t="shared" si="2"/>
        <v>37184</v>
      </c>
      <c r="C28" s="32">
        <v>25.95</v>
      </c>
      <c r="D28" s="37">
        <f t="shared" si="4"/>
        <v>-2.7600000000000016</v>
      </c>
      <c r="E28" s="36">
        <v>30.2</v>
      </c>
      <c r="F28" s="37">
        <f t="shared" si="7"/>
        <v>-3.5599999999999987</v>
      </c>
      <c r="G28" s="32">
        <v>30.57</v>
      </c>
      <c r="H28" s="37">
        <f t="shared" si="8"/>
        <v>-5</v>
      </c>
      <c r="I28" s="32">
        <v>19.579999999999998</v>
      </c>
      <c r="J28" s="37">
        <f t="shared" si="1"/>
        <v>-4.66</v>
      </c>
      <c r="K28" s="33"/>
      <c r="L28" s="38">
        <v>17563</v>
      </c>
      <c r="M28" s="35"/>
      <c r="N28" s="43">
        <v>0.59899999999999998</v>
      </c>
      <c r="O28" s="35"/>
      <c r="P28" s="41">
        <f>27414/24</f>
        <v>1142.25</v>
      </c>
      <c r="Q28" s="41"/>
      <c r="R28" s="97">
        <f>690434/24</f>
        <v>28768.083333333332</v>
      </c>
      <c r="S28" s="100">
        <f t="shared" si="6"/>
        <v>538.08333333333212</v>
      </c>
      <c r="T28" s="43">
        <v>0.45800000000000002</v>
      </c>
      <c r="U28" s="35"/>
      <c r="V28" s="42" t="s">
        <v>48</v>
      </c>
      <c r="W28" s="35"/>
      <c r="X28" s="38">
        <v>6195</v>
      </c>
    </row>
    <row r="29" spans="1:24" s="31" customFormat="1" x14ac:dyDescent="0.25">
      <c r="A29" s="30">
        <f t="shared" si="2"/>
        <v>37185</v>
      </c>
      <c r="C29" s="36">
        <v>24.9</v>
      </c>
      <c r="D29" s="37">
        <f t="shared" si="4"/>
        <v>-1.0500000000000007</v>
      </c>
      <c r="E29" s="32">
        <v>29.47</v>
      </c>
      <c r="F29" s="37">
        <f t="shared" si="7"/>
        <v>-0.73000000000000043</v>
      </c>
      <c r="G29" s="32">
        <v>29.78</v>
      </c>
      <c r="H29" s="37">
        <f t="shared" si="8"/>
        <v>-0.78999999999999915</v>
      </c>
      <c r="I29" s="36">
        <v>19</v>
      </c>
      <c r="J29" s="37">
        <f t="shared" si="1"/>
        <v>-0.57999999999999829</v>
      </c>
      <c r="K29" s="33"/>
      <c r="L29" s="38">
        <v>17485</v>
      </c>
      <c r="M29" s="35"/>
      <c r="N29" s="43">
        <v>0.51300000000000001</v>
      </c>
      <c r="O29" s="35"/>
      <c r="P29" s="41">
        <f>23790/24</f>
        <v>991.25</v>
      </c>
      <c r="Q29" s="41"/>
      <c r="R29" s="97">
        <f>683389/24</f>
        <v>28474.541666666668</v>
      </c>
      <c r="S29" s="100">
        <f t="shared" si="6"/>
        <v>-293.54166666666424</v>
      </c>
      <c r="T29" s="43">
        <v>0.45400000000000001</v>
      </c>
      <c r="U29" s="35"/>
      <c r="V29" s="42" t="s">
        <v>49</v>
      </c>
      <c r="W29" s="35"/>
      <c r="X29" s="97">
        <v>6195</v>
      </c>
    </row>
    <row r="30" spans="1:24" x14ac:dyDescent="0.25">
      <c r="A30" s="11">
        <f t="shared" si="2"/>
        <v>37186</v>
      </c>
      <c r="C30" s="18">
        <v>28.01</v>
      </c>
      <c r="D30" s="25">
        <f t="shared" si="4"/>
        <v>3.110000000000003</v>
      </c>
      <c r="E30" s="18">
        <v>32.64</v>
      </c>
      <c r="F30" s="25">
        <f t="shared" ref="F30:F36" si="9">E30-E29</f>
        <v>3.1700000000000017</v>
      </c>
      <c r="G30" s="18">
        <v>33.57</v>
      </c>
      <c r="H30" s="25">
        <f t="shared" ref="H30:H36" si="10">G30-G29</f>
        <v>3.7899999999999991</v>
      </c>
      <c r="I30" s="18">
        <v>22.44</v>
      </c>
      <c r="J30" s="25">
        <f>I30-I29</f>
        <v>3.4400000000000013</v>
      </c>
      <c r="K30" s="19"/>
      <c r="L30" s="21">
        <v>19065</v>
      </c>
      <c r="M30" s="22"/>
      <c r="N30" s="28">
        <v>0.51500000000000001</v>
      </c>
      <c r="O30" s="22"/>
      <c r="P30" s="24">
        <f>28164/24</f>
        <v>1173.5</v>
      </c>
      <c r="Q30" s="24"/>
      <c r="R30" s="96">
        <v>29177</v>
      </c>
      <c r="S30" s="101">
        <f t="shared" si="6"/>
        <v>702.45833333333212</v>
      </c>
      <c r="T30" s="28">
        <v>0.505</v>
      </c>
      <c r="U30" s="22"/>
      <c r="V30" s="29" t="s">
        <v>50</v>
      </c>
      <c r="W30" s="22"/>
      <c r="X30" s="96">
        <v>5786</v>
      </c>
    </row>
    <row r="31" spans="1:24" x14ac:dyDescent="0.25">
      <c r="A31" s="11">
        <f t="shared" si="2"/>
        <v>37187</v>
      </c>
      <c r="C31" s="18">
        <v>27.47</v>
      </c>
      <c r="D31" s="25">
        <f t="shared" si="4"/>
        <v>-0.5400000000000027</v>
      </c>
      <c r="E31" s="18">
        <v>32.93</v>
      </c>
      <c r="F31" s="25">
        <f t="shared" si="9"/>
        <v>0.28999999999999915</v>
      </c>
      <c r="G31" s="18">
        <v>33.81</v>
      </c>
      <c r="H31" s="25">
        <f t="shared" si="10"/>
        <v>0.24000000000000199</v>
      </c>
      <c r="I31" s="26">
        <v>24.5</v>
      </c>
      <c r="J31" s="25">
        <f>I31-I30</f>
        <v>2.0599999999999987</v>
      </c>
      <c r="K31" s="19"/>
      <c r="L31" s="21">
        <v>19073</v>
      </c>
      <c r="M31" s="22"/>
      <c r="N31" s="28">
        <v>0.57499999999999996</v>
      </c>
      <c r="O31" s="22"/>
      <c r="P31" s="24">
        <f>32002/24</f>
        <v>1333.4166666666667</v>
      </c>
      <c r="Q31" s="24"/>
      <c r="R31" s="96">
        <v>28848</v>
      </c>
      <c r="S31" s="101">
        <f t="shared" si="6"/>
        <v>-329</v>
      </c>
      <c r="T31" s="28">
        <v>0.50800000000000001</v>
      </c>
      <c r="U31" s="22"/>
      <c r="V31" s="29" t="s">
        <v>51</v>
      </c>
      <c r="W31" s="22"/>
      <c r="X31" s="96">
        <v>6115</v>
      </c>
    </row>
    <row r="32" spans="1:24" x14ac:dyDescent="0.25">
      <c r="A32" s="11">
        <f t="shared" si="2"/>
        <v>37188</v>
      </c>
      <c r="C32" s="18">
        <v>29.93</v>
      </c>
      <c r="D32" s="25">
        <f t="shared" si="4"/>
        <v>2.4600000000000009</v>
      </c>
      <c r="E32" s="18">
        <v>35.520000000000003</v>
      </c>
      <c r="F32" s="25">
        <f t="shared" si="9"/>
        <v>2.5900000000000034</v>
      </c>
      <c r="G32" s="18">
        <v>36.75</v>
      </c>
      <c r="H32" s="25">
        <f t="shared" si="10"/>
        <v>2.9399999999999977</v>
      </c>
      <c r="I32" s="26">
        <v>31.5</v>
      </c>
      <c r="J32" s="25">
        <f>I32-I31</f>
        <v>7</v>
      </c>
      <c r="K32" s="19"/>
      <c r="L32" s="21">
        <v>19276</v>
      </c>
      <c r="M32" s="22"/>
      <c r="N32" s="28">
        <v>0.34399999999999997</v>
      </c>
      <c r="O32" s="22"/>
      <c r="P32" s="24">
        <f>6905/24</f>
        <v>287.70833333333331</v>
      </c>
      <c r="Q32" s="24"/>
      <c r="R32" s="96">
        <v>29671</v>
      </c>
      <c r="S32" s="101">
        <f t="shared" si="6"/>
        <v>823</v>
      </c>
      <c r="T32" s="28">
        <v>0.51100000000000001</v>
      </c>
      <c r="U32" s="22"/>
      <c r="V32" s="29" t="s">
        <v>52</v>
      </c>
      <c r="W32" s="22"/>
      <c r="X32" s="96">
        <v>5291</v>
      </c>
    </row>
    <row r="33" spans="1:24" x14ac:dyDescent="0.25">
      <c r="A33" s="11">
        <f t="shared" si="2"/>
        <v>37189</v>
      </c>
      <c r="C33" s="18">
        <v>32.19</v>
      </c>
      <c r="D33" s="25">
        <f t="shared" si="4"/>
        <v>2.259999999999998</v>
      </c>
      <c r="E33" s="18">
        <v>38.549999999999997</v>
      </c>
      <c r="F33" s="25">
        <f t="shared" si="9"/>
        <v>3.029999999999994</v>
      </c>
      <c r="G33" s="18">
        <v>41.23</v>
      </c>
      <c r="H33" s="25">
        <f t="shared" si="10"/>
        <v>4.4799999999999969</v>
      </c>
      <c r="I33" s="18"/>
      <c r="J33" s="20"/>
      <c r="K33" s="19"/>
      <c r="L33" s="21">
        <v>19094</v>
      </c>
      <c r="M33" s="22"/>
      <c r="N33" s="28">
        <v>0.35499999999999998</v>
      </c>
      <c r="O33" s="22"/>
      <c r="P33" s="24">
        <f>7212/24</f>
        <v>300.5</v>
      </c>
      <c r="Q33" s="22"/>
      <c r="R33" s="96">
        <v>29235</v>
      </c>
      <c r="S33" s="101">
        <f t="shared" si="6"/>
        <v>-436</v>
      </c>
      <c r="T33" s="28">
        <v>0.53200000000000003</v>
      </c>
      <c r="U33" s="22"/>
      <c r="V33" s="29" t="s">
        <v>53</v>
      </c>
      <c r="W33" s="22"/>
      <c r="X33" s="96">
        <v>5728</v>
      </c>
    </row>
    <row r="34" spans="1:24" x14ac:dyDescent="0.25">
      <c r="A34" s="11">
        <f t="shared" si="2"/>
        <v>37190</v>
      </c>
      <c r="C34" s="18">
        <v>34.56</v>
      </c>
      <c r="D34" s="25">
        <f t="shared" si="4"/>
        <v>2.3700000000000045</v>
      </c>
      <c r="E34" s="26">
        <v>40</v>
      </c>
      <c r="F34" s="25">
        <f t="shared" si="9"/>
        <v>1.4500000000000028</v>
      </c>
      <c r="G34" s="18">
        <v>40.67</v>
      </c>
      <c r="H34" s="25">
        <f t="shared" si="10"/>
        <v>-0.55999999999999517</v>
      </c>
      <c r="I34" s="18"/>
      <c r="J34" s="20"/>
      <c r="K34" s="19"/>
      <c r="L34" s="21">
        <v>18917</v>
      </c>
      <c r="M34" s="22"/>
      <c r="N34" s="28">
        <v>0.33100000000000002</v>
      </c>
      <c r="O34" s="22"/>
      <c r="P34" s="24">
        <f>22795/24</f>
        <v>949.79166666666663</v>
      </c>
      <c r="Q34" s="22"/>
      <c r="R34" s="96">
        <f>695151/24</f>
        <v>28964.625</v>
      </c>
      <c r="S34" s="101">
        <f t="shared" si="6"/>
        <v>-270.375</v>
      </c>
      <c r="T34" s="28">
        <v>0.52900000000000003</v>
      </c>
      <c r="U34" s="22"/>
      <c r="V34" s="29" t="s">
        <v>54</v>
      </c>
      <c r="W34" s="22"/>
      <c r="X34" s="96">
        <v>5998</v>
      </c>
    </row>
    <row r="35" spans="1:24" s="31" customFormat="1" x14ac:dyDescent="0.25">
      <c r="A35" s="30">
        <f t="shared" si="2"/>
        <v>37191</v>
      </c>
      <c r="C35" s="32">
        <v>32.28</v>
      </c>
      <c r="D35" s="37">
        <f t="shared" si="4"/>
        <v>-2.2800000000000011</v>
      </c>
      <c r="E35" s="32">
        <v>37.369999999999997</v>
      </c>
      <c r="F35" s="37">
        <f t="shared" si="9"/>
        <v>-2.6300000000000026</v>
      </c>
      <c r="G35" s="32">
        <v>37.619999999999997</v>
      </c>
      <c r="H35" s="37">
        <f t="shared" si="10"/>
        <v>-3.0500000000000043</v>
      </c>
      <c r="I35" s="32"/>
      <c r="J35" s="34"/>
      <c r="K35" s="33"/>
      <c r="L35" s="38">
        <v>17068</v>
      </c>
      <c r="M35" s="35"/>
      <c r="N35" s="43">
        <v>1.143</v>
      </c>
      <c r="O35" s="35"/>
      <c r="P35" s="41">
        <f>19202/24</f>
        <v>800.08333333333337</v>
      </c>
      <c r="Q35" s="35"/>
      <c r="R35" s="97">
        <f>669674/24</f>
        <v>27903.083333333332</v>
      </c>
      <c r="S35" s="100">
        <f t="shared" si="6"/>
        <v>-1061.5416666666679</v>
      </c>
      <c r="T35" s="35"/>
      <c r="U35" s="35"/>
      <c r="V35" s="42" t="s">
        <v>55</v>
      </c>
      <c r="W35" s="35"/>
      <c r="X35" s="97">
        <v>5998</v>
      </c>
    </row>
    <row r="36" spans="1:24" s="31" customFormat="1" x14ac:dyDescent="0.25">
      <c r="A36" s="30">
        <f t="shared" si="2"/>
        <v>37192</v>
      </c>
      <c r="C36" s="32">
        <v>31.33</v>
      </c>
      <c r="D36" s="37">
        <f t="shared" si="4"/>
        <v>-0.95000000000000284</v>
      </c>
      <c r="E36" s="32">
        <v>36.69</v>
      </c>
      <c r="F36" s="37">
        <f t="shared" si="9"/>
        <v>-0.67999999999999972</v>
      </c>
      <c r="G36" s="36">
        <v>36.9</v>
      </c>
      <c r="H36" s="37">
        <f t="shared" si="10"/>
        <v>-0.71999999999999886</v>
      </c>
      <c r="I36" s="32"/>
      <c r="J36" s="34"/>
      <c r="K36" s="33"/>
      <c r="L36" s="38">
        <v>16841</v>
      </c>
      <c r="M36" s="35"/>
      <c r="N36" s="43">
        <v>0.57599999999999996</v>
      </c>
      <c r="O36" s="35"/>
      <c r="P36" s="41">
        <f>19116/24</f>
        <v>796.5</v>
      </c>
      <c r="Q36" s="35"/>
      <c r="R36" s="97">
        <f>682799/24</f>
        <v>28449.958333333332</v>
      </c>
      <c r="S36" s="100">
        <f t="shared" si="6"/>
        <v>546.875</v>
      </c>
      <c r="T36" s="35"/>
      <c r="U36" s="35"/>
      <c r="V36" s="42" t="s">
        <v>55</v>
      </c>
      <c r="W36" s="35"/>
      <c r="X36" s="97">
        <v>5998</v>
      </c>
    </row>
    <row r="37" spans="1:24" x14ac:dyDescent="0.25">
      <c r="A37" s="11">
        <f t="shared" si="2"/>
        <v>37193</v>
      </c>
      <c r="C37" s="18">
        <v>34.340000000000003</v>
      </c>
      <c r="D37" s="25">
        <f t="shared" si="4"/>
        <v>3.0100000000000051</v>
      </c>
      <c r="E37" s="18">
        <v>37.840000000000003</v>
      </c>
      <c r="F37" s="25">
        <f>E37-E36</f>
        <v>1.1500000000000057</v>
      </c>
      <c r="G37" s="18">
        <v>43.58</v>
      </c>
      <c r="H37" s="25">
        <f>G37-G36</f>
        <v>6.68</v>
      </c>
      <c r="I37" s="18"/>
      <c r="J37" s="20"/>
      <c r="K37" s="19"/>
      <c r="L37" s="21">
        <v>19628</v>
      </c>
      <c r="M37" s="22"/>
      <c r="N37" s="28">
        <v>0.58499999999999996</v>
      </c>
      <c r="O37" s="22"/>
      <c r="P37" s="24">
        <f>9584/24</f>
        <v>399.33333333333331</v>
      </c>
      <c r="Q37" s="22"/>
      <c r="R37" s="96">
        <f>678888/24</f>
        <v>28287</v>
      </c>
      <c r="S37" s="101">
        <f>R37-R36</f>
        <v>-162.95833333333212</v>
      </c>
      <c r="T37" s="22"/>
      <c r="U37" s="22"/>
      <c r="V37" s="29" t="s">
        <v>65</v>
      </c>
      <c r="W37" s="22"/>
      <c r="X37" s="96">
        <v>6676</v>
      </c>
    </row>
    <row r="38" spans="1:24" x14ac:dyDescent="0.25">
      <c r="A38" s="11">
        <f t="shared" si="2"/>
        <v>37194</v>
      </c>
      <c r="C38" s="18">
        <v>37.47</v>
      </c>
      <c r="D38" s="25">
        <f t="shared" si="4"/>
        <v>3.1299999999999955</v>
      </c>
      <c r="E38" s="18">
        <v>44.03</v>
      </c>
      <c r="F38" s="25">
        <f>E38-E37</f>
        <v>6.1899999999999977</v>
      </c>
      <c r="G38" s="18">
        <v>44.68</v>
      </c>
      <c r="H38" s="25">
        <f>G38-G37</f>
        <v>1.1000000000000014</v>
      </c>
      <c r="I38" s="18"/>
      <c r="J38" s="20"/>
      <c r="K38" s="19"/>
      <c r="L38" s="21">
        <v>19310</v>
      </c>
      <c r="M38" s="22"/>
      <c r="N38" s="28">
        <v>0.76</v>
      </c>
      <c r="O38" s="22"/>
      <c r="P38" s="24">
        <f>17096/24</f>
        <v>712.33333333333337</v>
      </c>
      <c r="Q38" s="22"/>
      <c r="R38" s="96">
        <f>653799/24</f>
        <v>27241.625</v>
      </c>
      <c r="S38" s="101">
        <f>R38-R37</f>
        <v>-1045.375</v>
      </c>
      <c r="T38" s="22"/>
      <c r="U38" s="22"/>
      <c r="V38" s="29" t="s">
        <v>66</v>
      </c>
      <c r="W38" s="22"/>
      <c r="X38" s="96">
        <v>7721</v>
      </c>
    </row>
    <row r="39" spans="1:24" x14ac:dyDescent="0.25">
      <c r="A39" s="11">
        <f t="shared" si="2"/>
        <v>37195</v>
      </c>
      <c r="C39" s="46">
        <v>33.32</v>
      </c>
      <c r="D39" s="25">
        <f t="shared" si="4"/>
        <v>-4.1499999999999986</v>
      </c>
      <c r="E39" s="46">
        <v>40.36</v>
      </c>
      <c r="F39" s="25">
        <f>E39-E38</f>
        <v>-3.6700000000000017</v>
      </c>
      <c r="G39" s="46">
        <v>40.950000000000003</v>
      </c>
      <c r="H39" s="25">
        <f>G39-G38</f>
        <v>-3.7299999999999969</v>
      </c>
      <c r="I39" s="46"/>
      <c r="J39" s="48"/>
      <c r="K39" s="47"/>
      <c r="L39" s="52">
        <v>19485</v>
      </c>
      <c r="M39" s="49"/>
      <c r="N39" s="103">
        <v>0.59799999999999998</v>
      </c>
      <c r="O39" s="49"/>
      <c r="P39" s="104">
        <f>34439/24</f>
        <v>1434.9583333333333</v>
      </c>
      <c r="Q39" s="95"/>
      <c r="R39" s="96">
        <f>655736/24</f>
        <v>27322.333333333332</v>
      </c>
      <c r="S39" s="101">
        <f>R39-R38</f>
        <v>80.708333333332121</v>
      </c>
      <c r="T39" s="22"/>
      <c r="U39" s="22"/>
      <c r="V39" s="29" t="s">
        <v>67</v>
      </c>
      <c r="W39" s="22"/>
      <c r="X39" s="96">
        <v>7721</v>
      </c>
    </row>
    <row r="40" spans="1:24" ht="13.8" thickBot="1" x14ac:dyDescent="0.3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57"/>
      <c r="O40" s="57"/>
      <c r="P40" s="57"/>
      <c r="Q40" s="49"/>
      <c r="R40" s="99"/>
      <c r="S40" s="22"/>
      <c r="T40" s="22"/>
      <c r="U40" s="22"/>
      <c r="V40" s="22"/>
      <c r="W40" s="22"/>
      <c r="X40" s="22"/>
    </row>
    <row r="41" spans="1:24" x14ac:dyDescent="0.25">
      <c r="A41" s="58" t="s">
        <v>35</v>
      </c>
      <c r="B41" s="59"/>
      <c r="C41" s="60">
        <f>AVERAGE(C9:C13)</f>
        <v>26.660000000000004</v>
      </c>
      <c r="D41" s="60">
        <f t="shared" ref="D41:P41" si="11">AVERAGE(D9:D13)</f>
        <v>0.45199999999999962</v>
      </c>
      <c r="E41" s="60">
        <f t="shared" si="11"/>
        <v>30.474</v>
      </c>
      <c r="F41" s="60">
        <f t="shared" si="11"/>
        <v>0.28999999999999987</v>
      </c>
      <c r="G41" s="60">
        <f t="shared" si="11"/>
        <v>32.088000000000001</v>
      </c>
      <c r="H41" s="60">
        <f t="shared" si="11"/>
        <v>0.66000000000000014</v>
      </c>
      <c r="I41" s="60">
        <f t="shared" si="11"/>
        <v>27.596000000000004</v>
      </c>
      <c r="J41" s="60">
        <f t="shared" si="11"/>
        <v>2.0179999999999998</v>
      </c>
      <c r="K41" s="60"/>
      <c r="L41" s="61">
        <f t="shared" si="11"/>
        <v>20467.599999999999</v>
      </c>
      <c r="M41" s="60"/>
      <c r="N41" s="62">
        <f t="shared" si="11"/>
        <v>0.42726000000000008</v>
      </c>
      <c r="O41" s="60"/>
      <c r="P41" s="61">
        <f t="shared" si="11"/>
        <v>920.13333333333321</v>
      </c>
      <c r="Q41" s="61"/>
      <c r="R41" s="61"/>
      <c r="S41" s="22"/>
      <c r="T41" s="22"/>
      <c r="U41" s="22"/>
      <c r="V41" s="22"/>
      <c r="W41" s="22"/>
      <c r="X41" s="22"/>
    </row>
    <row r="42" spans="1:24" x14ac:dyDescent="0.25">
      <c r="A42" s="63" t="s">
        <v>36</v>
      </c>
      <c r="B42" s="64"/>
      <c r="C42" s="50">
        <f t="shared" ref="C42:J42" si="12">AVERAGE(C16:C20)</f>
        <v>28.327999999999996</v>
      </c>
      <c r="D42" s="50">
        <f t="shared" si="12"/>
        <v>-0.36799999999999999</v>
      </c>
      <c r="E42" s="50">
        <f t="shared" si="12"/>
        <v>32.758000000000003</v>
      </c>
      <c r="F42" s="50">
        <f t="shared" si="12"/>
        <v>9.2000000000000165E-2</v>
      </c>
      <c r="G42" s="50">
        <f t="shared" si="12"/>
        <v>33.239999999999995</v>
      </c>
      <c r="H42" s="50">
        <f t="shared" si="12"/>
        <v>0.36600000000000038</v>
      </c>
      <c r="I42" s="50">
        <f t="shared" si="12"/>
        <v>24.707999999999998</v>
      </c>
      <c r="J42" s="50">
        <f t="shared" si="12"/>
        <v>0.70200000000000029</v>
      </c>
      <c r="K42" s="50"/>
      <c r="L42" s="51">
        <f>AVERAGE(L16:L20)</f>
        <v>19737.599999999999</v>
      </c>
      <c r="M42" s="50"/>
      <c r="N42" s="53">
        <f>AVERAGE(N16:N20)</f>
        <v>0.19539999999999999</v>
      </c>
      <c r="O42" s="50"/>
      <c r="P42" s="51">
        <f>AVERAGE(P16:P20)</f>
        <v>337.7166666666667</v>
      </c>
      <c r="Q42" s="51"/>
      <c r="R42" s="51">
        <f>AVERAGE(R16:R20)</f>
        <v>30876.1875</v>
      </c>
      <c r="S42" s="22"/>
      <c r="T42" s="22"/>
      <c r="U42" s="22"/>
      <c r="V42" s="22"/>
      <c r="W42" s="22"/>
      <c r="X42" s="22"/>
    </row>
    <row r="43" spans="1:24" x14ac:dyDescent="0.25">
      <c r="A43" s="63" t="s">
        <v>37</v>
      </c>
      <c r="B43" s="64"/>
      <c r="C43" s="50">
        <f t="shared" ref="C43:J43" si="13">AVERAGE(C23:C27)</f>
        <v>28.056000000000001</v>
      </c>
      <c r="D43" s="50">
        <f t="shared" si="13"/>
        <v>0.8380000000000003</v>
      </c>
      <c r="E43" s="50">
        <f t="shared" si="13"/>
        <v>33.165999999999997</v>
      </c>
      <c r="F43" s="50">
        <f t="shared" si="13"/>
        <v>0.90999999999999948</v>
      </c>
      <c r="G43" s="50">
        <f t="shared" si="13"/>
        <v>34.053999999999995</v>
      </c>
      <c r="H43" s="50">
        <f t="shared" si="13"/>
        <v>1.2160000000000004</v>
      </c>
      <c r="I43" s="50">
        <f t="shared" si="13"/>
        <v>26.898000000000003</v>
      </c>
      <c r="J43" s="50">
        <f t="shared" si="13"/>
        <v>0.35599999999999954</v>
      </c>
      <c r="K43" s="50"/>
      <c r="L43" s="51">
        <f>AVERAGE(L23:L27)</f>
        <v>19716</v>
      </c>
      <c r="M43" s="50"/>
      <c r="N43" s="53">
        <f>AVERAGE(N23:N27)</f>
        <v>0.433</v>
      </c>
      <c r="O43" s="50"/>
      <c r="P43" s="51">
        <f>AVERAGE(P23:P27)</f>
        <v>1106.8166666666666</v>
      </c>
      <c r="Q43" s="51"/>
      <c r="R43" s="51">
        <f>AVERAGE(R23:R27)</f>
        <v>28908.799999999999</v>
      </c>
      <c r="S43" s="22"/>
      <c r="T43" s="22"/>
      <c r="U43" s="22"/>
      <c r="V43" s="22"/>
      <c r="W43" s="22"/>
      <c r="X43" s="22"/>
    </row>
    <row r="44" spans="1:24" x14ac:dyDescent="0.25">
      <c r="A44" s="63" t="s">
        <v>38</v>
      </c>
      <c r="B44" s="64"/>
      <c r="C44" s="50">
        <f>AVERAGE(C30:C34)</f>
        <v>30.431999999999999</v>
      </c>
      <c r="D44" s="50">
        <f t="shared" ref="D44:J44" si="14">AVERAGE(D30:D34)</f>
        <v>1.9320000000000008</v>
      </c>
      <c r="E44" s="50">
        <f t="shared" si="14"/>
        <v>35.927999999999997</v>
      </c>
      <c r="F44" s="50">
        <f t="shared" si="14"/>
        <v>2.1060000000000003</v>
      </c>
      <c r="G44" s="50">
        <f t="shared" si="14"/>
        <v>37.205999999999996</v>
      </c>
      <c r="H44" s="50">
        <f t="shared" si="14"/>
        <v>2.1779999999999999</v>
      </c>
      <c r="I44" s="50">
        <f t="shared" si="14"/>
        <v>26.146666666666665</v>
      </c>
      <c r="J44" s="50">
        <f t="shared" si="14"/>
        <v>4.166666666666667</v>
      </c>
      <c r="K44" s="47"/>
      <c r="L44" s="51">
        <f>AVERAGE(L24:L28)</f>
        <v>19193.599999999999</v>
      </c>
      <c r="M44" s="51"/>
      <c r="N44" s="53">
        <f>AVERAGE(N30:N34)</f>
        <v>0.42399999999999993</v>
      </c>
      <c r="O44" s="51"/>
      <c r="P44" s="51">
        <f>AVERAGE(P24:P28)</f>
        <v>1147.6666666666665</v>
      </c>
      <c r="Q44" s="51"/>
      <c r="R44" s="51">
        <f>AVERAGE(R24:R28)</f>
        <v>28559.416666666668</v>
      </c>
      <c r="S44" s="22"/>
      <c r="T44" s="22"/>
      <c r="U44" s="22"/>
      <c r="V44" s="22"/>
      <c r="W44" s="22"/>
      <c r="X44" s="22"/>
    </row>
    <row r="45" spans="1:24" ht="13.8" thickBot="1" x14ac:dyDescent="0.3">
      <c r="A45" s="80" t="s">
        <v>56</v>
      </c>
      <c r="B45" s="66"/>
      <c r="C45" s="82">
        <f>AVERAGE(C37:C39)</f>
        <v>35.043333333333329</v>
      </c>
      <c r="D45" s="82">
        <f t="shared" ref="D45:R45" si="15">AVERAGE(D37:D39)</f>
        <v>0.663333333333334</v>
      </c>
      <c r="E45" s="82">
        <f t="shared" si="15"/>
        <v>40.743333333333332</v>
      </c>
      <c r="F45" s="82">
        <f t="shared" si="15"/>
        <v>1.2233333333333338</v>
      </c>
      <c r="G45" s="82">
        <f t="shared" si="15"/>
        <v>43.069999999999993</v>
      </c>
      <c r="H45" s="82">
        <f t="shared" si="15"/>
        <v>1.3500000000000014</v>
      </c>
      <c r="I45" s="82"/>
      <c r="J45" s="102"/>
      <c r="K45" s="82"/>
      <c r="L45" s="84">
        <f t="shared" si="15"/>
        <v>19474.333333333332</v>
      </c>
      <c r="M45" s="84"/>
      <c r="N45" s="85">
        <f t="shared" si="15"/>
        <v>0.64766666666666672</v>
      </c>
      <c r="O45" s="84"/>
      <c r="P45" s="84">
        <f t="shared" si="15"/>
        <v>848.875</v>
      </c>
      <c r="Q45" s="84"/>
      <c r="R45" s="84">
        <f t="shared" si="15"/>
        <v>27616.986111111109</v>
      </c>
      <c r="S45" s="22"/>
      <c r="T45" s="22"/>
      <c r="U45" s="22"/>
      <c r="V45" s="22"/>
      <c r="W45" s="22"/>
      <c r="X45" s="22"/>
    </row>
    <row r="46" spans="1:24" ht="13.8" thickBot="1" x14ac:dyDescent="0.3">
      <c r="A46" s="71" t="s">
        <v>34</v>
      </c>
      <c r="B46" s="72"/>
      <c r="C46" s="73">
        <f>AVERAGE(C9:C39)</f>
        <v>28.842580645161291</v>
      </c>
      <c r="D46" s="73">
        <f t="shared" ref="D46:J46" si="16">AVERAGE(D9:D39)</f>
        <v>0.28225806451612906</v>
      </c>
      <c r="E46" s="73">
        <f t="shared" si="16"/>
        <v>33.563870967741934</v>
      </c>
      <c r="F46" s="73">
        <f t="shared" si="16"/>
        <v>0.35322580645161289</v>
      </c>
      <c r="G46" s="73">
        <f t="shared" si="16"/>
        <v>34.540645161290328</v>
      </c>
      <c r="H46" s="73">
        <f t="shared" si="16"/>
        <v>0.37548387096774205</v>
      </c>
      <c r="I46" s="73">
        <f t="shared" si="16"/>
        <v>25.453333333333337</v>
      </c>
      <c r="J46" s="73">
        <f t="shared" si="16"/>
        <v>0.54083333333333339</v>
      </c>
      <c r="K46" s="74"/>
      <c r="L46" s="75">
        <f>AVERAGE(L9:L39)</f>
        <v>19176.709677419356</v>
      </c>
      <c r="M46" s="76"/>
      <c r="N46" s="77">
        <f>AVERAGE(N9:N39)</f>
        <v>0.4076548387096775</v>
      </c>
      <c r="O46" s="76"/>
      <c r="P46" s="94">
        <f>AVERAGE(P9:P39)</f>
        <v>795.77553763440835</v>
      </c>
      <c r="Q46" s="94"/>
      <c r="R46" s="75">
        <f>AVERAGE(R9:R39)</f>
        <v>28976.033730158731</v>
      </c>
      <c r="S46" s="22"/>
      <c r="T46" s="22"/>
      <c r="U46" s="22"/>
      <c r="V46" s="22"/>
      <c r="W46" s="22"/>
      <c r="X46" s="22"/>
    </row>
    <row r="47" spans="1:24" ht="13.8" thickBot="1" x14ac:dyDescent="0.3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66"/>
      <c r="O47" s="66"/>
      <c r="P47" s="66"/>
      <c r="Q47" s="66"/>
      <c r="R47" s="66"/>
    </row>
  </sheetData>
  <mergeCells count="1">
    <mergeCell ref="C3:J3"/>
  </mergeCells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topLeftCell="F11" workbookViewId="0">
      <selection activeCell="X39" sqref="X39:X41"/>
    </sheetView>
  </sheetViews>
  <sheetFormatPr defaultRowHeight="13.2" x14ac:dyDescent="0.25"/>
  <cols>
    <col min="1" max="1" width="14.44140625" customWidth="1"/>
    <col min="2" max="2" width="2.33203125" customWidth="1"/>
    <col min="3" max="3" width="9.109375" style="8" customWidth="1"/>
    <col min="4" max="4" width="5.88671875" style="13" customWidth="1"/>
    <col min="5" max="5" width="9.109375" style="8" customWidth="1"/>
    <col min="6" max="6" width="5.88671875" style="13" customWidth="1"/>
    <col min="7" max="7" width="9.5546875" style="8" customWidth="1"/>
    <col min="8" max="8" width="6.6640625" style="13" customWidth="1"/>
    <col min="9" max="9" width="8.33203125" style="8" customWidth="1"/>
    <col min="10" max="10" width="7.33203125" style="15" bestFit="1" customWidth="1"/>
    <col min="11" max="11" width="2.109375" style="13" customWidth="1"/>
    <col min="12" max="12" width="9.5546875" customWidth="1"/>
    <col min="13" max="13" width="1.6640625" customWidth="1"/>
    <col min="14" max="14" width="9" customWidth="1"/>
    <col min="15" max="15" width="1.88671875" customWidth="1"/>
    <col min="16" max="16" width="7.6640625" customWidth="1"/>
    <col min="17" max="17" width="1.5546875" customWidth="1"/>
    <col min="18" max="19" width="11" customWidth="1"/>
    <col min="20" max="20" width="11" hidden="1" customWidth="1"/>
    <col min="21" max="21" width="1.6640625" customWidth="1"/>
    <col min="22" max="22" width="12.44140625" customWidth="1"/>
    <col min="23" max="23" width="2.109375" customWidth="1"/>
    <col min="24" max="24" width="9.6640625" customWidth="1"/>
  </cols>
  <sheetData>
    <row r="2" spans="1:24" x14ac:dyDescent="0.25">
      <c r="L2" s="12" t="s">
        <v>62</v>
      </c>
      <c r="R2" s="12" t="s">
        <v>61</v>
      </c>
    </row>
    <row r="3" spans="1:24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8" thickBot="1" x14ac:dyDescent="0.3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5"/>
    <row r="7" spans="1:24" s="31" customFormat="1" x14ac:dyDescent="0.25">
      <c r="A7" s="45">
        <v>37191</v>
      </c>
      <c r="C7" s="32"/>
      <c r="D7" s="33"/>
      <c r="E7" s="32"/>
      <c r="F7" s="33"/>
      <c r="G7" s="32"/>
      <c r="H7" s="33"/>
      <c r="I7" s="32"/>
      <c r="J7" s="34"/>
      <c r="K7" s="33"/>
      <c r="L7" s="38"/>
      <c r="M7" s="35"/>
      <c r="N7" s="40"/>
      <c r="O7" s="35"/>
      <c r="P7" s="41"/>
      <c r="Q7" s="41"/>
      <c r="R7" s="88"/>
      <c r="S7" s="88"/>
      <c r="T7" s="88"/>
      <c r="U7" s="35"/>
      <c r="V7" s="42"/>
      <c r="W7" s="35"/>
      <c r="X7" s="35"/>
    </row>
    <row r="8" spans="1:24" s="31" customFormat="1" ht="12.75" customHeight="1" x14ac:dyDescent="0.25">
      <c r="A8" s="30">
        <f t="shared" ref="A8:A41" si="0">A7+1</f>
        <v>37192</v>
      </c>
      <c r="C8" s="32"/>
      <c r="D8" s="37"/>
      <c r="E8" s="32"/>
      <c r="F8" s="37"/>
      <c r="G8" s="32"/>
      <c r="H8" s="37"/>
      <c r="I8" s="36"/>
      <c r="J8" s="37"/>
      <c r="K8" s="37"/>
      <c r="L8" s="38"/>
      <c r="M8" s="35"/>
      <c r="N8" s="40"/>
      <c r="O8" s="35"/>
      <c r="P8" s="41"/>
      <c r="Q8" s="41"/>
      <c r="R8" s="88"/>
      <c r="S8" s="88"/>
      <c r="T8" s="88"/>
      <c r="U8" s="35"/>
      <c r="V8" s="42"/>
      <c r="W8" s="35"/>
      <c r="X8" s="35"/>
    </row>
    <row r="9" spans="1:24" x14ac:dyDescent="0.25">
      <c r="A9" s="11">
        <f t="shared" si="0"/>
        <v>37193</v>
      </c>
      <c r="B9" s="11"/>
      <c r="C9" s="18">
        <v>34.340000000000003</v>
      </c>
      <c r="D9" s="25"/>
      <c r="E9" s="18">
        <v>37.840000000000003</v>
      </c>
      <c r="F9" s="25"/>
      <c r="G9" s="18">
        <v>43.58</v>
      </c>
      <c r="H9" s="25"/>
      <c r="I9" s="18">
        <v>31.19</v>
      </c>
      <c r="J9" s="20"/>
      <c r="K9" s="19"/>
      <c r="L9" s="21">
        <v>19628</v>
      </c>
      <c r="M9" s="22"/>
      <c r="N9" s="28">
        <v>0.58499999999999996</v>
      </c>
      <c r="O9" s="22"/>
      <c r="P9" s="96">
        <f>9584/24</f>
        <v>399.33333333333331</v>
      </c>
      <c r="Q9" s="22"/>
      <c r="R9" s="96">
        <f>678888/24</f>
        <v>28287</v>
      </c>
      <c r="S9" s="101"/>
      <c r="T9" s="22"/>
      <c r="U9" s="22"/>
      <c r="V9" s="29" t="s">
        <v>65</v>
      </c>
      <c r="W9" s="22"/>
      <c r="X9" s="96">
        <v>6676</v>
      </c>
    </row>
    <row r="10" spans="1:24" x14ac:dyDescent="0.25">
      <c r="A10" s="11">
        <f t="shared" si="0"/>
        <v>37194</v>
      </c>
      <c r="B10" s="11"/>
      <c r="C10" s="18">
        <v>37.47</v>
      </c>
      <c r="D10" s="25">
        <f t="shared" ref="D10:D41" si="1">C10-C9</f>
        <v>3.1299999999999955</v>
      </c>
      <c r="E10" s="18">
        <v>44.03</v>
      </c>
      <c r="F10" s="25">
        <f t="shared" ref="F10:F41" si="2">E10-E9</f>
        <v>6.1899999999999977</v>
      </c>
      <c r="G10" s="18">
        <v>44.68</v>
      </c>
      <c r="H10" s="25">
        <f t="shared" ref="H10:J32" si="3">G10-G9</f>
        <v>1.1000000000000014</v>
      </c>
      <c r="I10" s="18">
        <v>27.54</v>
      </c>
      <c r="J10" s="25">
        <f t="shared" si="3"/>
        <v>-3.6500000000000021</v>
      </c>
      <c r="K10" s="19"/>
      <c r="L10" s="21">
        <v>19310</v>
      </c>
      <c r="M10" s="22"/>
      <c r="N10" s="28">
        <v>0.76</v>
      </c>
      <c r="O10" s="22"/>
      <c r="P10" s="96">
        <f>17096/24</f>
        <v>712.33333333333337</v>
      </c>
      <c r="Q10" s="22"/>
      <c r="R10" s="96">
        <f>653799/24</f>
        <v>27241.625</v>
      </c>
      <c r="S10" s="101">
        <f t="shared" ref="S10:S41" si="4">R10-R9</f>
        <v>-1045.375</v>
      </c>
      <c r="T10" s="22"/>
      <c r="U10" s="22"/>
      <c r="V10" s="29" t="s">
        <v>66</v>
      </c>
      <c r="W10" s="22"/>
      <c r="X10" s="96">
        <v>7721</v>
      </c>
    </row>
    <row r="11" spans="1:24" x14ac:dyDescent="0.25">
      <c r="A11" s="11">
        <f t="shared" si="0"/>
        <v>37195</v>
      </c>
      <c r="B11" s="11"/>
      <c r="C11" s="46">
        <v>33.32</v>
      </c>
      <c r="D11" s="25">
        <f t="shared" si="1"/>
        <v>-4.1499999999999986</v>
      </c>
      <c r="E11" s="46">
        <v>40.36</v>
      </c>
      <c r="F11" s="25">
        <f t="shared" si="2"/>
        <v>-3.6700000000000017</v>
      </c>
      <c r="G11" s="46">
        <v>40.950000000000003</v>
      </c>
      <c r="H11" s="25">
        <f t="shared" si="3"/>
        <v>-3.7299999999999969</v>
      </c>
      <c r="I11" s="46">
        <v>22.26</v>
      </c>
      <c r="J11" s="25">
        <f t="shared" si="3"/>
        <v>-5.2799999999999976</v>
      </c>
      <c r="K11" s="47"/>
      <c r="L11" s="52">
        <v>19485</v>
      </c>
      <c r="M11" s="49"/>
      <c r="N11" s="103">
        <v>0.59799999999999998</v>
      </c>
      <c r="O11" s="49"/>
      <c r="P11" s="104">
        <f>34439/24</f>
        <v>1434.9583333333333</v>
      </c>
      <c r="Q11" s="49"/>
      <c r="R11" s="96">
        <f>655736/24</f>
        <v>27322.333333333332</v>
      </c>
      <c r="S11" s="101">
        <f t="shared" si="4"/>
        <v>80.708333333332121</v>
      </c>
      <c r="T11" s="22"/>
      <c r="U11" s="22"/>
      <c r="V11" s="29" t="s">
        <v>67</v>
      </c>
      <c r="W11" s="22"/>
      <c r="X11" s="96">
        <v>7721</v>
      </c>
    </row>
    <row r="12" spans="1:24" x14ac:dyDescent="0.25">
      <c r="A12" s="11">
        <f t="shared" si="0"/>
        <v>37196</v>
      </c>
      <c r="B12" s="11"/>
      <c r="C12" s="26">
        <v>31.75</v>
      </c>
      <c r="D12" s="25">
        <f t="shared" si="1"/>
        <v>-1.5700000000000003</v>
      </c>
      <c r="E12" s="26">
        <v>40.32</v>
      </c>
      <c r="F12" s="25">
        <f t="shared" si="2"/>
        <v>-3.9999999999999147E-2</v>
      </c>
      <c r="G12" s="26">
        <v>40.98</v>
      </c>
      <c r="H12" s="25">
        <f t="shared" si="3"/>
        <v>2.9999999999994031E-2</v>
      </c>
      <c r="I12" s="26">
        <v>25.5</v>
      </c>
      <c r="J12" s="25">
        <f t="shared" si="3"/>
        <v>3.2399999999999984</v>
      </c>
      <c r="K12" s="25"/>
      <c r="L12" s="21">
        <v>19408</v>
      </c>
      <c r="M12" s="27"/>
      <c r="N12" s="23">
        <v>0.56499999999999995</v>
      </c>
      <c r="O12" s="22"/>
      <c r="P12" s="96">
        <f>34968/24</f>
        <v>1457</v>
      </c>
      <c r="Q12" s="24"/>
      <c r="R12" s="105">
        <f>669130/24</f>
        <v>27880.416666666668</v>
      </c>
      <c r="S12" s="101">
        <f t="shared" si="4"/>
        <v>558.08333333333576</v>
      </c>
      <c r="T12" s="89"/>
      <c r="U12" s="22"/>
      <c r="V12" s="29" t="s">
        <v>68</v>
      </c>
      <c r="W12" s="22"/>
      <c r="X12" s="21">
        <v>7083</v>
      </c>
    </row>
    <row r="13" spans="1:24" x14ac:dyDescent="0.25">
      <c r="A13" s="11">
        <f t="shared" si="0"/>
        <v>37197</v>
      </c>
      <c r="B13" s="11"/>
      <c r="C13" s="26">
        <v>31.96</v>
      </c>
      <c r="D13" s="25">
        <f t="shared" si="1"/>
        <v>0.21000000000000085</v>
      </c>
      <c r="E13" s="26">
        <v>39.39</v>
      </c>
      <c r="F13" s="25">
        <f t="shared" si="2"/>
        <v>-0.92999999999999972</v>
      </c>
      <c r="G13" s="26">
        <v>40.83</v>
      </c>
      <c r="H13" s="25">
        <f t="shared" si="3"/>
        <v>-0.14999999999999858</v>
      </c>
      <c r="I13" s="26">
        <v>20.100000000000001</v>
      </c>
      <c r="J13" s="25">
        <f t="shared" si="3"/>
        <v>-5.3999999999999986</v>
      </c>
      <c r="K13" s="25"/>
      <c r="L13" s="21">
        <v>19122</v>
      </c>
      <c r="M13" s="27"/>
      <c r="N13" s="23">
        <v>0.56999999999999995</v>
      </c>
      <c r="O13" s="22"/>
      <c r="P13" s="96">
        <f>40957/24</f>
        <v>1706.5416666666667</v>
      </c>
      <c r="Q13" s="24"/>
      <c r="R13" s="105">
        <f>649716/24</f>
        <v>27071.5</v>
      </c>
      <c r="S13" s="101">
        <f t="shared" si="4"/>
        <v>-808.91666666666788</v>
      </c>
      <c r="T13" s="89"/>
      <c r="U13" s="22"/>
      <c r="V13" s="29" t="s">
        <v>69</v>
      </c>
      <c r="W13" s="22"/>
      <c r="X13" s="21">
        <v>7829</v>
      </c>
    </row>
    <row r="14" spans="1:24" s="31" customFormat="1" x14ac:dyDescent="0.25">
      <c r="A14" s="30">
        <f t="shared" si="0"/>
        <v>37198</v>
      </c>
      <c r="B14" s="30"/>
      <c r="C14" s="36">
        <v>29.52</v>
      </c>
      <c r="D14" s="37">
        <f t="shared" si="1"/>
        <v>-2.4400000000000013</v>
      </c>
      <c r="E14" s="36">
        <v>36.14</v>
      </c>
      <c r="F14" s="37">
        <f t="shared" si="2"/>
        <v>-3.25</v>
      </c>
      <c r="G14" s="36">
        <v>36.46</v>
      </c>
      <c r="H14" s="37">
        <f t="shared" si="3"/>
        <v>-4.3699999999999974</v>
      </c>
      <c r="I14" s="36">
        <v>21.29</v>
      </c>
      <c r="J14" s="37">
        <f t="shared" si="3"/>
        <v>1.1899999999999977</v>
      </c>
      <c r="K14" s="37"/>
      <c r="L14" s="38">
        <v>16843</v>
      </c>
      <c r="M14" s="39"/>
      <c r="N14" s="40">
        <v>0.45700000000000002</v>
      </c>
      <c r="O14" s="35"/>
      <c r="P14" s="97">
        <f>43576/24</f>
        <v>1815.6666666666667</v>
      </c>
      <c r="Q14" s="41"/>
      <c r="R14" s="106">
        <f>663010/24</f>
        <v>27625.416666666668</v>
      </c>
      <c r="S14" s="100">
        <f t="shared" si="4"/>
        <v>553.91666666666788</v>
      </c>
      <c r="T14" s="88"/>
      <c r="U14" s="35"/>
      <c r="V14" s="42" t="s">
        <v>70</v>
      </c>
      <c r="W14" s="35"/>
      <c r="X14" s="38">
        <f t="shared" ref="X14:X21" si="5">X13-S14</f>
        <v>7275.0833333333321</v>
      </c>
    </row>
    <row r="15" spans="1:24" s="31" customFormat="1" x14ac:dyDescent="0.25">
      <c r="A15" s="30">
        <f t="shared" si="0"/>
        <v>37199</v>
      </c>
      <c r="B15" s="30"/>
      <c r="C15" s="36">
        <v>26.75</v>
      </c>
      <c r="D15" s="37">
        <f t="shared" si="1"/>
        <v>-2.7699999999999996</v>
      </c>
      <c r="E15" s="36">
        <v>32.93</v>
      </c>
      <c r="F15" s="37">
        <f t="shared" si="2"/>
        <v>-3.2100000000000009</v>
      </c>
      <c r="G15" s="36">
        <v>33.479999999999997</v>
      </c>
      <c r="H15" s="37">
        <f t="shared" si="3"/>
        <v>-2.980000000000004</v>
      </c>
      <c r="I15" s="36">
        <v>21.73</v>
      </c>
      <c r="J15" s="37">
        <f t="shared" si="3"/>
        <v>0.44000000000000128</v>
      </c>
      <c r="K15" s="37"/>
      <c r="L15" s="38">
        <v>16392</v>
      </c>
      <c r="M15" s="39"/>
      <c r="N15" s="40">
        <v>0.56499999999999995</v>
      </c>
      <c r="O15" s="35"/>
      <c r="P15" s="97">
        <v>1831</v>
      </c>
      <c r="Q15" s="41"/>
      <c r="R15" s="106">
        <v>27827</v>
      </c>
      <c r="S15" s="100">
        <f t="shared" si="4"/>
        <v>201.58333333333212</v>
      </c>
      <c r="T15" s="88"/>
      <c r="U15" s="35"/>
      <c r="V15" s="42" t="s">
        <v>71</v>
      </c>
      <c r="W15" s="35"/>
      <c r="X15" s="38">
        <f t="shared" si="5"/>
        <v>7073.5</v>
      </c>
    </row>
    <row r="16" spans="1:24" x14ac:dyDescent="0.25">
      <c r="A16" s="11">
        <f t="shared" si="0"/>
        <v>37200</v>
      </c>
      <c r="B16" s="11"/>
      <c r="C16" s="26">
        <v>32.29</v>
      </c>
      <c r="D16" s="107">
        <f t="shared" si="1"/>
        <v>5.5399999999999991</v>
      </c>
      <c r="E16" s="26">
        <v>39.08</v>
      </c>
      <c r="F16" s="107">
        <f t="shared" si="2"/>
        <v>6.1499999999999986</v>
      </c>
      <c r="G16" s="26">
        <v>39.18</v>
      </c>
      <c r="H16" s="107">
        <f t="shared" si="3"/>
        <v>5.7000000000000028</v>
      </c>
      <c r="I16" s="26">
        <v>27.81</v>
      </c>
      <c r="J16" s="107">
        <f t="shared" si="3"/>
        <v>6.0799999999999983</v>
      </c>
      <c r="K16" s="25"/>
      <c r="L16" s="21">
        <v>19487</v>
      </c>
      <c r="M16" s="27"/>
      <c r="N16" s="23">
        <v>0.746</v>
      </c>
      <c r="O16" s="22"/>
      <c r="P16" s="96">
        <v>1824</v>
      </c>
      <c r="Q16" s="24"/>
      <c r="R16" s="105">
        <v>28428</v>
      </c>
      <c r="S16" s="101">
        <f t="shared" si="4"/>
        <v>601</v>
      </c>
      <c r="T16" s="89"/>
      <c r="U16" s="22"/>
      <c r="V16" s="29" t="s">
        <v>72</v>
      </c>
      <c r="W16" s="22"/>
      <c r="X16" s="21">
        <f t="shared" si="5"/>
        <v>6472.5</v>
      </c>
    </row>
    <row r="17" spans="1:24" x14ac:dyDescent="0.25">
      <c r="A17" s="11">
        <f t="shared" si="0"/>
        <v>37201</v>
      </c>
      <c r="C17" s="26">
        <v>32.130000000000003</v>
      </c>
      <c r="D17" s="107">
        <f t="shared" si="1"/>
        <v>-0.15999999999999659</v>
      </c>
      <c r="E17" s="26">
        <v>38.270000000000003</v>
      </c>
      <c r="F17" s="107">
        <f t="shared" si="2"/>
        <v>-0.80999999999999517</v>
      </c>
      <c r="G17" s="26">
        <v>38.450000000000003</v>
      </c>
      <c r="H17" s="107">
        <f t="shared" si="3"/>
        <v>-0.72999999999999687</v>
      </c>
      <c r="I17" s="26">
        <v>24.98</v>
      </c>
      <c r="J17" s="107">
        <f t="shared" si="3"/>
        <v>-2.8299999999999983</v>
      </c>
      <c r="K17" s="25"/>
      <c r="L17" s="21">
        <v>19498</v>
      </c>
      <c r="M17" s="22"/>
      <c r="N17" s="23">
        <v>0.67100000000000004</v>
      </c>
      <c r="O17" s="22"/>
      <c r="P17" s="96">
        <f>41397/24</f>
        <v>1724.875</v>
      </c>
      <c r="Q17" s="24"/>
      <c r="R17" s="105">
        <f>692285/24</f>
        <v>28845.208333333332</v>
      </c>
      <c r="S17" s="101">
        <f t="shared" si="4"/>
        <v>417.20833333333212</v>
      </c>
      <c r="T17" s="89"/>
      <c r="U17" s="22"/>
      <c r="V17" s="29" t="s">
        <v>73</v>
      </c>
      <c r="W17" s="22"/>
      <c r="X17" s="21">
        <f t="shared" si="5"/>
        <v>6055.2916666666679</v>
      </c>
    </row>
    <row r="18" spans="1:24" x14ac:dyDescent="0.25">
      <c r="A18" s="11">
        <f t="shared" si="0"/>
        <v>37202</v>
      </c>
      <c r="C18" s="18">
        <v>28.54</v>
      </c>
      <c r="D18" s="107">
        <f t="shared" si="1"/>
        <v>-3.5900000000000034</v>
      </c>
      <c r="E18" s="18">
        <v>35.08</v>
      </c>
      <c r="F18" s="107">
        <f t="shared" si="2"/>
        <v>-3.1900000000000048</v>
      </c>
      <c r="G18" s="18">
        <v>37.630000000000003</v>
      </c>
      <c r="H18" s="107">
        <f t="shared" si="3"/>
        <v>-0.82000000000000028</v>
      </c>
      <c r="I18" s="26">
        <v>27.3</v>
      </c>
      <c r="J18" s="107">
        <f t="shared" si="3"/>
        <v>2.3200000000000003</v>
      </c>
      <c r="K18" s="25"/>
      <c r="L18" s="21">
        <v>19504</v>
      </c>
      <c r="M18" s="22"/>
      <c r="N18" s="23">
        <v>0.625</v>
      </c>
      <c r="O18" s="22"/>
      <c r="P18" s="96">
        <f>50107/24</f>
        <v>2087.7916666666665</v>
      </c>
      <c r="Q18" s="24"/>
      <c r="R18" s="105">
        <f>681651/24</f>
        <v>28402.125</v>
      </c>
      <c r="S18" s="101">
        <f t="shared" si="4"/>
        <v>-443.08333333333212</v>
      </c>
      <c r="T18" s="89"/>
      <c r="U18" s="22"/>
      <c r="V18" s="29" t="s">
        <v>74</v>
      </c>
      <c r="W18" s="22"/>
      <c r="X18" s="21">
        <f t="shared" si="5"/>
        <v>6498.375</v>
      </c>
    </row>
    <row r="19" spans="1:24" x14ac:dyDescent="0.25">
      <c r="A19" s="11">
        <f t="shared" si="0"/>
        <v>37203</v>
      </c>
      <c r="C19" s="18">
        <v>27.33</v>
      </c>
      <c r="D19" s="107">
        <f t="shared" si="1"/>
        <v>-1.2100000000000009</v>
      </c>
      <c r="E19" s="18">
        <v>33.07</v>
      </c>
      <c r="F19" s="107">
        <f t="shared" si="2"/>
        <v>-2.009999999999998</v>
      </c>
      <c r="G19" s="18">
        <v>38.229999999999997</v>
      </c>
      <c r="H19" s="107">
        <f t="shared" si="3"/>
        <v>0.59999999999999432</v>
      </c>
      <c r="I19" s="26">
        <v>21.63</v>
      </c>
      <c r="J19" s="107">
        <f t="shared" si="3"/>
        <v>-5.6700000000000017</v>
      </c>
      <c r="K19" s="19"/>
      <c r="L19" s="21">
        <v>19516</v>
      </c>
      <c r="M19" s="22"/>
      <c r="N19" s="23">
        <v>0.434</v>
      </c>
      <c r="O19" s="22"/>
      <c r="P19" s="96">
        <f>43730/24</f>
        <v>1822.0833333333333</v>
      </c>
      <c r="Q19" s="24"/>
      <c r="R19" s="105">
        <f>692720/24</f>
        <v>28863.333333333332</v>
      </c>
      <c r="S19" s="101">
        <f t="shared" si="4"/>
        <v>461.20833333333212</v>
      </c>
      <c r="T19" s="89"/>
      <c r="U19" s="22"/>
      <c r="V19" s="29" t="s">
        <v>75</v>
      </c>
      <c r="W19" s="22"/>
      <c r="X19" s="21">
        <f t="shared" si="5"/>
        <v>6037.1666666666679</v>
      </c>
    </row>
    <row r="20" spans="1:24" x14ac:dyDescent="0.25">
      <c r="A20" s="11">
        <f t="shared" si="0"/>
        <v>37204</v>
      </c>
      <c r="C20" s="18">
        <v>26.99</v>
      </c>
      <c r="D20" s="107">
        <f t="shared" si="1"/>
        <v>-0.33999999999999986</v>
      </c>
      <c r="E20" s="18">
        <v>33.53</v>
      </c>
      <c r="F20" s="107">
        <f t="shared" si="2"/>
        <v>0.46000000000000085</v>
      </c>
      <c r="G20" s="18">
        <v>38.79</v>
      </c>
      <c r="H20" s="107">
        <f t="shared" si="3"/>
        <v>0.56000000000000227</v>
      </c>
      <c r="I20" s="18">
        <v>21.46</v>
      </c>
      <c r="J20" s="107">
        <f t="shared" si="3"/>
        <v>-0.16999999999999815</v>
      </c>
      <c r="K20" s="19"/>
      <c r="L20" s="21">
        <v>19350</v>
      </c>
      <c r="M20" s="22"/>
      <c r="N20" s="23">
        <v>0.67500000000000004</v>
      </c>
      <c r="O20" s="22"/>
      <c r="P20" s="96">
        <f>54618/24</f>
        <v>2275.75</v>
      </c>
      <c r="Q20" s="24"/>
      <c r="R20" s="105">
        <f>681836/24</f>
        <v>28409.833333333332</v>
      </c>
      <c r="S20" s="101">
        <f t="shared" si="4"/>
        <v>-453.5</v>
      </c>
      <c r="T20" s="89"/>
      <c r="U20" s="22"/>
      <c r="V20" s="29" t="s">
        <v>73</v>
      </c>
      <c r="W20" s="22"/>
      <c r="X20" s="21">
        <f t="shared" si="5"/>
        <v>6490.6666666666679</v>
      </c>
    </row>
    <row r="21" spans="1:24" s="31" customFormat="1" x14ac:dyDescent="0.25">
      <c r="A21" s="30">
        <f t="shared" si="0"/>
        <v>37205</v>
      </c>
      <c r="C21" s="36">
        <v>24.5</v>
      </c>
      <c r="D21" s="37">
        <f t="shared" si="1"/>
        <v>-2.4899999999999984</v>
      </c>
      <c r="E21" s="32">
        <v>29.35</v>
      </c>
      <c r="F21" s="37">
        <f t="shared" si="2"/>
        <v>-4.18</v>
      </c>
      <c r="G21" s="32">
        <v>35.04</v>
      </c>
      <c r="H21" s="37">
        <f t="shared" si="3"/>
        <v>-3.75</v>
      </c>
      <c r="I21" s="32">
        <v>20.63</v>
      </c>
      <c r="J21" s="37">
        <f t="shared" si="3"/>
        <v>-0.83000000000000185</v>
      </c>
      <c r="K21" s="33"/>
      <c r="L21" s="38">
        <v>17093</v>
      </c>
      <c r="M21" s="35"/>
      <c r="N21" s="40">
        <v>0.45</v>
      </c>
      <c r="O21" s="35"/>
      <c r="P21" s="97">
        <f>49215/24</f>
        <v>2050.625</v>
      </c>
      <c r="Q21" s="41"/>
      <c r="R21" s="106">
        <f>703171/24</f>
        <v>29298.791666666668</v>
      </c>
      <c r="S21" s="100">
        <f t="shared" si="4"/>
        <v>888.95833333333576</v>
      </c>
      <c r="T21" s="88"/>
      <c r="U21" s="35"/>
      <c r="V21" s="42" t="s">
        <v>76</v>
      </c>
      <c r="W21" s="35"/>
      <c r="X21" s="38">
        <f t="shared" si="5"/>
        <v>5601.7083333333321</v>
      </c>
    </row>
    <row r="22" spans="1:24" s="31" customFormat="1" x14ac:dyDescent="0.25">
      <c r="A22" s="30">
        <f t="shared" si="0"/>
        <v>37206</v>
      </c>
      <c r="C22" s="32">
        <v>23.34</v>
      </c>
      <c r="D22" s="37">
        <f t="shared" si="1"/>
        <v>-1.1600000000000001</v>
      </c>
      <c r="E22" s="32">
        <v>28.26</v>
      </c>
      <c r="F22" s="37">
        <f t="shared" si="2"/>
        <v>-1.0899999999999999</v>
      </c>
      <c r="G22" s="32">
        <v>31.26</v>
      </c>
      <c r="H22" s="37">
        <f t="shared" si="3"/>
        <v>-3.7799999999999976</v>
      </c>
      <c r="I22" s="32">
        <v>22.34</v>
      </c>
      <c r="J22" s="37">
        <f t="shared" si="3"/>
        <v>1.7100000000000009</v>
      </c>
      <c r="K22" s="33"/>
      <c r="L22" s="38">
        <v>16451</v>
      </c>
      <c r="M22" s="35"/>
      <c r="N22" s="40">
        <v>0.52700000000000002</v>
      </c>
      <c r="O22" s="35"/>
      <c r="P22" s="97">
        <f>47746/24</f>
        <v>1989.4166666666667</v>
      </c>
      <c r="Q22" s="41"/>
      <c r="R22" s="106">
        <f>692656/24</f>
        <v>28860.666666666668</v>
      </c>
      <c r="S22" s="100">
        <f t="shared" si="4"/>
        <v>-438.125</v>
      </c>
      <c r="T22" s="88"/>
      <c r="U22" s="35"/>
      <c r="V22" s="42" t="s">
        <v>72</v>
      </c>
      <c r="W22" s="35"/>
      <c r="X22" s="38">
        <f t="shared" ref="X22:X28" si="6">X21-S22</f>
        <v>6039.8333333333321</v>
      </c>
    </row>
    <row r="23" spans="1:24" x14ac:dyDescent="0.25">
      <c r="A23" s="11">
        <f t="shared" si="0"/>
        <v>37207</v>
      </c>
      <c r="C23" s="26">
        <v>28.02</v>
      </c>
      <c r="D23" s="107">
        <f t="shared" si="1"/>
        <v>4.68</v>
      </c>
      <c r="E23" s="26">
        <v>33.770000000000003</v>
      </c>
      <c r="F23" s="107">
        <f t="shared" si="2"/>
        <v>5.5100000000000016</v>
      </c>
      <c r="G23" s="18">
        <v>41.87</v>
      </c>
      <c r="H23" s="107">
        <f t="shared" si="3"/>
        <v>10.609999999999996</v>
      </c>
      <c r="I23" s="26">
        <v>27.93</v>
      </c>
      <c r="J23" s="107">
        <f t="shared" si="3"/>
        <v>5.59</v>
      </c>
      <c r="K23" s="19"/>
      <c r="L23" s="21">
        <v>19637</v>
      </c>
      <c r="M23" s="22"/>
      <c r="N23" s="23">
        <v>0.72799999999999998</v>
      </c>
      <c r="O23" s="22"/>
      <c r="P23" s="96">
        <f>48036/24</f>
        <v>2001.5</v>
      </c>
      <c r="Q23" s="22"/>
      <c r="R23" s="105">
        <f>696480/24</f>
        <v>29020</v>
      </c>
      <c r="S23" s="101">
        <f t="shared" si="4"/>
        <v>159.33333333333212</v>
      </c>
      <c r="T23" s="89"/>
      <c r="U23" s="22"/>
      <c r="V23" s="29" t="s">
        <v>77</v>
      </c>
      <c r="W23" s="22"/>
      <c r="X23" s="21">
        <f t="shared" si="6"/>
        <v>5880.5</v>
      </c>
    </row>
    <row r="24" spans="1:24" x14ac:dyDescent="0.25">
      <c r="A24" s="11">
        <f t="shared" si="0"/>
        <v>37208</v>
      </c>
      <c r="C24" s="18">
        <v>27.72</v>
      </c>
      <c r="D24" s="107">
        <f t="shared" si="1"/>
        <v>-0.30000000000000071</v>
      </c>
      <c r="E24" s="18">
        <v>34.590000000000003</v>
      </c>
      <c r="F24" s="107">
        <f t="shared" si="2"/>
        <v>0.82000000000000028</v>
      </c>
      <c r="G24" s="18">
        <v>40.67</v>
      </c>
      <c r="H24" s="107">
        <f t="shared" si="3"/>
        <v>-1.1999999999999957</v>
      </c>
      <c r="I24" s="18">
        <v>26.31</v>
      </c>
      <c r="J24" s="107">
        <f t="shared" si="3"/>
        <v>-1.620000000000001</v>
      </c>
      <c r="K24" s="19"/>
      <c r="L24" s="21">
        <v>19541</v>
      </c>
      <c r="M24" s="22"/>
      <c r="N24" s="23">
        <v>0.66200000000000003</v>
      </c>
      <c r="O24" s="22"/>
      <c r="P24" s="96">
        <f>44061/24</f>
        <v>1835.875</v>
      </c>
      <c r="Q24" s="24"/>
      <c r="R24" s="105">
        <f>716900/24</f>
        <v>29870.833333333332</v>
      </c>
      <c r="S24" s="101">
        <f t="shared" si="4"/>
        <v>850.83333333333212</v>
      </c>
      <c r="T24" s="89"/>
      <c r="U24" s="22"/>
      <c r="V24" s="29" t="s">
        <v>78</v>
      </c>
      <c r="W24" s="22"/>
      <c r="X24" s="21">
        <f t="shared" si="6"/>
        <v>5029.6666666666679</v>
      </c>
    </row>
    <row r="25" spans="1:24" x14ac:dyDescent="0.25">
      <c r="A25" s="11">
        <f t="shared" si="0"/>
        <v>37209</v>
      </c>
      <c r="C25" s="18">
        <v>27.32</v>
      </c>
      <c r="D25" s="107">
        <f t="shared" si="1"/>
        <v>-0.39999999999999858</v>
      </c>
      <c r="E25" s="18">
        <v>33.14</v>
      </c>
      <c r="F25" s="107">
        <f t="shared" si="2"/>
        <v>-1.4500000000000028</v>
      </c>
      <c r="G25" s="18">
        <v>40.44</v>
      </c>
      <c r="H25" s="107">
        <f t="shared" si="3"/>
        <v>-0.23000000000000398</v>
      </c>
      <c r="I25" s="26">
        <v>25.69</v>
      </c>
      <c r="J25" s="107">
        <f t="shared" si="3"/>
        <v>-0.61999999999999744</v>
      </c>
      <c r="K25" s="19"/>
      <c r="L25" s="21">
        <v>19369</v>
      </c>
      <c r="M25" s="22"/>
      <c r="N25" s="23">
        <v>0.68100000000000005</v>
      </c>
      <c r="O25" s="22"/>
      <c r="P25" s="96">
        <f>42825/24</f>
        <v>1784.375</v>
      </c>
      <c r="Q25" s="24"/>
      <c r="R25" s="110">
        <f>697802/24</f>
        <v>29075.083333333332</v>
      </c>
      <c r="S25" s="101">
        <f t="shared" si="4"/>
        <v>-795.75</v>
      </c>
      <c r="T25" s="90"/>
      <c r="U25" s="22"/>
      <c r="V25" s="29" t="s">
        <v>79</v>
      </c>
      <c r="W25" s="22"/>
      <c r="X25" s="21">
        <f t="shared" si="6"/>
        <v>5825.4166666666679</v>
      </c>
    </row>
    <row r="26" spans="1:24" x14ac:dyDescent="0.25">
      <c r="A26" s="11">
        <f t="shared" si="0"/>
        <v>37210</v>
      </c>
      <c r="C26" s="26">
        <v>26.4</v>
      </c>
      <c r="D26" s="107">
        <f t="shared" si="1"/>
        <v>-0.92000000000000171</v>
      </c>
      <c r="E26" s="18">
        <v>34.090000000000003</v>
      </c>
      <c r="F26" s="107">
        <f t="shared" si="2"/>
        <v>0.95000000000000284</v>
      </c>
      <c r="G26" s="18">
        <v>40.32</v>
      </c>
      <c r="H26" s="107">
        <f t="shared" si="3"/>
        <v>-0.11999999999999744</v>
      </c>
      <c r="I26" s="18">
        <v>24.79</v>
      </c>
      <c r="J26" s="107">
        <f t="shared" si="3"/>
        <v>-0.90000000000000213</v>
      </c>
      <c r="K26" s="19"/>
      <c r="L26" s="21">
        <v>19332</v>
      </c>
      <c r="M26" s="22"/>
      <c r="N26" s="23">
        <v>0.65900000000000003</v>
      </c>
      <c r="O26" s="22"/>
      <c r="P26" s="96">
        <f>42083/24</f>
        <v>1753.4583333333333</v>
      </c>
      <c r="Q26" s="24"/>
      <c r="R26" s="110">
        <f>694698/24</f>
        <v>28945.75</v>
      </c>
      <c r="S26" s="101">
        <f t="shared" si="4"/>
        <v>-129.33333333333212</v>
      </c>
      <c r="T26" s="90"/>
      <c r="U26" s="22"/>
      <c r="V26" s="29" t="s">
        <v>80</v>
      </c>
      <c r="W26" s="22"/>
      <c r="X26" s="21">
        <f t="shared" si="6"/>
        <v>5954.75</v>
      </c>
    </row>
    <row r="27" spans="1:24" x14ac:dyDescent="0.25">
      <c r="A27" s="11">
        <f t="shared" si="0"/>
        <v>37211</v>
      </c>
      <c r="C27" s="18">
        <v>25.57</v>
      </c>
      <c r="D27" s="107">
        <f t="shared" si="1"/>
        <v>-0.82999999999999829</v>
      </c>
      <c r="E27" s="18">
        <v>32.78</v>
      </c>
      <c r="F27" s="107">
        <f t="shared" si="2"/>
        <v>-1.3100000000000023</v>
      </c>
      <c r="G27" s="18">
        <v>46.99</v>
      </c>
      <c r="H27" s="107">
        <f t="shared" si="3"/>
        <v>6.6700000000000017</v>
      </c>
      <c r="I27" s="18">
        <v>29.49</v>
      </c>
      <c r="J27" s="107">
        <f t="shared" si="3"/>
        <v>4.6999999999999993</v>
      </c>
      <c r="K27" s="19"/>
      <c r="L27" s="21">
        <v>18986</v>
      </c>
      <c r="M27" s="22"/>
      <c r="N27" s="23">
        <v>0.63900000000000001</v>
      </c>
      <c r="O27" s="22"/>
      <c r="P27" s="96">
        <f>42487/24</f>
        <v>1770.2916666666667</v>
      </c>
      <c r="Q27" s="24"/>
      <c r="R27" s="110">
        <f>678248/24</f>
        <v>28260.333333333332</v>
      </c>
      <c r="S27" s="101">
        <f t="shared" si="4"/>
        <v>-685.41666666666788</v>
      </c>
      <c r="T27" s="90"/>
      <c r="U27" s="22"/>
      <c r="V27" s="29" t="s">
        <v>81</v>
      </c>
      <c r="W27" s="22"/>
      <c r="X27" s="21">
        <f t="shared" si="6"/>
        <v>6640.1666666666679</v>
      </c>
    </row>
    <row r="28" spans="1:24" s="31" customFormat="1" x14ac:dyDescent="0.25">
      <c r="A28" s="30">
        <f t="shared" si="0"/>
        <v>37212</v>
      </c>
      <c r="C28" s="32">
        <v>24.02</v>
      </c>
      <c r="D28" s="37">
        <f t="shared" si="1"/>
        <v>-1.5500000000000007</v>
      </c>
      <c r="E28" s="36">
        <v>29.92</v>
      </c>
      <c r="F28" s="37">
        <f t="shared" si="2"/>
        <v>-2.8599999999999994</v>
      </c>
      <c r="G28" s="32">
        <v>32.82</v>
      </c>
      <c r="H28" s="37">
        <f t="shared" si="3"/>
        <v>-14.170000000000002</v>
      </c>
      <c r="I28" s="32">
        <v>21.45</v>
      </c>
      <c r="J28" s="37">
        <f t="shared" si="3"/>
        <v>-8.0399999999999991</v>
      </c>
      <c r="K28" s="33"/>
      <c r="L28" s="38">
        <v>16801</v>
      </c>
      <c r="M28" s="35"/>
      <c r="N28" s="88">
        <v>0.55200000000000005</v>
      </c>
      <c r="O28" s="35"/>
      <c r="P28" s="97">
        <f>47081/24</f>
        <v>1961.7083333333333</v>
      </c>
      <c r="Q28" s="41"/>
      <c r="R28" s="106">
        <f>667254/24</f>
        <v>27802.25</v>
      </c>
      <c r="S28" s="100">
        <f t="shared" si="4"/>
        <v>-458.08333333333212</v>
      </c>
      <c r="T28" s="88"/>
      <c r="U28" s="35"/>
      <c r="V28" s="42" t="s">
        <v>80</v>
      </c>
      <c r="W28" s="35"/>
      <c r="X28" s="38">
        <f t="shared" si="6"/>
        <v>7098.25</v>
      </c>
    </row>
    <row r="29" spans="1:24" s="31" customFormat="1" x14ac:dyDescent="0.25">
      <c r="A29" s="30">
        <f t="shared" si="0"/>
        <v>37213</v>
      </c>
      <c r="C29" s="36">
        <v>22.54</v>
      </c>
      <c r="D29" s="37">
        <f t="shared" si="1"/>
        <v>-1.4800000000000004</v>
      </c>
      <c r="E29" s="32">
        <v>26.35</v>
      </c>
      <c r="F29" s="37">
        <f t="shared" si="2"/>
        <v>-3.5700000000000003</v>
      </c>
      <c r="G29" s="32">
        <v>29.67</v>
      </c>
      <c r="H29" s="37">
        <f t="shared" si="3"/>
        <v>-3.1499999999999986</v>
      </c>
      <c r="I29" s="36">
        <v>18.760000000000002</v>
      </c>
      <c r="J29" s="37">
        <f t="shared" si="3"/>
        <v>-2.6899999999999977</v>
      </c>
      <c r="K29" s="33"/>
      <c r="L29" s="38">
        <v>16319</v>
      </c>
      <c r="M29" s="35"/>
      <c r="N29" s="88">
        <v>0.40500000000000003</v>
      </c>
      <c r="O29" s="35"/>
      <c r="P29" s="97">
        <v>1803</v>
      </c>
      <c r="Q29" s="41"/>
      <c r="R29" s="106">
        <v>28775</v>
      </c>
      <c r="S29" s="100">
        <f t="shared" si="4"/>
        <v>972.75</v>
      </c>
      <c r="T29" s="88"/>
      <c r="U29" s="35"/>
      <c r="V29" s="42" t="s">
        <v>85</v>
      </c>
      <c r="W29" s="35"/>
      <c r="X29" s="38">
        <f>X28-S29</f>
        <v>6125.5</v>
      </c>
    </row>
    <row r="30" spans="1:24" x14ac:dyDescent="0.25">
      <c r="A30" s="11">
        <f t="shared" si="0"/>
        <v>37214</v>
      </c>
      <c r="C30" s="18">
        <v>24.52</v>
      </c>
      <c r="D30" s="107">
        <f t="shared" si="1"/>
        <v>1.9800000000000004</v>
      </c>
      <c r="E30" s="18">
        <v>28.65</v>
      </c>
      <c r="F30" s="107">
        <f t="shared" si="2"/>
        <v>2.2999999999999972</v>
      </c>
      <c r="G30" s="18">
        <v>31.82</v>
      </c>
      <c r="H30" s="107">
        <f t="shared" si="3"/>
        <v>2.1499999999999986</v>
      </c>
      <c r="I30" s="18">
        <v>25.16</v>
      </c>
      <c r="J30" s="107">
        <f t="shared" si="3"/>
        <v>6.3999999999999986</v>
      </c>
      <c r="K30" s="19"/>
      <c r="L30" s="21">
        <v>19353</v>
      </c>
      <c r="M30" s="22"/>
      <c r="N30" s="89">
        <v>0.40300000000000002</v>
      </c>
      <c r="O30" s="22"/>
      <c r="P30" s="96">
        <v>1548</v>
      </c>
      <c r="Q30" s="24"/>
      <c r="R30" s="110">
        <v>29950</v>
      </c>
      <c r="S30" s="101">
        <f t="shared" si="4"/>
        <v>1175</v>
      </c>
      <c r="T30" s="90"/>
      <c r="U30" s="22"/>
      <c r="V30" s="29" t="s">
        <v>86</v>
      </c>
      <c r="W30" s="22"/>
      <c r="X30" s="121">
        <f>X29-S30</f>
        <v>4950.5</v>
      </c>
    </row>
    <row r="31" spans="1:24" x14ac:dyDescent="0.25">
      <c r="A31" s="11">
        <f t="shared" si="0"/>
        <v>37215</v>
      </c>
      <c r="C31" s="18">
        <v>25.35</v>
      </c>
      <c r="D31" s="107">
        <f t="shared" si="1"/>
        <v>0.83000000000000185</v>
      </c>
      <c r="E31" s="18">
        <v>29.37</v>
      </c>
      <c r="F31" s="107">
        <f t="shared" si="2"/>
        <v>0.72000000000000242</v>
      </c>
      <c r="G31" s="18">
        <v>32.06</v>
      </c>
      <c r="H31" s="107">
        <f t="shared" si="3"/>
        <v>0.24000000000000199</v>
      </c>
      <c r="I31" s="26">
        <v>26.15</v>
      </c>
      <c r="J31" s="107">
        <f t="shared" si="3"/>
        <v>0.98999999999999844</v>
      </c>
      <c r="K31" s="19"/>
      <c r="L31" s="21">
        <v>19562</v>
      </c>
      <c r="M31" s="22"/>
      <c r="N31" s="89">
        <v>0.38400000000000001</v>
      </c>
      <c r="O31" s="22"/>
      <c r="P31" s="96">
        <f>31823/24</f>
        <v>1325.9583333333333</v>
      </c>
      <c r="Q31" s="24"/>
      <c r="R31" s="105">
        <f>725610/24</f>
        <v>30233.75</v>
      </c>
      <c r="S31" s="101">
        <f t="shared" si="4"/>
        <v>283.75</v>
      </c>
      <c r="T31" s="89"/>
      <c r="U31" s="22"/>
      <c r="V31" s="29" t="s">
        <v>87</v>
      </c>
      <c r="W31" s="22"/>
      <c r="X31" s="21">
        <f>X30-S31</f>
        <v>4666.75</v>
      </c>
    </row>
    <row r="32" spans="1:24" x14ac:dyDescent="0.25">
      <c r="A32" s="11">
        <f t="shared" si="0"/>
        <v>37216</v>
      </c>
      <c r="C32" s="18">
        <v>24.67</v>
      </c>
      <c r="D32" s="107">
        <f t="shared" si="1"/>
        <v>-0.67999999999999972</v>
      </c>
      <c r="E32" s="18">
        <v>31.13</v>
      </c>
      <c r="F32" s="107">
        <f t="shared" si="2"/>
        <v>1.759999999999998</v>
      </c>
      <c r="G32" s="18">
        <v>32.450000000000003</v>
      </c>
      <c r="H32" s="107">
        <f t="shared" si="3"/>
        <v>0.39000000000000057</v>
      </c>
      <c r="I32" s="26">
        <v>24.11</v>
      </c>
      <c r="J32" s="107">
        <f t="shared" si="3"/>
        <v>-2.0399999999999991</v>
      </c>
      <c r="K32" s="19"/>
      <c r="L32" s="21">
        <v>19343</v>
      </c>
      <c r="M32" s="22"/>
      <c r="N32" s="89">
        <v>0.47899999999999998</v>
      </c>
      <c r="O32" s="22"/>
      <c r="P32" s="96">
        <f>37576/24</f>
        <v>1565.6666666666667</v>
      </c>
      <c r="Q32" s="24"/>
      <c r="R32" s="110">
        <f>733797/24</f>
        <v>30574.875</v>
      </c>
      <c r="S32" s="101">
        <f t="shared" si="4"/>
        <v>341.125</v>
      </c>
      <c r="T32" s="90"/>
      <c r="U32" s="22"/>
      <c r="V32" s="29" t="s">
        <v>88</v>
      </c>
      <c r="W32" s="22"/>
      <c r="X32" s="21">
        <f>X31-S32</f>
        <v>4325.625</v>
      </c>
    </row>
    <row r="33" spans="1:24" x14ac:dyDescent="0.25">
      <c r="A33" s="11">
        <f t="shared" si="0"/>
        <v>37217</v>
      </c>
      <c r="C33" s="18">
        <v>21.28</v>
      </c>
      <c r="D33" s="107">
        <f t="shared" si="1"/>
        <v>-3.3900000000000006</v>
      </c>
      <c r="E33" s="18">
        <v>25.71</v>
      </c>
      <c r="F33" s="107">
        <f t="shared" si="2"/>
        <v>-5.4199999999999982</v>
      </c>
      <c r="G33" s="18">
        <v>26.19</v>
      </c>
      <c r="H33" s="107">
        <f>G33-G32</f>
        <v>-6.2600000000000016</v>
      </c>
      <c r="I33" s="18">
        <v>17.329999999999998</v>
      </c>
      <c r="J33" s="107">
        <f t="shared" ref="J33:J39" si="7">I33-I32</f>
        <v>-6.7800000000000011</v>
      </c>
      <c r="K33" s="19"/>
      <c r="L33" s="21">
        <v>16010</v>
      </c>
      <c r="M33" s="22"/>
      <c r="N33" s="89">
        <v>0.39300000000000002</v>
      </c>
      <c r="O33" s="22"/>
      <c r="P33" s="96">
        <f>42835/24</f>
        <v>1784.7916666666667</v>
      </c>
      <c r="Q33" s="22"/>
      <c r="R33" s="96">
        <f>741212/24</f>
        <v>30883.833333333332</v>
      </c>
      <c r="S33" s="101">
        <f t="shared" si="4"/>
        <v>308.95833333333212</v>
      </c>
      <c r="T33" s="22"/>
      <c r="U33" s="22"/>
      <c r="V33" s="29" t="s">
        <v>89</v>
      </c>
      <c r="W33" s="22"/>
      <c r="X33" s="99">
        <f>X32-S33</f>
        <v>4016.6666666666679</v>
      </c>
    </row>
    <row r="34" spans="1:24" x14ac:dyDescent="0.25">
      <c r="A34" s="11">
        <f t="shared" si="0"/>
        <v>37218</v>
      </c>
      <c r="C34" s="18">
        <v>21.62</v>
      </c>
      <c r="D34" s="107">
        <f t="shared" si="1"/>
        <v>0.33999999999999986</v>
      </c>
      <c r="E34" s="26">
        <v>26.43</v>
      </c>
      <c r="F34" s="107">
        <f t="shared" si="2"/>
        <v>0.71999999999999886</v>
      </c>
      <c r="G34" s="18">
        <v>28.05</v>
      </c>
      <c r="H34" s="107">
        <f t="shared" ref="H34:H41" si="8">G34-G33</f>
        <v>1.8599999999999994</v>
      </c>
      <c r="I34" s="18">
        <v>20.190000000000001</v>
      </c>
      <c r="J34" s="107">
        <f t="shared" si="7"/>
        <v>2.860000000000003</v>
      </c>
      <c r="K34" s="19"/>
      <c r="L34" s="21">
        <v>17104</v>
      </c>
      <c r="M34" s="22"/>
      <c r="N34" s="89">
        <v>0.64600000000000002</v>
      </c>
      <c r="O34" s="22"/>
      <c r="P34" s="96">
        <f>48560/24</f>
        <v>2023.3333333333333</v>
      </c>
      <c r="Q34" s="22"/>
      <c r="R34" s="96">
        <f>724872/24</f>
        <v>30203</v>
      </c>
      <c r="S34" s="101">
        <f t="shared" si="4"/>
        <v>-680.83333333333212</v>
      </c>
      <c r="T34" s="22"/>
      <c r="U34" s="22"/>
      <c r="V34" s="29" t="s">
        <v>90</v>
      </c>
      <c r="W34" s="22"/>
      <c r="X34" s="99">
        <f t="shared" ref="X34:X41" si="9">X33-S34</f>
        <v>4697.5</v>
      </c>
    </row>
    <row r="35" spans="1:24" s="31" customFormat="1" x14ac:dyDescent="0.25">
      <c r="A35" s="30">
        <f t="shared" si="0"/>
        <v>37219</v>
      </c>
      <c r="C35" s="32">
        <v>21.73</v>
      </c>
      <c r="D35" s="37">
        <f t="shared" si="1"/>
        <v>0.10999999999999943</v>
      </c>
      <c r="E35" s="32">
        <v>26.06</v>
      </c>
      <c r="F35" s="37">
        <f t="shared" si="2"/>
        <v>-0.37000000000000099</v>
      </c>
      <c r="G35" s="36">
        <v>27.8</v>
      </c>
      <c r="H35" s="37">
        <f t="shared" si="8"/>
        <v>-0.25</v>
      </c>
      <c r="I35" s="32">
        <v>17.03</v>
      </c>
      <c r="J35" s="37">
        <f t="shared" si="7"/>
        <v>-3.16</v>
      </c>
      <c r="K35" s="33"/>
      <c r="L35" s="38">
        <v>16239</v>
      </c>
      <c r="M35" s="35"/>
      <c r="N35" s="43">
        <v>0.53200000000000003</v>
      </c>
      <c r="O35" s="35"/>
      <c r="P35" s="97">
        <f>45287/24</f>
        <v>1886.9583333333333</v>
      </c>
      <c r="Q35" s="35"/>
      <c r="R35" s="97">
        <f>721224/24</f>
        <v>30051</v>
      </c>
      <c r="S35" s="100">
        <f t="shared" si="4"/>
        <v>-152</v>
      </c>
      <c r="T35" s="35"/>
      <c r="U35" s="35"/>
      <c r="V35" s="42" t="s">
        <v>91</v>
      </c>
      <c r="W35" s="35"/>
      <c r="X35" s="100">
        <f t="shared" si="9"/>
        <v>4849.5</v>
      </c>
    </row>
    <row r="36" spans="1:24" s="31" customFormat="1" x14ac:dyDescent="0.25">
      <c r="A36" s="30">
        <f t="shared" si="0"/>
        <v>37220</v>
      </c>
      <c r="C36" s="36">
        <v>21.3</v>
      </c>
      <c r="D36" s="37">
        <f t="shared" si="1"/>
        <v>-0.42999999999999972</v>
      </c>
      <c r="E36" s="32">
        <v>25.51</v>
      </c>
      <c r="F36" s="37">
        <f t="shared" si="2"/>
        <v>-0.54999999999999716</v>
      </c>
      <c r="G36" s="36">
        <v>26.07</v>
      </c>
      <c r="H36" s="37">
        <f t="shared" si="8"/>
        <v>-1.7300000000000004</v>
      </c>
      <c r="I36" s="32">
        <v>16.38</v>
      </c>
      <c r="J36" s="37">
        <f t="shared" si="7"/>
        <v>-0.65000000000000213</v>
      </c>
      <c r="K36" s="33"/>
      <c r="L36" s="38">
        <v>16517</v>
      </c>
      <c r="M36" s="35"/>
      <c r="N36" s="43">
        <v>0.503</v>
      </c>
      <c r="O36" s="35"/>
      <c r="P36" s="97">
        <f>46702/24</f>
        <v>1945.9166666666667</v>
      </c>
      <c r="Q36" s="35"/>
      <c r="R36" s="97">
        <f>715554/24</f>
        <v>29814.75</v>
      </c>
      <c r="S36" s="100">
        <f t="shared" si="4"/>
        <v>-236.25</v>
      </c>
      <c r="T36" s="35"/>
      <c r="U36" s="35"/>
      <c r="V36" s="42" t="s">
        <v>92</v>
      </c>
      <c r="W36" s="35"/>
      <c r="X36" s="100">
        <f t="shared" si="9"/>
        <v>5085.75</v>
      </c>
    </row>
    <row r="37" spans="1:24" x14ac:dyDescent="0.25">
      <c r="A37" s="11">
        <f t="shared" si="0"/>
        <v>37221</v>
      </c>
      <c r="C37" s="18">
        <v>27.85</v>
      </c>
      <c r="D37" s="107">
        <f t="shared" si="1"/>
        <v>6.5500000000000007</v>
      </c>
      <c r="E37" s="18">
        <v>33.31</v>
      </c>
      <c r="F37" s="107">
        <f t="shared" si="2"/>
        <v>7.8000000000000007</v>
      </c>
      <c r="G37" s="18">
        <v>35.25</v>
      </c>
      <c r="H37" s="107">
        <f t="shared" si="8"/>
        <v>9.18</v>
      </c>
      <c r="I37" s="18">
        <v>25.03</v>
      </c>
      <c r="J37" s="107">
        <f t="shared" si="7"/>
        <v>8.6500000000000021</v>
      </c>
      <c r="K37" s="19"/>
      <c r="L37" s="21">
        <v>19263</v>
      </c>
      <c r="M37" s="22"/>
      <c r="N37" s="28">
        <v>0.66300000000000003</v>
      </c>
      <c r="O37" s="22"/>
      <c r="P37" s="96">
        <f>40679/24</f>
        <v>1694.9583333333333</v>
      </c>
      <c r="Q37" s="22"/>
      <c r="R37" s="96">
        <f>707389/24</f>
        <v>29474.541666666668</v>
      </c>
      <c r="S37" s="101">
        <f t="shared" si="4"/>
        <v>-340.20833333333212</v>
      </c>
      <c r="T37" s="22"/>
      <c r="U37" s="22"/>
      <c r="V37" s="29" t="s">
        <v>93</v>
      </c>
      <c r="W37" s="22"/>
      <c r="X37" s="99">
        <f t="shared" si="9"/>
        <v>5425.9583333333321</v>
      </c>
    </row>
    <row r="38" spans="1:24" x14ac:dyDescent="0.25">
      <c r="A38" s="11">
        <f t="shared" si="0"/>
        <v>37222</v>
      </c>
      <c r="C38" s="18">
        <v>26.16</v>
      </c>
      <c r="D38" s="107">
        <f t="shared" si="1"/>
        <v>-1.6900000000000013</v>
      </c>
      <c r="E38" s="18">
        <v>32.49</v>
      </c>
      <c r="F38" s="107">
        <f t="shared" si="2"/>
        <v>-0.82000000000000028</v>
      </c>
      <c r="G38" s="18">
        <v>33.65</v>
      </c>
      <c r="H38" s="107">
        <f t="shared" si="8"/>
        <v>-1.6000000000000014</v>
      </c>
      <c r="I38" s="18">
        <v>22.44</v>
      </c>
      <c r="J38" s="107">
        <f t="shared" si="7"/>
        <v>-2.59</v>
      </c>
      <c r="K38" s="19"/>
      <c r="L38" s="21">
        <v>19278</v>
      </c>
      <c r="M38" s="22"/>
      <c r="N38" s="28">
        <v>0.59599999999999997</v>
      </c>
      <c r="O38" s="22"/>
      <c r="P38" s="96">
        <f>41082/24</f>
        <v>1711.75</v>
      </c>
      <c r="Q38" s="22"/>
      <c r="R38" s="96">
        <f>713323/24</f>
        <v>29721.791666666668</v>
      </c>
      <c r="S38" s="101">
        <f t="shared" si="4"/>
        <v>247.25</v>
      </c>
      <c r="T38" s="22"/>
      <c r="U38" s="22"/>
      <c r="V38" s="29" t="s">
        <v>94</v>
      </c>
      <c r="W38" s="22"/>
      <c r="X38" s="99">
        <f t="shared" si="9"/>
        <v>5178.7083333333321</v>
      </c>
    </row>
    <row r="39" spans="1:24" x14ac:dyDescent="0.25">
      <c r="A39" s="11">
        <f t="shared" si="0"/>
        <v>37223</v>
      </c>
      <c r="C39" s="50">
        <v>22.4</v>
      </c>
      <c r="D39" s="107">
        <f t="shared" si="1"/>
        <v>-3.7600000000000016</v>
      </c>
      <c r="E39" s="46">
        <v>27.37</v>
      </c>
      <c r="F39" s="107">
        <f t="shared" si="2"/>
        <v>-5.120000000000001</v>
      </c>
      <c r="G39" s="46">
        <v>29.68</v>
      </c>
      <c r="H39" s="107">
        <f t="shared" si="8"/>
        <v>-3.9699999999999989</v>
      </c>
      <c r="I39" s="46">
        <v>26.72</v>
      </c>
      <c r="J39" s="107">
        <f t="shared" si="7"/>
        <v>4.2799999999999976</v>
      </c>
      <c r="K39" s="47"/>
      <c r="L39" s="21">
        <v>19299</v>
      </c>
      <c r="M39" s="49"/>
      <c r="N39" s="103">
        <v>0.626</v>
      </c>
      <c r="O39" s="49"/>
      <c r="P39" s="104">
        <f>51776/24</f>
        <v>2157.3333333333335</v>
      </c>
      <c r="Q39" s="49"/>
      <c r="R39" s="104">
        <f>711932/24</f>
        <v>29663.833333333332</v>
      </c>
      <c r="S39" s="101">
        <f t="shared" si="4"/>
        <v>-57.958333333335759</v>
      </c>
      <c r="T39" s="22"/>
      <c r="U39" s="22"/>
      <c r="V39" s="29" t="s">
        <v>95</v>
      </c>
      <c r="W39" s="22"/>
      <c r="X39" s="99">
        <f t="shared" si="9"/>
        <v>5236.6666666666679</v>
      </c>
    </row>
    <row r="40" spans="1:24" x14ac:dyDescent="0.25">
      <c r="A40" s="11">
        <f t="shared" si="0"/>
        <v>37224</v>
      </c>
      <c r="C40" s="50">
        <v>26</v>
      </c>
      <c r="D40" s="107">
        <f t="shared" si="1"/>
        <v>3.6000000000000014</v>
      </c>
      <c r="E40" s="46">
        <v>30.97</v>
      </c>
      <c r="F40" s="107">
        <f t="shared" si="2"/>
        <v>3.5999999999999979</v>
      </c>
      <c r="G40" s="46">
        <v>34.54</v>
      </c>
      <c r="H40" s="107">
        <f t="shared" si="8"/>
        <v>4.8599999999999994</v>
      </c>
      <c r="I40" s="46"/>
      <c r="J40" s="48"/>
      <c r="K40" s="47"/>
      <c r="L40" s="21">
        <v>19296</v>
      </c>
      <c r="M40" s="49"/>
      <c r="N40" s="126">
        <v>0.495</v>
      </c>
      <c r="O40" s="49"/>
      <c r="P40" s="104">
        <f>34219/24</f>
        <v>1425.7916666666667</v>
      </c>
      <c r="Q40" s="49"/>
      <c r="R40" s="104">
        <f>708649/24</f>
        <v>29527.041666666668</v>
      </c>
      <c r="S40" s="101">
        <f t="shared" si="4"/>
        <v>-136.79166666666424</v>
      </c>
      <c r="T40" s="22"/>
      <c r="U40" s="22"/>
      <c r="V40" s="29" t="s">
        <v>96</v>
      </c>
      <c r="W40" s="22"/>
      <c r="X40" s="99">
        <f t="shared" si="9"/>
        <v>5373.4583333333321</v>
      </c>
    </row>
    <row r="41" spans="1:24" x14ac:dyDescent="0.25">
      <c r="A41" s="11">
        <f t="shared" si="0"/>
        <v>37225</v>
      </c>
      <c r="C41" s="46">
        <v>22.72</v>
      </c>
      <c r="D41" s="107">
        <f t="shared" si="1"/>
        <v>-3.2800000000000011</v>
      </c>
      <c r="E41" s="46">
        <v>30.65</v>
      </c>
      <c r="F41" s="107">
        <f t="shared" si="2"/>
        <v>-0.32000000000000028</v>
      </c>
      <c r="G41" s="46">
        <v>32.729999999999997</v>
      </c>
      <c r="H41" s="107">
        <f t="shared" si="8"/>
        <v>-1.8100000000000023</v>
      </c>
      <c r="I41" s="46"/>
      <c r="J41" s="48"/>
      <c r="K41" s="47"/>
      <c r="L41" s="21">
        <v>18945</v>
      </c>
      <c r="M41" s="49"/>
      <c r="N41" s="126">
        <v>0.59199999999999997</v>
      </c>
      <c r="O41" s="49"/>
      <c r="P41" s="104">
        <f>45825/24</f>
        <v>1909.375</v>
      </c>
      <c r="Q41" s="95"/>
      <c r="R41" s="127">
        <f>720969/24</f>
        <v>30040.375</v>
      </c>
      <c r="S41" s="101">
        <f t="shared" si="4"/>
        <v>513.33333333333212</v>
      </c>
      <c r="T41" s="22"/>
      <c r="U41" s="22"/>
      <c r="V41" s="29" t="s">
        <v>97</v>
      </c>
      <c r="W41" s="22"/>
      <c r="X41" s="99">
        <f t="shared" si="9"/>
        <v>4860.125</v>
      </c>
    </row>
    <row r="42" spans="1:24" ht="13.8" thickBot="1" x14ac:dyDescent="0.3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5">
      <c r="A43" s="58" t="s">
        <v>35</v>
      </c>
      <c r="B43" s="59"/>
      <c r="C43" s="60">
        <f t="shared" ref="C43:J43" si="10">AVERAGE(C9:C13)</f>
        <v>33.768000000000001</v>
      </c>
      <c r="D43" s="60">
        <f t="shared" si="10"/>
        <v>-0.59500000000000064</v>
      </c>
      <c r="E43" s="60">
        <f t="shared" si="10"/>
        <v>40.387999999999998</v>
      </c>
      <c r="F43" s="60">
        <f t="shared" si="10"/>
        <v>0.38749999999999929</v>
      </c>
      <c r="G43" s="60">
        <f t="shared" si="10"/>
        <v>42.203999999999994</v>
      </c>
      <c r="H43" s="60">
        <f t="shared" si="10"/>
        <v>-0.6875</v>
      </c>
      <c r="I43" s="60">
        <f t="shared" si="10"/>
        <v>25.318000000000001</v>
      </c>
      <c r="J43" s="60">
        <f t="shared" si="10"/>
        <v>-2.7725</v>
      </c>
      <c r="K43" s="60"/>
      <c r="L43" s="61">
        <f>AVERAGE(L9:L13)</f>
        <v>19390.599999999999</v>
      </c>
      <c r="M43" s="60"/>
      <c r="N43" s="62">
        <f>AVERAGE(N9:N13)</f>
        <v>0.61559999999999993</v>
      </c>
      <c r="O43" s="60"/>
      <c r="P43" s="61">
        <f>AVERAGE(P9:P13)</f>
        <v>1142.0333333333333</v>
      </c>
      <c r="Q43" s="61"/>
      <c r="R43" s="61">
        <f>AVERAGE(R9:R13)</f>
        <v>27560.575000000001</v>
      </c>
      <c r="S43" s="61">
        <f>AVERAGE(S9:S13)</f>
        <v>-303.875</v>
      </c>
      <c r="T43" s="22"/>
      <c r="U43" s="22"/>
      <c r="V43" s="22"/>
      <c r="W43" s="22"/>
      <c r="X43" s="22"/>
    </row>
    <row r="44" spans="1:24" x14ac:dyDescent="0.25">
      <c r="A44" s="63" t="s">
        <v>36</v>
      </c>
      <c r="B44" s="64"/>
      <c r="C44" s="50">
        <f t="shared" ref="C44:J44" si="11">AVERAGE(C16:C20)</f>
        <v>29.456</v>
      </c>
      <c r="D44" s="50">
        <f t="shared" si="11"/>
        <v>4.7999999999999689E-2</v>
      </c>
      <c r="E44" s="50">
        <f t="shared" si="11"/>
        <v>35.805999999999997</v>
      </c>
      <c r="F44" s="50">
        <f t="shared" si="11"/>
        <v>0.12000000000000029</v>
      </c>
      <c r="G44" s="50">
        <f t="shared" si="11"/>
        <v>38.455999999999996</v>
      </c>
      <c r="H44" s="50">
        <f t="shared" si="11"/>
        <v>1.0620000000000005</v>
      </c>
      <c r="I44" s="50">
        <f t="shared" si="11"/>
        <v>24.636000000000003</v>
      </c>
      <c r="J44" s="50">
        <f t="shared" si="11"/>
        <v>-5.3999999999999916E-2</v>
      </c>
      <c r="K44" s="50"/>
      <c r="L44" s="51">
        <f>AVERAGE(L16:L20)</f>
        <v>19471</v>
      </c>
      <c r="M44" s="50"/>
      <c r="N44" s="53">
        <f>AVERAGE(N16:N20)</f>
        <v>0.63019999999999998</v>
      </c>
      <c r="O44" s="50"/>
      <c r="P44" s="51">
        <f>AVERAGE(P16:P20)</f>
        <v>1946.9</v>
      </c>
      <c r="Q44" s="51"/>
      <c r="R44" s="51">
        <f>AVERAGE(R16:R20)</f>
        <v>28589.7</v>
      </c>
      <c r="S44" s="51">
        <f>AVERAGE(S16:S20)</f>
        <v>116.56666666666642</v>
      </c>
      <c r="T44" s="22"/>
      <c r="U44" s="22"/>
      <c r="V44" s="22"/>
      <c r="W44" s="22"/>
      <c r="X44" s="22"/>
    </row>
    <row r="45" spans="1:24" x14ac:dyDescent="0.25">
      <c r="A45" s="63" t="s">
        <v>37</v>
      </c>
      <c r="B45" s="64"/>
      <c r="C45" s="50">
        <f t="shared" ref="C45:J45" si="12">AVERAGE(C23:C27)</f>
        <v>27.006</v>
      </c>
      <c r="D45" s="50">
        <f t="shared" si="12"/>
        <v>0.44600000000000006</v>
      </c>
      <c r="E45" s="50">
        <f t="shared" si="12"/>
        <v>33.674000000000007</v>
      </c>
      <c r="F45" s="50">
        <f t="shared" si="12"/>
        <v>0.90399999999999991</v>
      </c>
      <c r="G45" s="50">
        <f t="shared" si="12"/>
        <v>42.058</v>
      </c>
      <c r="H45" s="50">
        <f t="shared" si="12"/>
        <v>3.1459999999999999</v>
      </c>
      <c r="I45" s="50">
        <f t="shared" si="12"/>
        <v>26.842000000000002</v>
      </c>
      <c r="J45" s="50">
        <f t="shared" si="12"/>
        <v>1.4299999999999997</v>
      </c>
      <c r="K45" s="50"/>
      <c r="L45" s="51">
        <f>AVERAGE(L23:L27)</f>
        <v>19373</v>
      </c>
      <c r="M45" s="50"/>
      <c r="N45" s="53">
        <f>AVERAGE(N23:N27)</f>
        <v>0.67380000000000018</v>
      </c>
      <c r="O45" s="50"/>
      <c r="P45" s="51">
        <f>AVERAGE(P23:P27)</f>
        <v>1829.1</v>
      </c>
      <c r="Q45" s="50"/>
      <c r="R45" s="51">
        <f>AVERAGE(R23:R27)</f>
        <v>29034.400000000001</v>
      </c>
      <c r="S45" s="109">
        <f>AVERAGE(S23:S27)</f>
        <v>-120.06666666666715</v>
      </c>
      <c r="T45" s="22"/>
      <c r="U45" s="22"/>
      <c r="V45" s="22"/>
      <c r="W45" s="22"/>
      <c r="X45" s="22"/>
    </row>
    <row r="46" spans="1:24" x14ac:dyDescent="0.25">
      <c r="A46" s="63" t="s">
        <v>38</v>
      </c>
      <c r="B46" s="64"/>
      <c r="C46" s="50">
        <f>AVERAGE(C30:C34)</f>
        <v>23.488000000000003</v>
      </c>
      <c r="D46" s="50">
        <f t="shared" ref="D46:J46" si="13">AVERAGE(D30:D34)</f>
        <v>-0.18399999999999964</v>
      </c>
      <c r="E46" s="50">
        <f t="shared" si="13"/>
        <v>28.257999999999999</v>
      </c>
      <c r="F46" s="50">
        <f t="shared" si="13"/>
        <v>1.599999999999966E-2</v>
      </c>
      <c r="G46" s="50">
        <f t="shared" si="13"/>
        <v>30.114000000000004</v>
      </c>
      <c r="H46" s="50">
        <f t="shared" si="13"/>
        <v>-0.32400000000000018</v>
      </c>
      <c r="I46" s="50">
        <f t="shared" si="13"/>
        <v>22.588000000000001</v>
      </c>
      <c r="J46" s="50">
        <f t="shared" si="13"/>
        <v>0.28599999999999992</v>
      </c>
      <c r="K46" s="47"/>
      <c r="L46" s="51">
        <f>AVERAGE(L30:L34)</f>
        <v>18274.400000000001</v>
      </c>
      <c r="M46" s="51"/>
      <c r="N46" s="53">
        <f>AVERAGE(N30:N34)</f>
        <v>0.46100000000000002</v>
      </c>
      <c r="O46" s="53"/>
      <c r="P46" s="51">
        <f>AVERAGE(P30:P34)</f>
        <v>1649.55</v>
      </c>
      <c r="Q46" s="53"/>
      <c r="R46" s="51">
        <f>AVERAGE(R30:R34)</f>
        <v>30369.091666666664</v>
      </c>
      <c r="S46" s="51">
        <f>AVERAGE(S30:S34)</f>
        <v>285.60000000000002</v>
      </c>
      <c r="T46" s="22"/>
      <c r="U46" s="22"/>
      <c r="V46" s="22"/>
      <c r="W46" s="22"/>
      <c r="X46" s="22"/>
    </row>
    <row r="47" spans="1:24" ht="13.8" thickBot="1" x14ac:dyDescent="0.3">
      <c r="A47" s="80" t="s">
        <v>56</v>
      </c>
      <c r="B47" s="66"/>
      <c r="C47" s="82">
        <f>AVERAGE(C37:C41)</f>
        <v>25.026</v>
      </c>
      <c r="D47" s="82">
        <f t="shared" ref="D47:S47" si="14">AVERAGE(D37:D41)</f>
        <v>0.28399999999999964</v>
      </c>
      <c r="E47" s="82">
        <f t="shared" si="14"/>
        <v>30.958000000000006</v>
      </c>
      <c r="F47" s="81">
        <f t="shared" si="14"/>
        <v>1.0279999999999994</v>
      </c>
      <c r="G47" s="81">
        <f t="shared" si="14"/>
        <v>33.17</v>
      </c>
      <c r="H47" s="82">
        <f t="shared" si="14"/>
        <v>1.3319999999999994</v>
      </c>
      <c r="I47" s="81">
        <f t="shared" si="14"/>
        <v>24.73</v>
      </c>
      <c r="J47" s="81">
        <f t="shared" si="14"/>
        <v>3.4466666666666668</v>
      </c>
      <c r="K47" s="81"/>
      <c r="L47" s="84">
        <f t="shared" si="14"/>
        <v>19216.2</v>
      </c>
      <c r="M47" s="81"/>
      <c r="N47" s="85">
        <f t="shared" si="14"/>
        <v>0.59440000000000004</v>
      </c>
      <c r="O47" s="81"/>
      <c r="P47" s="84">
        <f t="shared" si="14"/>
        <v>1779.8416666666665</v>
      </c>
      <c r="Q47" s="81" t="e">
        <f t="shared" si="14"/>
        <v>#DIV/0!</v>
      </c>
      <c r="R47" s="84">
        <f t="shared" si="14"/>
        <v>29685.51666666667</v>
      </c>
      <c r="S47" s="102">
        <f t="shared" si="14"/>
        <v>45.125</v>
      </c>
      <c r="T47" s="22"/>
      <c r="U47" s="22"/>
      <c r="V47" s="22"/>
      <c r="W47" s="22"/>
      <c r="X47" s="22"/>
    </row>
    <row r="48" spans="1:24" ht="13.8" thickBot="1" x14ac:dyDescent="0.3">
      <c r="A48" s="71" t="s">
        <v>34</v>
      </c>
      <c r="B48" s="72"/>
      <c r="C48" s="73">
        <f t="shared" ref="C48:J48" si="15">AVERAGE(C43:C46)</f>
        <v>28.429500000000001</v>
      </c>
      <c r="D48" s="73">
        <f t="shared" si="15"/>
        <v>-7.1250000000000119E-2</v>
      </c>
      <c r="E48" s="73">
        <f t="shared" si="15"/>
        <v>34.531500000000001</v>
      </c>
      <c r="F48" s="73">
        <f t="shared" si="15"/>
        <v>0.35687499999999978</v>
      </c>
      <c r="G48" s="73">
        <f t="shared" si="15"/>
        <v>38.207999999999998</v>
      </c>
      <c r="H48" s="73">
        <f t="shared" si="15"/>
        <v>0.79912499999999997</v>
      </c>
      <c r="I48" s="73">
        <f t="shared" si="15"/>
        <v>24.846000000000004</v>
      </c>
      <c r="J48" s="73">
        <f t="shared" si="15"/>
        <v>-0.27762500000000001</v>
      </c>
      <c r="K48" s="74"/>
      <c r="L48" s="75">
        <f>AVERAGE(L9:L39)</f>
        <v>18485.16129032258</v>
      </c>
      <c r="M48" s="76"/>
      <c r="N48" s="77">
        <f>AVERAGE(N9:N39)</f>
        <v>0.57351612903225802</v>
      </c>
      <c r="O48" s="76"/>
      <c r="P48" s="75">
        <f>AVERAGE(P9:P39)</f>
        <v>1731.8145161290324</v>
      </c>
      <c r="Q48" s="94"/>
      <c r="R48" s="75">
        <f>AVERAGE(R9:R39)</f>
        <v>28925.28629032258</v>
      </c>
      <c r="S48" s="94">
        <f>AVERAGE(S9:S39)</f>
        <v>45.894444444444403</v>
      </c>
      <c r="T48" s="22"/>
      <c r="U48" s="22"/>
      <c r="V48" s="22"/>
      <c r="W48" s="22"/>
      <c r="X48" s="22"/>
    </row>
    <row r="49" spans="1:19" ht="13.8" thickBot="1" x14ac:dyDescent="0.3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workbookViewId="0">
      <selection activeCell="C12" sqref="C12:H12"/>
    </sheetView>
  </sheetViews>
  <sheetFormatPr defaultRowHeight="13.2" x14ac:dyDescent="0.25"/>
  <cols>
    <col min="1" max="1" width="14.44140625" customWidth="1"/>
    <col min="2" max="2" width="2.33203125" customWidth="1"/>
    <col min="3" max="3" width="8" style="8" customWidth="1"/>
    <col min="4" max="4" width="5.88671875" style="13" customWidth="1"/>
    <col min="5" max="5" width="7.88671875" style="8" customWidth="1"/>
    <col min="6" max="6" width="5.88671875" style="13" customWidth="1"/>
    <col min="7" max="7" width="7.6640625" style="8" customWidth="1"/>
    <col min="8" max="8" width="6.6640625" style="13" customWidth="1"/>
    <col min="9" max="9" width="8.33203125" style="8" customWidth="1"/>
    <col min="10" max="10" width="7.33203125" style="15" bestFit="1" customWidth="1"/>
    <col min="11" max="11" width="2.109375" style="13" customWidth="1"/>
    <col min="12" max="12" width="9.5546875" customWidth="1"/>
    <col min="13" max="13" width="1.6640625" customWidth="1"/>
    <col min="14" max="14" width="9" customWidth="1"/>
    <col min="15" max="15" width="1.88671875" customWidth="1"/>
    <col min="16" max="16" width="7.6640625" customWidth="1"/>
    <col min="17" max="17" width="1.5546875" customWidth="1"/>
    <col min="18" max="18" width="11" customWidth="1"/>
    <col min="19" max="19" width="8.88671875" customWidth="1"/>
    <col min="20" max="20" width="11" hidden="1" customWidth="1"/>
    <col min="21" max="21" width="1.6640625" customWidth="1"/>
    <col min="22" max="22" width="12.44140625" customWidth="1"/>
    <col min="23" max="23" width="2.109375" customWidth="1"/>
    <col min="24" max="24" width="9.6640625" customWidth="1"/>
  </cols>
  <sheetData>
    <row r="2" spans="1:24" x14ac:dyDescent="0.25">
      <c r="L2" s="12" t="s">
        <v>62</v>
      </c>
      <c r="R2" s="12" t="s">
        <v>61</v>
      </c>
    </row>
    <row r="3" spans="1:24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8" thickBot="1" x14ac:dyDescent="0.3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5"/>
    <row r="7" spans="1:24" s="31" customFormat="1" x14ac:dyDescent="0.25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3"/>
      <c r="I7" s="32"/>
      <c r="J7" s="34"/>
      <c r="K7" s="33"/>
      <c r="L7" s="38">
        <v>16803</v>
      </c>
      <c r="M7" s="35"/>
      <c r="N7" s="40">
        <v>0.40500000000000003</v>
      </c>
      <c r="O7" s="35"/>
      <c r="P7" s="97">
        <f>35968/24</f>
        <v>1498.6666666666667</v>
      </c>
      <c r="Q7" s="41"/>
      <c r="R7" s="106">
        <f>724243/24</f>
        <v>30176.791666666668</v>
      </c>
      <c r="S7" s="88"/>
      <c r="T7" s="88"/>
      <c r="U7" s="35"/>
      <c r="V7" s="42"/>
      <c r="W7" s="35"/>
      <c r="X7" s="97">
        <f>'Nov Data'!X41</f>
        <v>4860.125</v>
      </c>
    </row>
    <row r="8" spans="1:24" s="31" customFormat="1" ht="12.75" customHeight="1" x14ac:dyDescent="0.25">
      <c r="A8" s="30">
        <f t="shared" ref="A8:A41" si="0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6"/>
      <c r="J8" s="37"/>
      <c r="K8" s="37"/>
      <c r="L8" s="38">
        <v>16456</v>
      </c>
      <c r="M8" s="35"/>
      <c r="N8" s="40">
        <v>0.46100000000000002</v>
      </c>
      <c r="O8" s="35"/>
      <c r="P8" s="97">
        <f>33202/24</f>
        <v>1383.4166666666667</v>
      </c>
      <c r="Q8" s="41"/>
      <c r="R8" s="106">
        <f>726273/24</f>
        <v>30261.375</v>
      </c>
      <c r="S8" s="106">
        <f>R8-R7</f>
        <v>84.583333333332121</v>
      </c>
      <c r="T8" s="88"/>
      <c r="U8" s="35"/>
      <c r="V8" s="42"/>
      <c r="W8" s="35"/>
      <c r="X8" s="100">
        <f>X7-S8</f>
        <v>4775.5416666666679</v>
      </c>
    </row>
    <row r="9" spans="1:24" x14ac:dyDescent="0.25">
      <c r="A9" s="11">
        <f t="shared" si="0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21">
        <v>19715</v>
      </c>
      <c r="M9" s="22"/>
      <c r="N9" s="90">
        <v>0.42</v>
      </c>
      <c r="O9" s="22"/>
      <c r="P9" s="105">
        <f>22022/24</f>
        <v>917.58333333333337</v>
      </c>
      <c r="Q9" s="22"/>
      <c r="R9" s="105">
        <f>730017/24</f>
        <v>30417.375</v>
      </c>
      <c r="S9" s="128">
        <f>R9-R8</f>
        <v>156</v>
      </c>
      <c r="T9" s="22"/>
      <c r="U9" s="22"/>
      <c r="V9" s="29"/>
      <c r="W9" s="22"/>
      <c r="X9" s="110">
        <f>X8-S9</f>
        <v>4619.5416666666679</v>
      </c>
    </row>
    <row r="10" spans="1:24" x14ac:dyDescent="0.25">
      <c r="A10" s="11">
        <f t="shared" si="0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25"/>
      <c r="K10" s="19"/>
      <c r="L10" s="21">
        <v>19725</v>
      </c>
      <c r="M10" s="22"/>
      <c r="N10" s="90">
        <v>0.40300000000000002</v>
      </c>
      <c r="O10" s="22"/>
      <c r="P10" s="105">
        <f>31202/24</f>
        <v>1300.0833333333333</v>
      </c>
      <c r="Q10" s="22"/>
      <c r="R10" s="105">
        <f>716028/24</f>
        <v>29834.5</v>
      </c>
      <c r="S10" s="128">
        <f>R10-R9</f>
        <v>-582.875</v>
      </c>
      <c r="T10" s="22"/>
      <c r="U10" s="22"/>
      <c r="V10" s="29"/>
      <c r="W10" s="22"/>
      <c r="X10" s="110">
        <f>X9-S10</f>
        <v>5202.4166666666679</v>
      </c>
    </row>
    <row r="11" spans="1:24" x14ac:dyDescent="0.25">
      <c r="A11" s="11">
        <f t="shared" si="0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46"/>
      <c r="J11" s="25"/>
      <c r="K11" s="47"/>
      <c r="L11" s="52">
        <v>19640</v>
      </c>
      <c r="M11" s="49"/>
      <c r="N11" s="124">
        <v>0.67500000000000004</v>
      </c>
      <c r="O11" s="49"/>
      <c r="P11" s="125">
        <f>37652/24</f>
        <v>1568.8333333333333</v>
      </c>
      <c r="Q11" s="49"/>
      <c r="R11" s="105">
        <f>708288/24</f>
        <v>29512</v>
      </c>
      <c r="S11" s="128">
        <f>R11-R10</f>
        <v>-322.5</v>
      </c>
      <c r="T11" s="22"/>
      <c r="U11" s="22"/>
      <c r="V11" s="29"/>
      <c r="W11" s="22"/>
      <c r="X11" s="110"/>
    </row>
    <row r="12" spans="1:24" x14ac:dyDescent="0.25">
      <c r="A12" s="11">
        <f t="shared" si="0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26"/>
      <c r="J12" s="25"/>
      <c r="K12" s="25"/>
      <c r="L12" s="21">
        <v>19531</v>
      </c>
      <c r="M12" s="27"/>
      <c r="N12" s="23">
        <v>0.59799999999999998</v>
      </c>
      <c r="O12" s="22"/>
      <c r="P12" s="105">
        <f>41803/24</f>
        <v>1741.7916666666667</v>
      </c>
      <c r="Q12" s="24"/>
      <c r="R12" s="105">
        <f>731959/24</f>
        <v>30498.291666666668</v>
      </c>
      <c r="S12" s="128">
        <f>R12-R11</f>
        <v>986.29166666666788</v>
      </c>
      <c r="T12" s="89"/>
      <c r="U12" s="22"/>
      <c r="V12" s="29"/>
      <c r="W12" s="22"/>
      <c r="X12" s="21"/>
    </row>
    <row r="13" spans="1:24" x14ac:dyDescent="0.25">
      <c r="A13" s="11">
        <f t="shared" si="0"/>
        <v>37232</v>
      </c>
      <c r="B13" s="11"/>
      <c r="C13" s="26"/>
      <c r="D13" s="25"/>
      <c r="E13" s="26"/>
      <c r="F13" s="25"/>
      <c r="G13" s="26"/>
      <c r="H13" s="25"/>
      <c r="I13" s="26"/>
      <c r="J13" s="25"/>
      <c r="K13" s="25"/>
      <c r="L13" s="21">
        <v>19153</v>
      </c>
      <c r="M13" s="27"/>
      <c r="N13" s="23"/>
      <c r="O13" s="22"/>
      <c r="P13" s="105"/>
      <c r="Q13" s="24"/>
      <c r="R13" s="105"/>
      <c r="S13" s="101"/>
      <c r="T13" s="89"/>
      <c r="U13" s="22"/>
      <c r="V13" s="29"/>
      <c r="W13" s="22"/>
      <c r="X13" s="21"/>
    </row>
    <row r="14" spans="1:24" s="31" customFormat="1" x14ac:dyDescent="0.25">
      <c r="A14" s="30">
        <f t="shared" si="0"/>
        <v>37233</v>
      </c>
      <c r="B14" s="30"/>
      <c r="C14" s="36"/>
      <c r="D14" s="37"/>
      <c r="E14" s="36"/>
      <c r="F14" s="37"/>
      <c r="G14" s="36"/>
      <c r="H14" s="37"/>
      <c r="I14" s="36"/>
      <c r="J14" s="37"/>
      <c r="K14" s="37"/>
      <c r="L14" s="38">
        <v>17222</v>
      </c>
      <c r="M14" s="39"/>
      <c r="N14" s="40"/>
      <c r="O14" s="35"/>
      <c r="P14" s="106"/>
      <c r="Q14" s="41"/>
      <c r="R14" s="106"/>
      <c r="S14" s="100"/>
      <c r="T14" s="88"/>
      <c r="U14" s="35"/>
      <c r="V14" s="42"/>
      <c r="W14" s="35"/>
      <c r="X14" s="38"/>
    </row>
    <row r="15" spans="1:24" s="31" customFormat="1" x14ac:dyDescent="0.25">
      <c r="A15" s="30">
        <f t="shared" si="0"/>
        <v>37234</v>
      </c>
      <c r="B15" s="30"/>
      <c r="C15" s="36"/>
      <c r="D15" s="37"/>
      <c r="E15" s="36"/>
      <c r="F15" s="37"/>
      <c r="G15" s="36"/>
      <c r="H15" s="37"/>
      <c r="I15" s="36"/>
      <c r="J15" s="37"/>
      <c r="K15" s="37"/>
      <c r="L15" s="38">
        <v>17000</v>
      </c>
      <c r="M15" s="39"/>
      <c r="N15" s="40"/>
      <c r="O15" s="35"/>
      <c r="P15" s="106"/>
      <c r="Q15" s="41"/>
      <c r="R15" s="106"/>
      <c r="S15" s="100"/>
      <c r="T15" s="88"/>
      <c r="U15" s="35"/>
      <c r="V15" s="42"/>
      <c r="W15" s="35"/>
      <c r="X15" s="38"/>
    </row>
    <row r="16" spans="1:24" x14ac:dyDescent="0.25">
      <c r="A16" s="11">
        <f t="shared" si="0"/>
        <v>37235</v>
      </c>
      <c r="B16" s="11"/>
      <c r="C16" s="26"/>
      <c r="D16" s="107"/>
      <c r="E16" s="26"/>
      <c r="F16" s="107"/>
      <c r="G16" s="26"/>
      <c r="H16" s="107"/>
      <c r="I16" s="26"/>
      <c r="J16" s="107"/>
      <c r="K16" s="25"/>
      <c r="L16" s="21">
        <v>20052</v>
      </c>
      <c r="M16" s="27"/>
      <c r="N16" s="23"/>
      <c r="O16" s="22"/>
      <c r="P16" s="105"/>
      <c r="Q16" s="24"/>
      <c r="R16" s="105"/>
      <c r="S16" s="101"/>
      <c r="T16" s="89"/>
      <c r="U16" s="22"/>
      <c r="V16" s="29"/>
      <c r="W16" s="22"/>
      <c r="X16" s="21"/>
    </row>
    <row r="17" spans="1:24" x14ac:dyDescent="0.25">
      <c r="A17" s="11">
        <f t="shared" si="0"/>
        <v>37236</v>
      </c>
      <c r="C17" s="26"/>
      <c r="D17" s="107"/>
      <c r="E17" s="26"/>
      <c r="F17" s="107"/>
      <c r="G17" s="26"/>
      <c r="H17" s="107"/>
      <c r="I17" s="26"/>
      <c r="J17" s="107"/>
      <c r="K17" s="25"/>
      <c r="L17" s="21">
        <v>20251</v>
      </c>
      <c r="M17" s="22"/>
      <c r="N17" s="23"/>
      <c r="O17" s="22"/>
      <c r="P17" s="105"/>
      <c r="Q17" s="24"/>
      <c r="R17" s="105"/>
      <c r="S17" s="101"/>
      <c r="T17" s="89"/>
      <c r="U17" s="22"/>
      <c r="V17" s="29"/>
      <c r="W17" s="22"/>
      <c r="X17" s="21"/>
    </row>
    <row r="18" spans="1:24" x14ac:dyDescent="0.25">
      <c r="A18" s="11">
        <f t="shared" si="0"/>
        <v>37237</v>
      </c>
      <c r="C18" s="18"/>
      <c r="D18" s="107"/>
      <c r="E18" s="18"/>
      <c r="F18" s="107"/>
      <c r="G18" s="18"/>
      <c r="H18" s="107"/>
      <c r="I18" s="26"/>
      <c r="J18" s="107"/>
      <c r="K18" s="25"/>
      <c r="L18" s="21">
        <v>20276</v>
      </c>
      <c r="M18" s="22"/>
      <c r="N18" s="23"/>
      <c r="O18" s="22"/>
      <c r="P18" s="105"/>
      <c r="Q18" s="24"/>
      <c r="R18" s="105"/>
      <c r="S18" s="101"/>
      <c r="T18" s="89"/>
      <c r="U18" s="22"/>
      <c r="V18" s="29"/>
      <c r="W18" s="22"/>
      <c r="X18" s="21"/>
    </row>
    <row r="19" spans="1:24" x14ac:dyDescent="0.25">
      <c r="A19" s="11">
        <f t="shared" si="0"/>
        <v>37238</v>
      </c>
      <c r="C19" s="18"/>
      <c r="D19" s="107"/>
      <c r="E19" s="18"/>
      <c r="F19" s="107"/>
      <c r="G19" s="18"/>
      <c r="H19" s="107"/>
      <c r="I19" s="26"/>
      <c r="J19" s="107"/>
      <c r="K19" s="19"/>
      <c r="L19" s="21">
        <v>20303</v>
      </c>
      <c r="M19" s="22"/>
      <c r="N19" s="23"/>
      <c r="O19" s="22"/>
      <c r="P19" s="105"/>
      <c r="Q19" s="24"/>
      <c r="R19" s="105"/>
      <c r="S19" s="101"/>
      <c r="T19" s="89"/>
      <c r="U19" s="22"/>
      <c r="V19" s="29"/>
      <c r="W19" s="22"/>
      <c r="X19" s="21"/>
    </row>
    <row r="20" spans="1:24" x14ac:dyDescent="0.25">
      <c r="A20" s="11">
        <f t="shared" si="0"/>
        <v>37239</v>
      </c>
      <c r="C20" s="18"/>
      <c r="D20" s="107"/>
      <c r="E20" s="18"/>
      <c r="F20" s="107"/>
      <c r="G20" s="18"/>
      <c r="H20" s="107"/>
      <c r="I20" s="18"/>
      <c r="J20" s="107"/>
      <c r="K20" s="19"/>
      <c r="L20" s="21">
        <v>19946</v>
      </c>
      <c r="M20" s="22"/>
      <c r="N20" s="23"/>
      <c r="O20" s="22"/>
      <c r="P20" s="105"/>
      <c r="Q20" s="24"/>
      <c r="R20" s="105"/>
      <c r="S20" s="101"/>
      <c r="T20" s="89"/>
      <c r="U20" s="22"/>
      <c r="V20" s="29"/>
      <c r="W20" s="22"/>
      <c r="X20" s="21"/>
    </row>
    <row r="21" spans="1:24" s="31" customFormat="1" x14ac:dyDescent="0.25">
      <c r="A21" s="30">
        <f t="shared" si="0"/>
        <v>37240</v>
      </c>
      <c r="C21" s="36"/>
      <c r="D21" s="37"/>
      <c r="E21" s="32"/>
      <c r="F21" s="37"/>
      <c r="G21" s="32"/>
      <c r="H21" s="37"/>
      <c r="I21" s="32"/>
      <c r="J21" s="37"/>
      <c r="K21" s="33"/>
      <c r="L21" s="38"/>
      <c r="M21" s="35"/>
      <c r="N21" s="40"/>
      <c r="O21" s="35"/>
      <c r="P21" s="106"/>
      <c r="Q21" s="41"/>
      <c r="R21" s="106"/>
      <c r="S21" s="100"/>
      <c r="T21" s="88"/>
      <c r="U21" s="35"/>
      <c r="V21" s="42"/>
      <c r="W21" s="35"/>
      <c r="X21" s="38"/>
    </row>
    <row r="22" spans="1:24" s="31" customFormat="1" x14ac:dyDescent="0.25">
      <c r="A22" s="30">
        <f t="shared" si="0"/>
        <v>37241</v>
      </c>
      <c r="C22" s="32"/>
      <c r="D22" s="37"/>
      <c r="E22" s="32"/>
      <c r="F22" s="37"/>
      <c r="G22" s="32"/>
      <c r="H22" s="37"/>
      <c r="I22" s="32"/>
      <c r="J22" s="37"/>
      <c r="K22" s="33"/>
      <c r="L22" s="38"/>
      <c r="M22" s="35"/>
      <c r="N22" s="40"/>
      <c r="O22" s="35"/>
      <c r="P22" s="106"/>
      <c r="Q22" s="41"/>
      <c r="R22" s="106"/>
      <c r="S22" s="100"/>
      <c r="T22" s="88"/>
      <c r="U22" s="35"/>
      <c r="V22" s="42"/>
      <c r="W22" s="35"/>
      <c r="X22" s="38"/>
    </row>
    <row r="23" spans="1:24" x14ac:dyDescent="0.25">
      <c r="A23" s="11">
        <f t="shared" si="0"/>
        <v>37242</v>
      </c>
      <c r="C23" s="26"/>
      <c r="D23" s="107"/>
      <c r="E23" s="26"/>
      <c r="F23" s="107"/>
      <c r="G23" s="18"/>
      <c r="H23" s="107"/>
      <c r="I23" s="26"/>
      <c r="J23" s="107"/>
      <c r="K23" s="19"/>
      <c r="L23" s="21"/>
      <c r="M23" s="22"/>
      <c r="N23" s="23"/>
      <c r="O23" s="22"/>
      <c r="P23" s="105"/>
      <c r="Q23" s="22"/>
      <c r="R23" s="105"/>
      <c r="S23" s="101"/>
      <c r="T23" s="89"/>
      <c r="U23" s="22"/>
      <c r="V23" s="29"/>
      <c r="W23" s="22"/>
      <c r="X23" s="21"/>
    </row>
    <row r="24" spans="1:24" x14ac:dyDescent="0.25">
      <c r="A24" s="11">
        <f t="shared" si="0"/>
        <v>37243</v>
      </c>
      <c r="C24" s="18"/>
      <c r="D24" s="107"/>
      <c r="E24" s="18"/>
      <c r="F24" s="107"/>
      <c r="G24" s="18"/>
      <c r="H24" s="107"/>
      <c r="I24" s="18"/>
      <c r="J24" s="107"/>
      <c r="K24" s="19"/>
      <c r="L24" s="21"/>
      <c r="M24" s="22"/>
      <c r="N24" s="23"/>
      <c r="O24" s="22"/>
      <c r="P24" s="105"/>
      <c r="Q24" s="24"/>
      <c r="R24" s="105"/>
      <c r="S24" s="101"/>
      <c r="T24" s="89"/>
      <c r="U24" s="22"/>
      <c r="V24" s="29"/>
      <c r="W24" s="22"/>
      <c r="X24" s="21"/>
    </row>
    <row r="25" spans="1:24" x14ac:dyDescent="0.25">
      <c r="A25" s="11">
        <f t="shared" si="0"/>
        <v>37244</v>
      </c>
      <c r="C25" s="18"/>
      <c r="D25" s="107"/>
      <c r="E25" s="18"/>
      <c r="F25" s="107"/>
      <c r="G25" s="18"/>
      <c r="H25" s="107"/>
      <c r="I25" s="26"/>
      <c r="J25" s="107"/>
      <c r="K25" s="19"/>
      <c r="L25" s="21"/>
      <c r="M25" s="22"/>
      <c r="N25" s="23"/>
      <c r="O25" s="22"/>
      <c r="P25" s="105"/>
      <c r="Q25" s="24"/>
      <c r="R25" s="110"/>
      <c r="S25" s="101"/>
      <c r="T25" s="90"/>
      <c r="U25" s="22"/>
      <c r="V25" s="29"/>
      <c r="W25" s="22"/>
      <c r="X25" s="21"/>
    </row>
    <row r="26" spans="1:24" x14ac:dyDescent="0.25">
      <c r="A26" s="11">
        <f t="shared" si="0"/>
        <v>37245</v>
      </c>
      <c r="C26" s="26"/>
      <c r="D26" s="107"/>
      <c r="E26" s="18"/>
      <c r="F26" s="107"/>
      <c r="G26" s="18"/>
      <c r="H26" s="107"/>
      <c r="I26" s="18"/>
      <c r="J26" s="107"/>
      <c r="K26" s="19"/>
      <c r="L26" s="21"/>
      <c r="M26" s="22"/>
      <c r="N26" s="23"/>
      <c r="O26" s="22"/>
      <c r="P26" s="105"/>
      <c r="Q26" s="24"/>
      <c r="R26" s="110"/>
      <c r="S26" s="101"/>
      <c r="T26" s="90"/>
      <c r="U26" s="22"/>
      <c r="V26" s="29"/>
      <c r="W26" s="22"/>
      <c r="X26" s="21"/>
    </row>
    <row r="27" spans="1:24" x14ac:dyDescent="0.25">
      <c r="A27" s="11">
        <f t="shared" si="0"/>
        <v>37246</v>
      </c>
      <c r="C27" s="18"/>
      <c r="D27" s="107"/>
      <c r="E27" s="18"/>
      <c r="F27" s="107"/>
      <c r="G27" s="18"/>
      <c r="H27" s="107"/>
      <c r="I27" s="18"/>
      <c r="J27" s="107"/>
      <c r="K27" s="19"/>
      <c r="L27" s="21"/>
      <c r="M27" s="22"/>
      <c r="N27" s="23"/>
      <c r="O27" s="22"/>
      <c r="P27" s="105"/>
      <c r="Q27" s="24"/>
      <c r="R27" s="110"/>
      <c r="S27" s="101"/>
      <c r="T27" s="90"/>
      <c r="U27" s="22"/>
      <c r="V27" s="29"/>
      <c r="W27" s="22"/>
      <c r="X27" s="21"/>
    </row>
    <row r="28" spans="1:24" s="31" customFormat="1" x14ac:dyDescent="0.25">
      <c r="A28" s="30">
        <f t="shared" si="0"/>
        <v>37247</v>
      </c>
      <c r="C28" s="32"/>
      <c r="D28" s="37"/>
      <c r="E28" s="36"/>
      <c r="F28" s="37"/>
      <c r="G28" s="32"/>
      <c r="H28" s="37"/>
      <c r="I28" s="32"/>
      <c r="J28" s="37"/>
      <c r="K28" s="33"/>
      <c r="L28" s="38"/>
      <c r="M28" s="35"/>
      <c r="N28" s="88"/>
      <c r="O28" s="35"/>
      <c r="P28" s="106"/>
      <c r="Q28" s="41"/>
      <c r="R28" s="106"/>
      <c r="S28" s="100"/>
      <c r="T28" s="88"/>
      <c r="U28" s="35"/>
      <c r="V28" s="42"/>
      <c r="W28" s="35"/>
      <c r="X28" s="38"/>
    </row>
    <row r="29" spans="1:24" s="31" customFormat="1" x14ac:dyDescent="0.25">
      <c r="A29" s="30">
        <f t="shared" si="0"/>
        <v>37248</v>
      </c>
      <c r="C29" s="36"/>
      <c r="D29" s="37"/>
      <c r="E29" s="32"/>
      <c r="F29" s="37"/>
      <c r="G29" s="32"/>
      <c r="H29" s="37"/>
      <c r="I29" s="36"/>
      <c r="J29" s="37"/>
      <c r="K29" s="33"/>
      <c r="L29" s="38"/>
      <c r="M29" s="35"/>
      <c r="N29" s="88"/>
      <c r="O29" s="35"/>
      <c r="P29" s="106"/>
      <c r="Q29" s="41"/>
      <c r="R29" s="106"/>
      <c r="S29" s="100"/>
      <c r="T29" s="88"/>
      <c r="U29" s="35"/>
      <c r="V29" s="42"/>
      <c r="W29" s="35"/>
      <c r="X29" s="38"/>
    </row>
    <row r="30" spans="1:24" x14ac:dyDescent="0.25">
      <c r="A30" s="11">
        <f t="shared" si="0"/>
        <v>37249</v>
      </c>
      <c r="C30" s="18"/>
      <c r="D30" s="107"/>
      <c r="E30" s="18"/>
      <c r="F30" s="107"/>
      <c r="G30" s="18"/>
      <c r="H30" s="107"/>
      <c r="I30" s="18"/>
      <c r="J30" s="107"/>
      <c r="K30" s="19"/>
      <c r="L30" s="21"/>
      <c r="M30" s="22"/>
      <c r="N30" s="89"/>
      <c r="O30" s="22"/>
      <c r="P30" s="105"/>
      <c r="Q30" s="24"/>
      <c r="R30" s="110"/>
      <c r="S30" s="101"/>
      <c r="T30" s="90"/>
      <c r="U30" s="22"/>
      <c r="V30" s="29"/>
      <c r="W30" s="22"/>
      <c r="X30" s="121"/>
    </row>
    <row r="31" spans="1:24" x14ac:dyDescent="0.25">
      <c r="A31" s="11">
        <f t="shared" si="0"/>
        <v>37250</v>
      </c>
      <c r="C31" s="18"/>
      <c r="D31" s="107"/>
      <c r="E31" s="18"/>
      <c r="F31" s="107"/>
      <c r="G31" s="18"/>
      <c r="H31" s="107"/>
      <c r="I31" s="26"/>
      <c r="J31" s="107"/>
      <c r="K31" s="19"/>
      <c r="L31" s="21"/>
      <c r="M31" s="22"/>
      <c r="N31" s="89"/>
      <c r="O31" s="22"/>
      <c r="P31" s="105"/>
      <c r="Q31" s="24"/>
      <c r="R31" s="105"/>
      <c r="S31" s="101"/>
      <c r="T31" s="89"/>
      <c r="U31" s="22"/>
      <c r="V31" s="29"/>
      <c r="W31" s="22"/>
      <c r="X31" s="21"/>
    </row>
    <row r="32" spans="1:24" x14ac:dyDescent="0.25">
      <c r="A32" s="11">
        <f t="shared" si="0"/>
        <v>37251</v>
      </c>
      <c r="C32" s="18"/>
      <c r="D32" s="107"/>
      <c r="E32" s="18"/>
      <c r="F32" s="107"/>
      <c r="G32" s="18"/>
      <c r="H32" s="107"/>
      <c r="I32" s="26"/>
      <c r="J32" s="25"/>
      <c r="K32" s="19"/>
      <c r="L32" s="21"/>
      <c r="M32" s="22"/>
      <c r="N32" s="89"/>
      <c r="O32" s="22"/>
      <c r="P32" s="105"/>
      <c r="Q32" s="24"/>
      <c r="R32" s="110"/>
      <c r="S32" s="101"/>
      <c r="T32" s="90"/>
      <c r="U32" s="22"/>
      <c r="V32" s="29"/>
      <c r="W32" s="22"/>
      <c r="X32" s="21"/>
    </row>
    <row r="33" spans="1:24" x14ac:dyDescent="0.25">
      <c r="A33" s="11">
        <f t="shared" si="0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21"/>
      <c r="M33" s="22"/>
      <c r="N33" s="89"/>
      <c r="O33" s="22"/>
      <c r="P33" s="105"/>
      <c r="Q33" s="22"/>
      <c r="R33" s="105"/>
      <c r="S33" s="101"/>
      <c r="T33" s="22"/>
      <c r="U33" s="22"/>
      <c r="V33" s="29"/>
      <c r="W33" s="22"/>
      <c r="X33" s="99"/>
    </row>
    <row r="34" spans="1:24" x14ac:dyDescent="0.25">
      <c r="A34" s="11">
        <f t="shared" si="0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21"/>
      <c r="M34" s="22"/>
      <c r="N34" s="89"/>
      <c r="O34" s="22"/>
      <c r="P34" s="105"/>
      <c r="Q34" s="22"/>
      <c r="R34" s="105"/>
      <c r="S34" s="101"/>
      <c r="T34" s="22"/>
      <c r="U34" s="22"/>
      <c r="V34" s="29"/>
      <c r="W34" s="22"/>
      <c r="X34" s="99"/>
    </row>
    <row r="35" spans="1:24" s="31" customFormat="1" x14ac:dyDescent="0.25">
      <c r="A35" s="30">
        <f t="shared" si="0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/>
      <c r="M35" s="35"/>
      <c r="N35" s="88"/>
      <c r="O35" s="35"/>
      <c r="P35" s="106"/>
      <c r="Q35" s="35"/>
      <c r="R35" s="106"/>
      <c r="S35" s="100"/>
      <c r="T35" s="35"/>
      <c r="U35" s="35"/>
      <c r="V35" s="42"/>
      <c r="W35" s="35"/>
      <c r="X35" s="100"/>
    </row>
    <row r="36" spans="1:24" s="31" customFormat="1" x14ac:dyDescent="0.25">
      <c r="A36" s="30">
        <f t="shared" si="0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/>
      <c r="M36" s="35"/>
      <c r="N36" s="88"/>
      <c r="O36" s="35"/>
      <c r="P36" s="106"/>
      <c r="Q36" s="35"/>
      <c r="R36" s="106"/>
      <c r="S36" s="100"/>
      <c r="T36" s="35"/>
      <c r="U36" s="35"/>
      <c r="V36" s="42"/>
      <c r="W36" s="35"/>
      <c r="X36" s="100"/>
    </row>
    <row r="37" spans="1:24" x14ac:dyDescent="0.25">
      <c r="A37" s="11">
        <f t="shared" si="0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21"/>
      <c r="M37" s="22"/>
      <c r="N37" s="89"/>
      <c r="O37" s="22"/>
      <c r="P37" s="105"/>
      <c r="Q37" s="22"/>
      <c r="R37" s="105"/>
      <c r="S37" s="101"/>
      <c r="T37" s="22"/>
      <c r="U37" s="22"/>
      <c r="V37" s="29"/>
      <c r="W37" s="22"/>
      <c r="X37" s="99"/>
    </row>
    <row r="38" spans="1:24" x14ac:dyDescent="0.25">
      <c r="A38" s="11">
        <f t="shared" si="0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9" t="s">
        <v>94</v>
      </c>
      <c r="W38" s="22"/>
      <c r="X38" s="22"/>
    </row>
    <row r="39" spans="1:24" x14ac:dyDescent="0.25">
      <c r="A39" s="11">
        <f t="shared" si="0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21"/>
      <c r="M39" s="49"/>
      <c r="N39" s="49"/>
      <c r="O39" s="49"/>
      <c r="P39" s="49"/>
      <c r="Q39" s="49"/>
      <c r="R39" s="49"/>
      <c r="S39" s="49"/>
      <c r="T39" s="22"/>
      <c r="U39" s="22"/>
      <c r="V39" s="29" t="s">
        <v>95</v>
      </c>
      <c r="W39" s="22"/>
      <c r="X39" s="22"/>
    </row>
    <row r="40" spans="1:24" x14ac:dyDescent="0.25">
      <c r="A40" s="11">
        <f t="shared" si="0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21"/>
      <c r="M40" s="49"/>
      <c r="N40" s="49"/>
      <c r="O40" s="49"/>
      <c r="P40" s="49"/>
      <c r="Q40" s="49"/>
      <c r="R40" s="49"/>
      <c r="S40" s="49"/>
      <c r="T40" s="22"/>
      <c r="U40" s="22"/>
      <c r="V40" s="29" t="s">
        <v>96</v>
      </c>
      <c r="W40" s="22"/>
      <c r="X40" s="22"/>
    </row>
    <row r="41" spans="1:24" x14ac:dyDescent="0.25">
      <c r="A41" s="11">
        <f t="shared" si="0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21"/>
      <c r="M41" s="49"/>
      <c r="N41" s="49"/>
      <c r="O41" s="49"/>
      <c r="P41" s="49"/>
      <c r="Q41" s="95"/>
      <c r="R41" s="95"/>
      <c r="S41" s="95"/>
      <c r="T41" s="22"/>
      <c r="U41" s="22"/>
      <c r="V41" s="29" t="s">
        <v>97</v>
      </c>
      <c r="W41" s="22"/>
      <c r="X41" s="22"/>
    </row>
    <row r="42" spans="1:24" ht="13.8" thickBot="1" x14ac:dyDescent="0.3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5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/>
      <c r="M43" s="60"/>
      <c r="N43" s="62"/>
      <c r="O43" s="60"/>
      <c r="P43" s="61"/>
      <c r="Q43" s="61"/>
      <c r="R43" s="61"/>
      <c r="S43" s="61"/>
      <c r="T43" s="22"/>
      <c r="U43" s="22"/>
      <c r="V43" s="22"/>
      <c r="W43" s="22"/>
      <c r="X43" s="22"/>
    </row>
    <row r="44" spans="1:24" x14ac:dyDescent="0.25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/>
      <c r="M44" s="50"/>
      <c r="N44" s="53"/>
      <c r="O44" s="50"/>
      <c r="P44" s="51"/>
      <c r="Q44" s="51"/>
      <c r="R44" s="51"/>
      <c r="S44" s="51"/>
      <c r="T44" s="22"/>
      <c r="U44" s="22"/>
      <c r="V44" s="22"/>
      <c r="W44" s="22"/>
      <c r="X44" s="22"/>
    </row>
    <row r="45" spans="1:24" x14ac:dyDescent="0.25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/>
      <c r="M45" s="50"/>
      <c r="N45" s="53"/>
      <c r="O45" s="50"/>
      <c r="P45" s="51"/>
      <c r="Q45" s="50"/>
      <c r="R45" s="51"/>
      <c r="S45" s="109"/>
      <c r="T45" s="22"/>
      <c r="U45" s="22"/>
      <c r="V45" s="22"/>
      <c r="W45" s="22"/>
      <c r="X45" s="22"/>
    </row>
    <row r="46" spans="1:24" x14ac:dyDescent="0.25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/>
      <c r="M46" s="51"/>
      <c r="N46" s="53"/>
      <c r="O46" s="53"/>
      <c r="P46" s="51"/>
      <c r="Q46" s="53"/>
      <c r="R46" s="51"/>
      <c r="S46" s="51"/>
      <c r="T46" s="22"/>
      <c r="U46" s="22"/>
      <c r="V46" s="22"/>
      <c r="W46" s="22"/>
      <c r="X46" s="22"/>
    </row>
    <row r="47" spans="1:24" ht="13.8" thickBot="1" x14ac:dyDescent="0.3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1"/>
      <c r="L47" s="84"/>
      <c r="M47" s="81"/>
      <c r="N47" s="85"/>
      <c r="O47" s="81"/>
      <c r="P47" s="84"/>
      <c r="Q47" s="81"/>
      <c r="R47" s="84"/>
      <c r="S47" s="102"/>
      <c r="T47" s="22"/>
      <c r="U47" s="22"/>
      <c r="V47" s="22"/>
      <c r="W47" s="22"/>
      <c r="X47" s="22"/>
    </row>
    <row r="48" spans="1:24" ht="13.8" thickBot="1" x14ac:dyDescent="0.3">
      <c r="A48" s="71" t="s">
        <v>34</v>
      </c>
      <c r="B48" s="72"/>
      <c r="C48" s="73" t="e">
        <f t="shared" ref="C48:J48" si="1">AVERAGE(C43:C46)</f>
        <v>#DIV/0!</v>
      </c>
      <c r="D48" s="73" t="e">
        <f t="shared" si="1"/>
        <v>#DIV/0!</v>
      </c>
      <c r="E48" s="73" t="e">
        <f t="shared" si="1"/>
        <v>#DIV/0!</v>
      </c>
      <c r="F48" s="73" t="e">
        <f t="shared" si="1"/>
        <v>#DIV/0!</v>
      </c>
      <c r="G48" s="73" t="e">
        <f t="shared" si="1"/>
        <v>#DIV/0!</v>
      </c>
      <c r="H48" s="73" t="e">
        <f t="shared" si="1"/>
        <v>#DIV/0!</v>
      </c>
      <c r="I48" s="73" t="e">
        <f t="shared" si="1"/>
        <v>#DIV/0!</v>
      </c>
      <c r="J48" s="73" t="e">
        <f t="shared" si="1"/>
        <v>#DIV/0!</v>
      </c>
      <c r="K48" s="74"/>
      <c r="L48" s="75">
        <f>AVERAGE(L9:L39)</f>
        <v>19401.166666666668</v>
      </c>
      <c r="M48" s="76"/>
      <c r="N48" s="77">
        <f>AVERAGE(N9:N39)</f>
        <v>0.52400000000000002</v>
      </c>
      <c r="O48" s="76"/>
      <c r="P48" s="75">
        <f>AVERAGE(P9:P39)</f>
        <v>1382.0729166666667</v>
      </c>
      <c r="Q48" s="94"/>
      <c r="R48" s="75">
        <f>AVERAGE(R9:R39)</f>
        <v>30065.541666666668</v>
      </c>
      <c r="S48" s="94">
        <f>AVERAGE(S9:S39)</f>
        <v>59.22916666666697</v>
      </c>
      <c r="T48" s="22"/>
      <c r="U48" s="22"/>
      <c r="V48" s="22"/>
      <c r="W48" s="22"/>
      <c r="X48" s="22"/>
    </row>
    <row r="49" spans="1:19" ht="13.8" thickBot="1" x14ac:dyDescent="0.3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47"/>
  <sheetViews>
    <sheetView topLeftCell="A13" workbookViewId="0">
      <selection activeCell="P40" sqref="P40"/>
    </sheetView>
  </sheetViews>
  <sheetFormatPr defaultRowHeight="13.2" x14ac:dyDescent="0.25"/>
  <cols>
    <col min="1" max="1" width="14.44140625" customWidth="1"/>
    <col min="2" max="2" width="2.33203125" customWidth="1"/>
    <col min="3" max="3" width="9.109375" style="8" customWidth="1"/>
    <col min="4" max="4" width="6.33203125" style="13" customWidth="1"/>
    <col min="5" max="5" width="9.109375" style="8" customWidth="1"/>
    <col min="6" max="6" width="5.88671875" style="13" customWidth="1"/>
    <col min="7" max="7" width="9.5546875" style="8" customWidth="1"/>
    <col min="8" max="8" width="6.6640625" style="13" customWidth="1"/>
    <col min="9" max="9" width="8.33203125" style="8" customWidth="1"/>
    <col min="10" max="10" width="6.6640625" style="15" customWidth="1"/>
    <col min="11" max="11" width="2.109375" style="13" customWidth="1"/>
    <col min="12" max="12" width="10.109375" customWidth="1"/>
    <col min="13" max="13" width="1.6640625" customWidth="1"/>
    <col min="14" max="14" width="9.6640625" customWidth="1"/>
    <col min="15" max="15" width="1.6640625" customWidth="1"/>
    <col min="16" max="16" width="9.5546875" customWidth="1"/>
    <col min="17" max="17" width="1.6640625" customWidth="1"/>
    <col min="18" max="18" width="8.88671875" customWidth="1"/>
    <col min="19" max="19" width="1.6640625" customWidth="1"/>
    <col min="20" max="20" width="9.88671875" customWidth="1"/>
    <col min="21" max="21" width="1.5546875" customWidth="1"/>
    <col min="22" max="22" width="9" customWidth="1"/>
    <col min="23" max="23" width="1.88671875" customWidth="1"/>
    <col min="24" max="24" width="9.33203125" customWidth="1"/>
    <col min="25" max="25" width="1.5546875" customWidth="1"/>
  </cols>
  <sheetData>
    <row r="2" spans="1:25" x14ac:dyDescent="0.25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5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5" s="12" customFormat="1" ht="13.8" thickBot="1" x14ac:dyDescent="0.3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</row>
    <row r="6" spans="1:25" ht="6" customHeight="1" x14ac:dyDescent="0.25"/>
    <row r="7" spans="1:25" s="31" customFormat="1" x14ac:dyDescent="0.25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1">
        <f>L7/C7</f>
        <v>630.44895003620559</v>
      </c>
      <c r="O7" s="35"/>
      <c r="P7" s="35"/>
      <c r="Q7" s="35"/>
      <c r="R7" s="41">
        <f>L7/E7</f>
        <v>563.89248704663214</v>
      </c>
      <c r="S7" s="35"/>
      <c r="T7" s="35"/>
      <c r="U7" s="35"/>
      <c r="V7" s="41">
        <f>L7/G7</f>
        <v>557.3943661971831</v>
      </c>
      <c r="W7" s="35"/>
      <c r="X7" s="35"/>
      <c r="Y7" s="35"/>
    </row>
    <row r="8" spans="1:25" s="31" customFormat="1" ht="12.75" customHeight="1" x14ac:dyDescent="0.25">
      <c r="A8" s="45">
        <v>37164</v>
      </c>
      <c r="C8" s="32">
        <v>24.57</v>
      </c>
      <c r="D8" s="37">
        <f t="shared" ref="D8:D39" si="0">C8-C7</f>
        <v>-3.0500000000000007</v>
      </c>
      <c r="E8" s="32">
        <v>29.41</v>
      </c>
      <c r="F8" s="37">
        <f t="shared" ref="F8:F32" si="1">E8-E7</f>
        <v>-1.4699999999999989</v>
      </c>
      <c r="G8" s="32">
        <v>29.31</v>
      </c>
      <c r="H8" s="37">
        <f t="shared" ref="H8:H32" si="2">G8-G7</f>
        <v>-1.9299999999999997</v>
      </c>
      <c r="I8" s="36">
        <v>18.52</v>
      </c>
      <c r="J8" s="37">
        <f t="shared" ref="J8:J32" si="3">I8-I7</f>
        <v>-1.9100000000000001</v>
      </c>
      <c r="K8" s="37"/>
      <c r="L8" s="38">
        <v>17160</v>
      </c>
      <c r="M8" s="35"/>
      <c r="N8" s="41">
        <f t="shared" ref="N8:N39" si="4">L8/C8</f>
        <v>698.41269841269843</v>
      </c>
      <c r="O8" s="35"/>
      <c r="P8" s="35"/>
      <c r="Q8" s="35"/>
      <c r="R8" s="41">
        <f t="shared" ref="R8:R39" si="5">L8/E8</f>
        <v>583.47500850051006</v>
      </c>
      <c r="S8" s="35"/>
      <c r="T8" s="35"/>
      <c r="U8" s="35"/>
      <c r="V8" s="41">
        <f t="shared" ref="V8:V39" si="6">L8/G8</f>
        <v>585.46571136131013</v>
      </c>
      <c r="W8" s="35"/>
      <c r="X8" s="35"/>
      <c r="Y8" s="35"/>
    </row>
    <row r="9" spans="1:25" x14ac:dyDescent="0.25">
      <c r="A9" s="44">
        <v>37165</v>
      </c>
      <c r="B9" s="11"/>
      <c r="C9" s="26">
        <v>26</v>
      </c>
      <c r="D9" s="25">
        <f t="shared" si="0"/>
        <v>1.4299999999999997</v>
      </c>
      <c r="E9" s="26">
        <v>30.45</v>
      </c>
      <c r="F9" s="25">
        <f t="shared" si="1"/>
        <v>1.0399999999999991</v>
      </c>
      <c r="G9" s="26">
        <v>31.09</v>
      </c>
      <c r="H9" s="25">
        <f t="shared" si="2"/>
        <v>1.7800000000000011</v>
      </c>
      <c r="I9" s="26">
        <v>24.89</v>
      </c>
      <c r="J9" s="25">
        <f t="shared" si="3"/>
        <v>6.370000000000001</v>
      </c>
      <c r="K9" s="25"/>
      <c r="L9" s="21">
        <v>19598</v>
      </c>
      <c r="M9" s="27"/>
      <c r="N9" s="91">
        <f t="shared" si="4"/>
        <v>753.76923076923072</v>
      </c>
      <c r="O9" s="22"/>
      <c r="P9" s="22"/>
      <c r="Q9" s="22"/>
      <c r="R9" s="91">
        <f t="shared" si="5"/>
        <v>643.61247947454842</v>
      </c>
      <c r="S9" s="22"/>
      <c r="T9" s="22"/>
      <c r="U9" s="22"/>
      <c r="V9" s="91">
        <f t="shared" si="6"/>
        <v>630.36346091990993</v>
      </c>
      <c r="W9" s="22"/>
      <c r="X9" s="22"/>
      <c r="Y9" s="22"/>
    </row>
    <row r="10" spans="1:25" x14ac:dyDescent="0.25">
      <c r="A10" s="11">
        <f t="shared" ref="A10:A39" si="7">A9+1</f>
        <v>37166</v>
      </c>
      <c r="B10" s="11"/>
      <c r="C10" s="26">
        <v>26.29</v>
      </c>
      <c r="D10" s="25">
        <f t="shared" si="0"/>
        <v>0.28999999999999915</v>
      </c>
      <c r="E10" s="26">
        <v>30.64</v>
      </c>
      <c r="F10" s="25">
        <f t="shared" si="1"/>
        <v>0.19000000000000128</v>
      </c>
      <c r="G10" s="26">
        <v>32.83</v>
      </c>
      <c r="H10" s="25">
        <f t="shared" si="2"/>
        <v>1.7399999999999984</v>
      </c>
      <c r="I10" s="26">
        <v>24.77</v>
      </c>
      <c r="J10" s="25">
        <f t="shared" si="3"/>
        <v>-0.12000000000000099</v>
      </c>
      <c r="K10" s="25"/>
      <c r="L10" s="21">
        <v>20010</v>
      </c>
      <c r="M10" s="27"/>
      <c r="N10" s="91">
        <f t="shared" si="4"/>
        <v>761.12590338531766</v>
      </c>
      <c r="O10" s="22"/>
      <c r="P10" s="22"/>
      <c r="Q10" s="22"/>
      <c r="R10" s="91">
        <f t="shared" si="5"/>
        <v>653.06788511749346</v>
      </c>
      <c r="S10" s="22"/>
      <c r="T10" s="22"/>
      <c r="U10" s="22"/>
      <c r="V10" s="91">
        <f t="shared" si="6"/>
        <v>609.50350289369487</v>
      </c>
      <c r="W10" s="22"/>
      <c r="X10" s="22"/>
      <c r="Y10" s="22"/>
    </row>
    <row r="11" spans="1:25" x14ac:dyDescent="0.25">
      <c r="A11" s="11">
        <f t="shared" si="7"/>
        <v>37167</v>
      </c>
      <c r="B11" s="11"/>
      <c r="C11" s="26">
        <v>26.85</v>
      </c>
      <c r="D11" s="25">
        <f t="shared" si="0"/>
        <v>0.56000000000000227</v>
      </c>
      <c r="E11" s="26">
        <v>28.76</v>
      </c>
      <c r="F11" s="25">
        <f t="shared" si="1"/>
        <v>-1.879999999999999</v>
      </c>
      <c r="G11" s="26">
        <v>30.24</v>
      </c>
      <c r="H11" s="25">
        <f t="shared" si="2"/>
        <v>-2.59</v>
      </c>
      <c r="I11" s="26">
        <v>29.84</v>
      </c>
      <c r="J11" s="25">
        <f t="shared" si="3"/>
        <v>5.07</v>
      </c>
      <c r="K11" s="25"/>
      <c r="L11" s="21">
        <v>20719</v>
      </c>
      <c r="M11" s="27"/>
      <c r="N11" s="91">
        <f t="shared" si="4"/>
        <v>771.65735567970205</v>
      </c>
      <c r="O11" s="22"/>
      <c r="P11" s="22"/>
      <c r="Q11" s="22"/>
      <c r="R11" s="91">
        <f t="shared" si="5"/>
        <v>720.41029207232259</v>
      </c>
      <c r="S11" s="22"/>
      <c r="T11" s="22"/>
      <c r="U11" s="22"/>
      <c r="V11" s="91">
        <f t="shared" si="6"/>
        <v>685.15211640211646</v>
      </c>
      <c r="W11" s="22"/>
      <c r="X11" s="22"/>
      <c r="Y11" s="22"/>
    </row>
    <row r="12" spans="1:25" x14ac:dyDescent="0.25">
      <c r="A12" s="11">
        <f t="shared" si="7"/>
        <v>37168</v>
      </c>
      <c r="B12" s="11"/>
      <c r="C12" s="26">
        <v>27.33</v>
      </c>
      <c r="D12" s="25">
        <f t="shared" si="0"/>
        <v>0.47999999999999687</v>
      </c>
      <c r="E12" s="26">
        <v>31.66</v>
      </c>
      <c r="F12" s="25">
        <f t="shared" si="1"/>
        <v>2.8999999999999986</v>
      </c>
      <c r="G12" s="26">
        <v>33.67</v>
      </c>
      <c r="H12" s="25">
        <f t="shared" si="2"/>
        <v>3.4300000000000033</v>
      </c>
      <c r="I12" s="26">
        <v>29.87</v>
      </c>
      <c r="J12" s="25">
        <f t="shared" si="3"/>
        <v>3.0000000000001137E-2</v>
      </c>
      <c r="K12" s="25"/>
      <c r="L12" s="21">
        <v>21426</v>
      </c>
      <c r="M12" s="27"/>
      <c r="N12" s="91">
        <f t="shared" si="4"/>
        <v>783.97365532382003</v>
      </c>
      <c r="O12" s="22"/>
      <c r="P12" s="22"/>
      <c r="Q12" s="22"/>
      <c r="R12" s="91">
        <f t="shared" si="5"/>
        <v>676.75300063171198</v>
      </c>
      <c r="S12" s="22"/>
      <c r="T12" s="22"/>
      <c r="U12" s="22"/>
      <c r="V12" s="91">
        <f t="shared" si="6"/>
        <v>636.35283635283633</v>
      </c>
      <c r="W12" s="22"/>
      <c r="X12" s="22"/>
      <c r="Y12" s="22"/>
    </row>
    <row r="13" spans="1:25" x14ac:dyDescent="0.25">
      <c r="A13" s="11">
        <f t="shared" si="7"/>
        <v>37169</v>
      </c>
      <c r="B13" s="11"/>
      <c r="C13" s="26">
        <v>26.83</v>
      </c>
      <c r="D13" s="25">
        <f t="shared" si="0"/>
        <v>-0.5</v>
      </c>
      <c r="E13" s="26">
        <v>30.86</v>
      </c>
      <c r="F13" s="25">
        <f t="shared" si="1"/>
        <v>-0.80000000000000071</v>
      </c>
      <c r="G13" s="26">
        <v>32.61</v>
      </c>
      <c r="H13" s="25">
        <f t="shared" si="2"/>
        <v>-1.0600000000000023</v>
      </c>
      <c r="I13" s="26">
        <v>28.61</v>
      </c>
      <c r="J13" s="25">
        <f t="shared" si="3"/>
        <v>-1.2600000000000016</v>
      </c>
      <c r="K13" s="25"/>
      <c r="L13" s="21">
        <v>20585</v>
      </c>
      <c r="M13" s="27"/>
      <c r="N13" s="91">
        <f t="shared" si="4"/>
        <v>767.23816623183006</v>
      </c>
      <c r="O13" s="22"/>
      <c r="P13" s="22"/>
      <c r="Q13" s="22"/>
      <c r="R13" s="91">
        <f t="shared" si="5"/>
        <v>667.04471808165908</v>
      </c>
      <c r="S13" s="22"/>
      <c r="T13" s="22"/>
      <c r="U13" s="22"/>
      <c r="V13" s="91">
        <f t="shared" si="6"/>
        <v>631.24808340999698</v>
      </c>
      <c r="W13" s="22"/>
      <c r="X13" s="22"/>
      <c r="Y13" s="22"/>
    </row>
    <row r="14" spans="1:25" s="31" customFormat="1" x14ac:dyDescent="0.25">
      <c r="A14" s="30">
        <f t="shared" si="7"/>
        <v>37170</v>
      </c>
      <c r="B14" s="30"/>
      <c r="C14" s="36">
        <v>29.34</v>
      </c>
      <c r="D14" s="37">
        <f t="shared" si="0"/>
        <v>2.5100000000000016</v>
      </c>
      <c r="E14" s="36">
        <v>33.24</v>
      </c>
      <c r="F14" s="37">
        <f t="shared" si="1"/>
        <v>2.3800000000000026</v>
      </c>
      <c r="G14" s="36">
        <v>33.42</v>
      </c>
      <c r="H14" s="37">
        <f t="shared" si="2"/>
        <v>0.81000000000000227</v>
      </c>
      <c r="I14" s="36">
        <v>24.44</v>
      </c>
      <c r="J14" s="37">
        <f t="shared" si="3"/>
        <v>-4.1699999999999982</v>
      </c>
      <c r="K14" s="37"/>
      <c r="L14" s="38">
        <v>17836</v>
      </c>
      <c r="M14" s="39"/>
      <c r="N14" s="41">
        <f t="shared" si="4"/>
        <v>607.90729379686434</v>
      </c>
      <c r="O14" s="35"/>
      <c r="P14" s="35"/>
      <c r="Q14" s="35"/>
      <c r="R14" s="41">
        <f t="shared" si="5"/>
        <v>536.58243080625743</v>
      </c>
      <c r="S14" s="35"/>
      <c r="T14" s="35"/>
      <c r="U14" s="35"/>
      <c r="V14" s="41">
        <f t="shared" si="6"/>
        <v>533.69239976062238</v>
      </c>
      <c r="W14" s="35"/>
      <c r="X14" s="35"/>
      <c r="Y14" s="35"/>
    </row>
    <row r="15" spans="1:25" s="31" customFormat="1" x14ac:dyDescent="0.25">
      <c r="A15" s="30">
        <f t="shared" si="7"/>
        <v>37171</v>
      </c>
      <c r="B15" s="30"/>
      <c r="C15" s="36">
        <v>27.98</v>
      </c>
      <c r="D15" s="37">
        <f t="shared" si="0"/>
        <v>-1.3599999999999994</v>
      </c>
      <c r="E15" s="36">
        <v>30.65</v>
      </c>
      <c r="F15" s="37">
        <f t="shared" si="1"/>
        <v>-2.5900000000000034</v>
      </c>
      <c r="G15" s="36">
        <v>30.7</v>
      </c>
      <c r="H15" s="37">
        <f t="shared" si="2"/>
        <v>-2.7200000000000024</v>
      </c>
      <c r="I15" s="36">
        <v>23.9</v>
      </c>
      <c r="J15" s="37">
        <f t="shared" si="3"/>
        <v>-0.5400000000000027</v>
      </c>
      <c r="K15" s="37"/>
      <c r="L15" s="38">
        <v>17454</v>
      </c>
      <c r="M15" s="39"/>
      <c r="N15" s="41">
        <f t="shared" si="4"/>
        <v>623.80271622587566</v>
      </c>
      <c r="O15" s="35"/>
      <c r="P15" s="35"/>
      <c r="Q15" s="35"/>
      <c r="R15" s="41">
        <f t="shared" si="5"/>
        <v>569.46166394779777</v>
      </c>
      <c r="S15" s="35"/>
      <c r="T15" s="35"/>
      <c r="U15" s="35"/>
      <c r="V15" s="41">
        <f t="shared" si="6"/>
        <v>568.53420195439742</v>
      </c>
      <c r="W15" s="35"/>
      <c r="X15" s="35"/>
      <c r="Y15" s="35"/>
    </row>
    <row r="16" spans="1:25" x14ac:dyDescent="0.25">
      <c r="A16" s="11">
        <f t="shared" si="7"/>
        <v>37172</v>
      </c>
      <c r="B16" s="11"/>
      <c r="C16" s="26">
        <v>29.94</v>
      </c>
      <c r="D16" s="25">
        <f t="shared" si="0"/>
        <v>1.9600000000000009</v>
      </c>
      <c r="E16" s="26">
        <v>34.03</v>
      </c>
      <c r="F16" s="25">
        <f t="shared" si="1"/>
        <v>3.3800000000000026</v>
      </c>
      <c r="G16" s="26">
        <v>34.159999999999997</v>
      </c>
      <c r="H16" s="25">
        <f t="shared" si="2"/>
        <v>3.4599999999999973</v>
      </c>
      <c r="I16" s="26">
        <v>27.97</v>
      </c>
      <c r="J16" s="25">
        <f t="shared" si="3"/>
        <v>4.07</v>
      </c>
      <c r="K16" s="25"/>
      <c r="L16" s="21">
        <v>19350</v>
      </c>
      <c r="M16" s="27"/>
      <c r="N16" s="91">
        <f t="shared" si="4"/>
        <v>646.29258517034066</v>
      </c>
      <c r="O16" s="22"/>
      <c r="P16" s="22"/>
      <c r="Q16" s="22"/>
      <c r="R16" s="91">
        <f t="shared" si="5"/>
        <v>568.61592712312665</v>
      </c>
      <c r="S16" s="22"/>
      <c r="T16" s="22"/>
      <c r="U16" s="22"/>
      <c r="V16" s="91">
        <f t="shared" si="6"/>
        <v>566.4519906323186</v>
      </c>
      <c r="W16" s="22"/>
      <c r="X16" s="22"/>
      <c r="Y16" s="22"/>
    </row>
    <row r="17" spans="1:25" x14ac:dyDescent="0.25">
      <c r="A17" s="11">
        <f t="shared" si="7"/>
        <v>37173</v>
      </c>
      <c r="C17" s="26">
        <v>29.38</v>
      </c>
      <c r="D17" s="25">
        <f t="shared" si="0"/>
        <v>-0.56000000000000227</v>
      </c>
      <c r="E17" s="26">
        <v>33.869999999999997</v>
      </c>
      <c r="F17" s="25">
        <f t="shared" si="1"/>
        <v>-0.16000000000000369</v>
      </c>
      <c r="G17" s="26">
        <v>34.11</v>
      </c>
      <c r="H17" s="25">
        <f t="shared" si="2"/>
        <v>-4.9999999999997158E-2</v>
      </c>
      <c r="I17" s="26">
        <v>23.75</v>
      </c>
      <c r="J17" s="25">
        <f t="shared" si="3"/>
        <v>-4.2199999999999989</v>
      </c>
      <c r="K17" s="25"/>
      <c r="L17" s="21">
        <v>19381</v>
      </c>
      <c r="M17" s="22"/>
      <c r="N17" s="91">
        <f t="shared" si="4"/>
        <v>659.66643975493537</v>
      </c>
      <c r="O17" s="22"/>
      <c r="P17" s="22"/>
      <c r="Q17" s="22"/>
      <c r="R17" s="91">
        <f t="shared" si="5"/>
        <v>572.21730144670801</v>
      </c>
      <c r="S17" s="22"/>
      <c r="T17" s="22"/>
      <c r="U17" s="22"/>
      <c r="V17" s="91">
        <f t="shared" si="6"/>
        <v>568.19114629141018</v>
      </c>
      <c r="W17" s="22"/>
      <c r="X17" s="22"/>
      <c r="Y17" s="22"/>
    </row>
    <row r="18" spans="1:25" x14ac:dyDescent="0.25">
      <c r="A18" s="11">
        <f t="shared" si="7"/>
        <v>37174</v>
      </c>
      <c r="C18" s="18">
        <v>26.97</v>
      </c>
      <c r="D18" s="25">
        <f t="shared" si="0"/>
        <v>-2.41</v>
      </c>
      <c r="E18" s="18">
        <v>31.43</v>
      </c>
      <c r="F18" s="25">
        <f t="shared" si="1"/>
        <v>-2.4399999999999977</v>
      </c>
      <c r="G18" s="18">
        <v>31.65</v>
      </c>
      <c r="H18" s="25">
        <f t="shared" si="2"/>
        <v>-2.4600000000000009</v>
      </c>
      <c r="I18" s="26">
        <v>21.79</v>
      </c>
      <c r="J18" s="25">
        <f t="shared" si="3"/>
        <v>-1.9600000000000009</v>
      </c>
      <c r="K18" s="25"/>
      <c r="L18" s="21">
        <v>19577</v>
      </c>
      <c r="M18" s="22"/>
      <c r="N18" s="91">
        <f t="shared" si="4"/>
        <v>725.88060808305522</v>
      </c>
      <c r="O18" s="22"/>
      <c r="P18" s="22"/>
      <c r="Q18" s="22"/>
      <c r="R18" s="91">
        <f t="shared" si="5"/>
        <v>622.87623289850467</v>
      </c>
      <c r="S18" s="22"/>
      <c r="T18" s="22"/>
      <c r="U18" s="22"/>
      <c r="V18" s="91">
        <f t="shared" si="6"/>
        <v>618.54660347551351</v>
      </c>
      <c r="W18" s="22"/>
      <c r="X18" s="22"/>
      <c r="Y18" s="22"/>
    </row>
    <row r="19" spans="1:25" x14ac:dyDescent="0.25">
      <c r="A19" s="11">
        <f t="shared" si="7"/>
        <v>37175</v>
      </c>
      <c r="C19" s="18">
        <v>29.21</v>
      </c>
      <c r="D19" s="25">
        <f t="shared" si="0"/>
        <v>2.240000000000002</v>
      </c>
      <c r="E19" s="18">
        <v>33.35</v>
      </c>
      <c r="F19" s="25">
        <f t="shared" si="1"/>
        <v>1.9200000000000017</v>
      </c>
      <c r="G19" s="18">
        <v>33.75</v>
      </c>
      <c r="H19" s="25">
        <f t="shared" si="2"/>
        <v>2.1000000000000014</v>
      </c>
      <c r="I19" s="26">
        <v>22.62</v>
      </c>
      <c r="J19" s="25">
        <f t="shared" si="3"/>
        <v>0.83000000000000185</v>
      </c>
      <c r="K19" s="19"/>
      <c r="L19" s="21">
        <v>20179</v>
      </c>
      <c r="M19" s="22"/>
      <c r="N19" s="91">
        <f t="shared" si="4"/>
        <v>690.82505991098935</v>
      </c>
      <c r="O19" s="22"/>
      <c r="P19" s="22"/>
      <c r="Q19" s="22"/>
      <c r="R19" s="91">
        <f t="shared" si="5"/>
        <v>605.06746626686652</v>
      </c>
      <c r="S19" s="22"/>
      <c r="T19" s="22"/>
      <c r="U19" s="22"/>
      <c r="V19" s="91">
        <f t="shared" si="6"/>
        <v>597.89629629629633</v>
      </c>
      <c r="W19" s="22"/>
      <c r="X19" s="22"/>
      <c r="Y19" s="22"/>
    </row>
    <row r="20" spans="1:25" x14ac:dyDescent="0.25">
      <c r="A20" s="11">
        <f t="shared" si="7"/>
        <v>37176</v>
      </c>
      <c r="C20" s="18">
        <v>26.14</v>
      </c>
      <c r="D20" s="25">
        <f t="shared" si="0"/>
        <v>-3.0700000000000003</v>
      </c>
      <c r="E20" s="18">
        <v>31.11</v>
      </c>
      <c r="F20" s="25">
        <f t="shared" si="1"/>
        <v>-2.240000000000002</v>
      </c>
      <c r="G20" s="18">
        <v>32.53</v>
      </c>
      <c r="H20" s="25">
        <f t="shared" si="2"/>
        <v>-1.2199999999999989</v>
      </c>
      <c r="I20" s="18">
        <v>27.41</v>
      </c>
      <c r="J20" s="25">
        <f t="shared" si="3"/>
        <v>4.7899999999999991</v>
      </c>
      <c r="K20" s="19"/>
      <c r="L20" s="21">
        <v>20201</v>
      </c>
      <c r="M20" s="22"/>
      <c r="N20" s="91">
        <f t="shared" si="4"/>
        <v>772.80030604437638</v>
      </c>
      <c r="O20" s="22"/>
      <c r="P20" s="22"/>
      <c r="Q20" s="22"/>
      <c r="R20" s="91">
        <f t="shared" si="5"/>
        <v>649.34104789456762</v>
      </c>
      <c r="S20" s="22"/>
      <c r="T20" s="22"/>
      <c r="U20" s="22"/>
      <c r="V20" s="91">
        <f t="shared" si="6"/>
        <v>620.99600368890253</v>
      </c>
      <c r="W20" s="22"/>
      <c r="X20" s="22"/>
      <c r="Y20" s="22"/>
    </row>
    <row r="21" spans="1:25" s="31" customFormat="1" x14ac:dyDescent="0.25">
      <c r="A21" s="30">
        <f t="shared" si="7"/>
        <v>37177</v>
      </c>
      <c r="C21" s="32">
        <v>25.31</v>
      </c>
      <c r="D21" s="37">
        <f t="shared" si="0"/>
        <v>-0.83000000000000185</v>
      </c>
      <c r="E21" s="32">
        <v>29.79</v>
      </c>
      <c r="F21" s="37">
        <f t="shared" si="1"/>
        <v>-1.3200000000000003</v>
      </c>
      <c r="G21" s="32">
        <v>30.13</v>
      </c>
      <c r="H21" s="37">
        <f t="shared" si="2"/>
        <v>-2.4000000000000021</v>
      </c>
      <c r="I21" s="32">
        <v>27.05</v>
      </c>
      <c r="J21" s="37">
        <f t="shared" si="3"/>
        <v>-0.35999999999999943</v>
      </c>
      <c r="K21" s="33"/>
      <c r="L21" s="38">
        <v>18232</v>
      </c>
      <c r="M21" s="35"/>
      <c r="N21" s="41">
        <f t="shared" si="4"/>
        <v>720.34768866060847</v>
      </c>
      <c r="O21" s="35"/>
      <c r="P21" s="35"/>
      <c r="Q21" s="35"/>
      <c r="R21" s="41">
        <f t="shared" si="5"/>
        <v>612.01745552198724</v>
      </c>
      <c r="S21" s="35"/>
      <c r="T21" s="35"/>
      <c r="U21" s="35"/>
      <c r="V21" s="41">
        <f t="shared" si="6"/>
        <v>605.11118486558246</v>
      </c>
      <c r="W21" s="35"/>
      <c r="X21" s="35"/>
      <c r="Y21" s="35"/>
    </row>
    <row r="22" spans="1:25" s="31" customFormat="1" x14ac:dyDescent="0.25">
      <c r="A22" s="30">
        <f t="shared" si="7"/>
        <v>37178</v>
      </c>
      <c r="C22" s="32">
        <v>24.52</v>
      </c>
      <c r="D22" s="37">
        <f t="shared" si="0"/>
        <v>-0.78999999999999915</v>
      </c>
      <c r="E22" s="32">
        <v>29.21</v>
      </c>
      <c r="F22" s="37">
        <f t="shared" si="1"/>
        <v>-0.57999999999999829</v>
      </c>
      <c r="G22" s="32">
        <v>29.49</v>
      </c>
      <c r="H22" s="37">
        <f t="shared" si="2"/>
        <v>-0.64000000000000057</v>
      </c>
      <c r="I22" s="32">
        <v>22.46</v>
      </c>
      <c r="J22" s="37">
        <f t="shared" si="3"/>
        <v>-4.59</v>
      </c>
      <c r="K22" s="33"/>
      <c r="L22" s="38">
        <v>18545</v>
      </c>
      <c r="M22" s="35"/>
      <c r="N22" s="41">
        <f t="shared" si="4"/>
        <v>756.32137030995102</v>
      </c>
      <c r="O22" s="35"/>
      <c r="P22" s="35"/>
      <c r="Q22" s="35"/>
      <c r="R22" s="41">
        <f t="shared" si="5"/>
        <v>634.88531324888731</v>
      </c>
      <c r="S22" s="35"/>
      <c r="T22" s="35"/>
      <c r="U22" s="35"/>
      <c r="V22" s="41">
        <f t="shared" si="6"/>
        <v>628.85723974228551</v>
      </c>
      <c r="W22" s="35"/>
      <c r="X22" s="35"/>
      <c r="Y22" s="35"/>
    </row>
    <row r="23" spans="1:25" x14ac:dyDescent="0.25">
      <c r="A23" s="11">
        <f t="shared" si="7"/>
        <v>37179</v>
      </c>
      <c r="C23" s="26">
        <v>27.41</v>
      </c>
      <c r="D23" s="25">
        <f t="shared" si="0"/>
        <v>2.8900000000000006</v>
      </c>
      <c r="E23" s="26">
        <v>32</v>
      </c>
      <c r="F23" s="25">
        <f t="shared" si="1"/>
        <v>2.7899999999999991</v>
      </c>
      <c r="G23" s="18">
        <v>32.99</v>
      </c>
      <c r="H23" s="25">
        <f t="shared" si="2"/>
        <v>3.5000000000000036</v>
      </c>
      <c r="I23" s="26">
        <v>29</v>
      </c>
      <c r="J23" s="25">
        <f t="shared" si="3"/>
        <v>6.5399999999999991</v>
      </c>
      <c r="K23" s="19"/>
      <c r="L23" s="21">
        <v>20175</v>
      </c>
      <c r="M23" s="22"/>
      <c r="N23" s="91">
        <f t="shared" si="4"/>
        <v>736.04523896388184</v>
      </c>
      <c r="O23" s="22"/>
      <c r="P23" s="22"/>
      <c r="Q23" s="22"/>
      <c r="R23" s="91">
        <f t="shared" si="5"/>
        <v>630.46875</v>
      </c>
      <c r="S23" s="22"/>
      <c r="T23" s="22"/>
      <c r="U23" s="22"/>
      <c r="V23" s="91">
        <f t="shared" si="6"/>
        <v>611.54895422855407</v>
      </c>
      <c r="W23" s="22"/>
      <c r="X23" s="22"/>
      <c r="Y23" s="22"/>
    </row>
    <row r="24" spans="1:25" x14ac:dyDescent="0.25">
      <c r="A24" s="11">
        <f t="shared" si="7"/>
        <v>37180</v>
      </c>
      <c r="C24" s="18">
        <v>27.48</v>
      </c>
      <c r="D24" s="25">
        <f t="shared" si="0"/>
        <v>7.0000000000000284E-2</v>
      </c>
      <c r="E24" s="18">
        <v>32.869999999999997</v>
      </c>
      <c r="F24" s="25">
        <f t="shared" si="1"/>
        <v>0.86999999999999744</v>
      </c>
      <c r="G24" s="18">
        <v>33.270000000000003</v>
      </c>
      <c r="H24" s="25">
        <f t="shared" si="2"/>
        <v>0.28000000000000114</v>
      </c>
      <c r="I24" s="18">
        <v>23.82</v>
      </c>
      <c r="J24" s="25">
        <f t="shared" si="3"/>
        <v>-5.18</v>
      </c>
      <c r="K24" s="19"/>
      <c r="L24" s="21">
        <v>19790</v>
      </c>
      <c r="M24" s="22"/>
      <c r="N24" s="91">
        <f t="shared" si="4"/>
        <v>720.16011644832599</v>
      </c>
      <c r="O24" s="22"/>
      <c r="P24" s="22"/>
      <c r="Q24" s="22"/>
      <c r="R24" s="91">
        <f t="shared" si="5"/>
        <v>602.06875570428963</v>
      </c>
      <c r="S24" s="22"/>
      <c r="T24" s="22"/>
      <c r="U24" s="22"/>
      <c r="V24" s="91">
        <f t="shared" si="6"/>
        <v>594.8301773369401</v>
      </c>
      <c r="W24" s="22"/>
      <c r="X24" s="22"/>
      <c r="Y24" s="22"/>
    </row>
    <row r="25" spans="1:25" x14ac:dyDescent="0.25">
      <c r="A25" s="11">
        <f t="shared" si="7"/>
        <v>37181</v>
      </c>
      <c r="C25" s="18">
        <v>28.15</v>
      </c>
      <c r="D25" s="25">
        <f t="shared" si="0"/>
        <v>0.66999999999999815</v>
      </c>
      <c r="E25" s="18">
        <v>33.35</v>
      </c>
      <c r="F25" s="25">
        <f t="shared" si="1"/>
        <v>0.48000000000000398</v>
      </c>
      <c r="G25" s="18">
        <v>33.71</v>
      </c>
      <c r="H25" s="25">
        <f t="shared" si="2"/>
        <v>0.43999999999999773</v>
      </c>
      <c r="I25" s="26">
        <v>31</v>
      </c>
      <c r="J25" s="25">
        <f t="shared" si="3"/>
        <v>7.18</v>
      </c>
      <c r="K25" s="19"/>
      <c r="L25" s="21">
        <v>19878</v>
      </c>
      <c r="M25" s="22"/>
      <c r="N25" s="91">
        <f t="shared" si="4"/>
        <v>706.145648312611</v>
      </c>
      <c r="O25" s="22"/>
      <c r="P25" s="22"/>
      <c r="Q25" s="22"/>
      <c r="R25" s="91">
        <f t="shared" si="5"/>
        <v>596.04197901049474</v>
      </c>
      <c r="S25" s="22"/>
      <c r="T25" s="22"/>
      <c r="U25" s="22"/>
      <c r="V25" s="91">
        <f t="shared" si="6"/>
        <v>589.67665381192523</v>
      </c>
      <c r="W25" s="22"/>
      <c r="X25" s="22"/>
      <c r="Y25" s="22"/>
    </row>
    <row r="26" spans="1:25" x14ac:dyDescent="0.25">
      <c r="A26" s="11">
        <f t="shared" si="7"/>
        <v>37182</v>
      </c>
      <c r="C26" s="18">
        <v>28.53</v>
      </c>
      <c r="D26" s="25">
        <f t="shared" si="0"/>
        <v>0.38000000000000256</v>
      </c>
      <c r="E26" s="18">
        <v>33.85</v>
      </c>
      <c r="F26" s="25">
        <f t="shared" si="1"/>
        <v>0.5</v>
      </c>
      <c r="G26" s="18">
        <v>34.729999999999997</v>
      </c>
      <c r="H26" s="25">
        <f t="shared" si="2"/>
        <v>1.019999999999996</v>
      </c>
      <c r="I26" s="18">
        <v>26.43</v>
      </c>
      <c r="J26" s="25">
        <f t="shared" si="3"/>
        <v>-4.57</v>
      </c>
      <c r="K26" s="19"/>
      <c r="L26" s="21">
        <v>19613</v>
      </c>
      <c r="M26" s="22"/>
      <c r="N26" s="91">
        <f t="shared" si="4"/>
        <v>687.45180511742024</v>
      </c>
      <c r="O26" s="22"/>
      <c r="P26" s="22"/>
      <c r="Q26" s="22"/>
      <c r="R26" s="91">
        <f t="shared" si="5"/>
        <v>579.40915805022155</v>
      </c>
      <c r="S26" s="22"/>
      <c r="T26" s="22"/>
      <c r="U26" s="22"/>
      <c r="V26" s="91">
        <f t="shared" si="6"/>
        <v>564.72790095018718</v>
      </c>
      <c r="W26" s="22"/>
      <c r="X26" s="22"/>
      <c r="Y26" s="22"/>
    </row>
    <row r="27" spans="1:25" x14ac:dyDescent="0.25">
      <c r="A27" s="11">
        <f t="shared" si="7"/>
        <v>37183</v>
      </c>
      <c r="C27" s="18">
        <v>28.71</v>
      </c>
      <c r="D27" s="25">
        <f t="shared" si="0"/>
        <v>0.17999999999999972</v>
      </c>
      <c r="E27" s="18">
        <v>33.76</v>
      </c>
      <c r="F27" s="25">
        <f t="shared" si="1"/>
        <v>-9.0000000000003411E-2</v>
      </c>
      <c r="G27" s="18">
        <v>35.57</v>
      </c>
      <c r="H27" s="25">
        <f t="shared" si="2"/>
        <v>0.84000000000000341</v>
      </c>
      <c r="I27" s="18">
        <v>24.24</v>
      </c>
      <c r="J27" s="25">
        <f t="shared" si="3"/>
        <v>-2.1900000000000013</v>
      </c>
      <c r="K27" s="19"/>
      <c r="L27" s="21">
        <v>19124</v>
      </c>
      <c r="M27" s="22"/>
      <c r="N27" s="91">
        <f t="shared" si="4"/>
        <v>666.10936955764544</v>
      </c>
      <c r="O27" s="22"/>
      <c r="P27" s="22"/>
      <c r="Q27" s="22"/>
      <c r="R27" s="91">
        <f t="shared" si="5"/>
        <v>566.46919431279628</v>
      </c>
      <c r="S27" s="22"/>
      <c r="T27" s="22"/>
      <c r="U27" s="22"/>
      <c r="V27" s="91">
        <f t="shared" si="6"/>
        <v>537.64408209165026</v>
      </c>
      <c r="W27" s="22"/>
      <c r="X27" s="22"/>
      <c r="Y27" s="22"/>
    </row>
    <row r="28" spans="1:25" s="31" customFormat="1" x14ac:dyDescent="0.25">
      <c r="A28" s="30">
        <f t="shared" si="7"/>
        <v>37184</v>
      </c>
      <c r="C28" s="32">
        <v>25.95</v>
      </c>
      <c r="D28" s="37">
        <f t="shared" si="0"/>
        <v>-2.7600000000000016</v>
      </c>
      <c r="E28" s="36">
        <v>30.2</v>
      </c>
      <c r="F28" s="37">
        <f t="shared" si="1"/>
        <v>-3.5599999999999987</v>
      </c>
      <c r="G28" s="32">
        <v>30.57</v>
      </c>
      <c r="H28" s="37">
        <f t="shared" si="2"/>
        <v>-5</v>
      </c>
      <c r="I28" s="32">
        <v>19.579999999999998</v>
      </c>
      <c r="J28" s="37">
        <f t="shared" si="3"/>
        <v>-4.66</v>
      </c>
      <c r="K28" s="33"/>
      <c r="L28" s="38">
        <v>17563</v>
      </c>
      <c r="M28" s="35"/>
      <c r="N28" s="41">
        <f t="shared" si="4"/>
        <v>676.80154142581887</v>
      </c>
      <c r="O28" s="35"/>
      <c r="P28" s="35"/>
      <c r="Q28" s="35"/>
      <c r="R28" s="41">
        <f t="shared" si="5"/>
        <v>581.55629139072846</v>
      </c>
      <c r="S28" s="35"/>
      <c r="T28" s="35"/>
      <c r="U28" s="35"/>
      <c r="V28" s="41">
        <f t="shared" si="6"/>
        <v>574.51750081779517</v>
      </c>
      <c r="W28" s="35"/>
      <c r="X28" s="35"/>
      <c r="Y28" s="35"/>
    </row>
    <row r="29" spans="1:25" s="31" customFormat="1" x14ac:dyDescent="0.25">
      <c r="A29" s="30">
        <f t="shared" si="7"/>
        <v>37185</v>
      </c>
      <c r="C29" s="36">
        <v>24.9</v>
      </c>
      <c r="D29" s="37">
        <f t="shared" si="0"/>
        <v>-1.0500000000000007</v>
      </c>
      <c r="E29" s="32">
        <v>29.47</v>
      </c>
      <c r="F29" s="37">
        <f t="shared" si="1"/>
        <v>-0.73000000000000043</v>
      </c>
      <c r="G29" s="32">
        <v>29.78</v>
      </c>
      <c r="H29" s="37">
        <f t="shared" si="2"/>
        <v>-0.78999999999999915</v>
      </c>
      <c r="I29" s="36">
        <v>19</v>
      </c>
      <c r="J29" s="37">
        <f t="shared" si="3"/>
        <v>-0.57999999999999829</v>
      </c>
      <c r="K29" s="33"/>
      <c r="L29" s="38">
        <v>17485</v>
      </c>
      <c r="M29" s="35"/>
      <c r="N29" s="41">
        <f t="shared" si="4"/>
        <v>702.20883534136556</v>
      </c>
      <c r="O29" s="35"/>
      <c r="P29" s="35"/>
      <c r="Q29" s="35"/>
      <c r="R29" s="41">
        <f t="shared" si="5"/>
        <v>593.31523583305056</v>
      </c>
      <c r="S29" s="35"/>
      <c r="T29" s="35"/>
      <c r="U29" s="35"/>
      <c r="V29" s="41">
        <f t="shared" si="6"/>
        <v>587.13901947615852</v>
      </c>
      <c r="W29" s="35"/>
      <c r="X29" s="35"/>
      <c r="Y29" s="35"/>
    </row>
    <row r="30" spans="1:25" x14ac:dyDescent="0.25">
      <c r="A30" s="11">
        <f t="shared" si="7"/>
        <v>37186</v>
      </c>
      <c r="C30" s="18">
        <v>28.01</v>
      </c>
      <c r="D30" s="25">
        <f t="shared" si="0"/>
        <v>3.110000000000003</v>
      </c>
      <c r="E30" s="18">
        <v>32.64</v>
      </c>
      <c r="F30" s="25">
        <f t="shared" si="1"/>
        <v>3.1700000000000017</v>
      </c>
      <c r="G30" s="18">
        <v>33.57</v>
      </c>
      <c r="H30" s="25">
        <f t="shared" si="2"/>
        <v>3.7899999999999991</v>
      </c>
      <c r="I30" s="18">
        <v>22.44</v>
      </c>
      <c r="J30" s="25">
        <f t="shared" si="3"/>
        <v>3.4400000000000013</v>
      </c>
      <c r="K30" s="19"/>
      <c r="L30" s="21">
        <v>19065</v>
      </c>
      <c r="M30" s="22"/>
      <c r="N30" s="91">
        <f t="shared" si="4"/>
        <v>680.64976794002143</v>
      </c>
      <c r="O30" s="22"/>
      <c r="P30" s="22"/>
      <c r="Q30" s="22"/>
      <c r="R30" s="91">
        <f t="shared" si="5"/>
        <v>584.09926470588232</v>
      </c>
      <c r="S30" s="22"/>
      <c r="T30" s="22"/>
      <c r="U30" s="22"/>
      <c r="V30" s="91">
        <f t="shared" si="6"/>
        <v>567.91778373547811</v>
      </c>
      <c r="W30" s="22"/>
      <c r="X30" s="22"/>
      <c r="Y30" s="22"/>
    </row>
    <row r="31" spans="1:25" x14ac:dyDescent="0.25">
      <c r="A31" s="11">
        <f t="shared" si="7"/>
        <v>37187</v>
      </c>
      <c r="C31" s="18">
        <v>27.47</v>
      </c>
      <c r="D31" s="25">
        <f t="shared" si="0"/>
        <v>-0.5400000000000027</v>
      </c>
      <c r="E31" s="18">
        <v>32.93</v>
      </c>
      <c r="F31" s="25">
        <f t="shared" si="1"/>
        <v>0.28999999999999915</v>
      </c>
      <c r="G31" s="18">
        <v>33.81</v>
      </c>
      <c r="H31" s="25">
        <f t="shared" si="2"/>
        <v>0.24000000000000199</v>
      </c>
      <c r="I31" s="26">
        <v>24.5</v>
      </c>
      <c r="J31" s="25">
        <f t="shared" si="3"/>
        <v>2.0599999999999987</v>
      </c>
      <c r="K31" s="19"/>
      <c r="L31" s="21">
        <v>19073</v>
      </c>
      <c r="M31" s="22"/>
      <c r="N31" s="91">
        <f t="shared" si="4"/>
        <v>694.32107753913363</v>
      </c>
      <c r="O31" s="22"/>
      <c r="P31" s="22"/>
      <c r="Q31" s="22"/>
      <c r="R31" s="91">
        <f t="shared" si="5"/>
        <v>579.19829942301851</v>
      </c>
      <c r="S31" s="22"/>
      <c r="T31" s="22"/>
      <c r="U31" s="22"/>
      <c r="V31" s="91">
        <f t="shared" si="6"/>
        <v>564.12304052055606</v>
      </c>
      <c r="W31" s="22"/>
      <c r="X31" s="22"/>
      <c r="Y31" s="22"/>
    </row>
    <row r="32" spans="1:25" x14ac:dyDescent="0.25">
      <c r="A32" s="11">
        <f t="shared" si="7"/>
        <v>37188</v>
      </c>
      <c r="C32" s="18">
        <v>29.93</v>
      </c>
      <c r="D32" s="25">
        <f t="shared" si="0"/>
        <v>2.4600000000000009</v>
      </c>
      <c r="E32" s="18">
        <v>35.520000000000003</v>
      </c>
      <c r="F32" s="25">
        <f t="shared" si="1"/>
        <v>2.5900000000000034</v>
      </c>
      <c r="G32" s="18">
        <v>36.75</v>
      </c>
      <c r="H32" s="25">
        <f t="shared" si="2"/>
        <v>2.9399999999999977</v>
      </c>
      <c r="I32" s="26">
        <v>31.5</v>
      </c>
      <c r="J32" s="25">
        <f t="shared" si="3"/>
        <v>7</v>
      </c>
      <c r="K32" s="19"/>
      <c r="L32" s="21">
        <v>19276</v>
      </c>
      <c r="M32" s="22"/>
      <c r="N32" s="91">
        <f t="shared" si="4"/>
        <v>644.03608419645843</v>
      </c>
      <c r="O32" s="22"/>
      <c r="P32" s="22"/>
      <c r="Q32" s="22"/>
      <c r="R32" s="91">
        <f t="shared" si="5"/>
        <v>542.68018018018017</v>
      </c>
      <c r="S32" s="22"/>
      <c r="T32" s="22"/>
      <c r="U32" s="22"/>
      <c r="V32" s="91">
        <f t="shared" si="6"/>
        <v>524.51700680272108</v>
      </c>
      <c r="W32" s="22"/>
      <c r="X32" s="22"/>
      <c r="Y32" s="22"/>
    </row>
    <row r="33" spans="1:25" x14ac:dyDescent="0.25">
      <c r="A33" s="11">
        <f t="shared" si="7"/>
        <v>37189</v>
      </c>
      <c r="C33" s="18">
        <v>32.19</v>
      </c>
      <c r="D33" s="25">
        <f t="shared" si="0"/>
        <v>2.259999999999998</v>
      </c>
      <c r="E33" s="18">
        <v>38.549999999999997</v>
      </c>
      <c r="F33" s="25">
        <f t="shared" ref="F33:F39" si="8">E33-E32</f>
        <v>3.029999999999994</v>
      </c>
      <c r="G33" s="18">
        <v>41.23</v>
      </c>
      <c r="H33" s="25">
        <f t="shared" ref="H33:H39" si="9">G33-G32</f>
        <v>4.4799999999999969</v>
      </c>
      <c r="I33" s="18"/>
      <c r="J33" s="20"/>
      <c r="K33" s="19"/>
      <c r="L33" s="21">
        <v>19094</v>
      </c>
      <c r="M33" s="22"/>
      <c r="N33" s="91">
        <f t="shared" si="4"/>
        <v>593.16557937247592</v>
      </c>
      <c r="O33" s="22"/>
      <c r="P33" s="27">
        <f>L33/N32</f>
        <v>29.647407138410458</v>
      </c>
      <c r="Q33" s="22"/>
      <c r="R33" s="91">
        <f t="shared" si="5"/>
        <v>495.30479896238654</v>
      </c>
      <c r="S33" s="22"/>
      <c r="T33" s="27">
        <f>L33/R32</f>
        <v>35.184627516082173</v>
      </c>
      <c r="U33" s="22"/>
      <c r="V33" s="91">
        <f t="shared" si="6"/>
        <v>463.10938636914869</v>
      </c>
      <c r="W33" s="22"/>
      <c r="X33" s="27">
        <f>L33/$V$32</f>
        <v>36.40301411081137</v>
      </c>
      <c r="Y33" s="22"/>
    </row>
    <row r="34" spans="1:25" x14ac:dyDescent="0.25">
      <c r="A34" s="11">
        <f t="shared" si="7"/>
        <v>37190</v>
      </c>
      <c r="C34" s="18">
        <v>34.56</v>
      </c>
      <c r="D34" s="25">
        <f t="shared" si="0"/>
        <v>2.3700000000000045</v>
      </c>
      <c r="E34" s="26">
        <v>40</v>
      </c>
      <c r="F34" s="25">
        <f t="shared" si="8"/>
        <v>1.4500000000000028</v>
      </c>
      <c r="G34" s="18">
        <v>40.67</v>
      </c>
      <c r="H34" s="25">
        <f t="shared" si="9"/>
        <v>-0.55999999999999517</v>
      </c>
      <c r="I34" s="18"/>
      <c r="J34" s="20"/>
      <c r="K34" s="19"/>
      <c r="L34" s="21">
        <v>18917</v>
      </c>
      <c r="M34" s="22"/>
      <c r="N34" s="91">
        <f t="shared" si="4"/>
        <v>547.36689814814815</v>
      </c>
      <c r="O34" s="22"/>
      <c r="P34" s="27">
        <f>L34/$N$33</f>
        <v>31.891601026500471</v>
      </c>
      <c r="Q34" s="22"/>
      <c r="R34" s="91">
        <f t="shared" si="5"/>
        <v>472.92500000000001</v>
      </c>
      <c r="S34" s="22"/>
      <c r="T34" s="27">
        <f>L34/$R$33</f>
        <v>38.192644286163187</v>
      </c>
      <c r="U34" s="22"/>
      <c r="V34" s="91">
        <f t="shared" si="6"/>
        <v>465.13400540939267</v>
      </c>
      <c r="W34" s="22"/>
      <c r="X34" s="27">
        <f>L34/$V$33</f>
        <v>40.847800879857544</v>
      </c>
      <c r="Y34" s="22"/>
    </row>
    <row r="35" spans="1:25" s="31" customFormat="1" x14ac:dyDescent="0.25">
      <c r="A35" s="30">
        <f t="shared" si="7"/>
        <v>37191</v>
      </c>
      <c r="C35" s="32">
        <v>32.28</v>
      </c>
      <c r="D35" s="37">
        <f t="shared" si="0"/>
        <v>-2.2800000000000011</v>
      </c>
      <c r="E35" s="32">
        <v>37.369999999999997</v>
      </c>
      <c r="F35" s="37">
        <f t="shared" si="8"/>
        <v>-2.6300000000000026</v>
      </c>
      <c r="G35" s="32">
        <v>37.619999999999997</v>
      </c>
      <c r="H35" s="37">
        <f t="shared" si="9"/>
        <v>-3.0500000000000043</v>
      </c>
      <c r="I35" s="32"/>
      <c r="J35" s="34"/>
      <c r="K35" s="33"/>
      <c r="L35" s="38">
        <v>18338</v>
      </c>
      <c r="M35" s="35"/>
      <c r="N35" s="41">
        <f t="shared" si="4"/>
        <v>568.09169764560102</v>
      </c>
      <c r="O35" s="35"/>
      <c r="P35" s="39">
        <f>L35/$N$33</f>
        <v>30.915482350476591</v>
      </c>
      <c r="Q35" s="35"/>
      <c r="R35" s="41">
        <f t="shared" si="5"/>
        <v>490.71447685309073</v>
      </c>
      <c r="S35" s="35"/>
      <c r="T35" s="39">
        <f>L35/$R$33</f>
        <v>37.023667120561427</v>
      </c>
      <c r="U35" s="35"/>
      <c r="V35" s="41">
        <f t="shared" si="6"/>
        <v>487.45348219032434</v>
      </c>
      <c r="W35" s="35"/>
      <c r="X35" s="39">
        <f>L35/$V$33</f>
        <v>39.597556300408506</v>
      </c>
      <c r="Y35" s="35"/>
    </row>
    <row r="36" spans="1:25" s="31" customFormat="1" x14ac:dyDescent="0.25">
      <c r="A36" s="30">
        <f t="shared" si="7"/>
        <v>37192</v>
      </c>
      <c r="C36" s="32">
        <v>31.33</v>
      </c>
      <c r="D36" s="37">
        <f t="shared" si="0"/>
        <v>-0.95000000000000284</v>
      </c>
      <c r="E36" s="32">
        <v>36.69</v>
      </c>
      <c r="F36" s="37">
        <f t="shared" si="8"/>
        <v>-0.67999999999999972</v>
      </c>
      <c r="G36" s="36">
        <v>36.9</v>
      </c>
      <c r="H36" s="37">
        <f t="shared" si="9"/>
        <v>-0.71999999999999886</v>
      </c>
      <c r="I36" s="32"/>
      <c r="J36" s="34"/>
      <c r="K36" s="33"/>
      <c r="L36" s="38">
        <v>18700</v>
      </c>
      <c r="M36" s="35"/>
      <c r="N36" s="41">
        <f t="shared" si="4"/>
        <v>596.87200766038939</v>
      </c>
      <c r="O36" s="35"/>
      <c r="P36" s="39">
        <f>L36/$N$33</f>
        <v>31.525767256729864</v>
      </c>
      <c r="Q36" s="35"/>
      <c r="R36" s="41">
        <f t="shared" si="5"/>
        <v>509.67566094303629</v>
      </c>
      <c r="S36" s="35"/>
      <c r="T36" s="39">
        <f>L36/$R$33</f>
        <v>37.754530218916933</v>
      </c>
      <c r="U36" s="35"/>
      <c r="V36" s="41">
        <f t="shared" si="6"/>
        <v>506.77506775067752</v>
      </c>
      <c r="W36" s="35"/>
      <c r="X36" s="39">
        <f>L36/$V$33</f>
        <v>40.379229077197024</v>
      </c>
      <c r="Y36" s="35"/>
    </row>
    <row r="37" spans="1:25" x14ac:dyDescent="0.25">
      <c r="A37" s="11">
        <f t="shared" si="7"/>
        <v>37193</v>
      </c>
      <c r="C37" s="18">
        <v>34.340000000000003</v>
      </c>
      <c r="D37" s="25">
        <f t="shared" si="0"/>
        <v>3.0100000000000051</v>
      </c>
      <c r="E37" s="18">
        <v>37.840000000000003</v>
      </c>
      <c r="F37" s="25">
        <f t="shared" si="8"/>
        <v>1.1500000000000057</v>
      </c>
      <c r="G37" s="18">
        <v>43.58</v>
      </c>
      <c r="H37" s="25">
        <f t="shared" si="9"/>
        <v>6.68</v>
      </c>
      <c r="I37" s="18"/>
      <c r="J37" s="20"/>
      <c r="K37" s="19"/>
      <c r="L37" s="21">
        <v>19628</v>
      </c>
      <c r="M37" s="22"/>
      <c r="N37" s="91">
        <f t="shared" si="4"/>
        <v>571.57833430401854</v>
      </c>
      <c r="O37" s="22"/>
      <c r="P37" s="27">
        <f>L37/$N$33</f>
        <v>33.090254530218914</v>
      </c>
      <c r="Q37" s="22"/>
      <c r="R37" s="91">
        <f t="shared" si="5"/>
        <v>518.71035940803381</v>
      </c>
      <c r="S37" s="22"/>
      <c r="T37" s="27">
        <f>L37/$R$33</f>
        <v>39.62812401801613</v>
      </c>
      <c r="U37" s="22"/>
      <c r="V37" s="91">
        <f t="shared" si="6"/>
        <v>450.39008719596148</v>
      </c>
      <c r="W37" s="22"/>
      <c r="X37" s="27">
        <f>L37/$V$33</f>
        <v>42.38307531161621</v>
      </c>
      <c r="Y37" s="22"/>
    </row>
    <row r="38" spans="1:25" x14ac:dyDescent="0.25">
      <c r="A38" s="11">
        <f t="shared" si="7"/>
        <v>37194</v>
      </c>
      <c r="C38" s="18">
        <v>37.47</v>
      </c>
      <c r="D38" s="25">
        <f t="shared" si="0"/>
        <v>3.1299999999999955</v>
      </c>
      <c r="E38" s="18">
        <v>44.03</v>
      </c>
      <c r="F38" s="25">
        <f t="shared" si="8"/>
        <v>6.1899999999999977</v>
      </c>
      <c r="G38" s="18">
        <v>44.68</v>
      </c>
      <c r="H38" s="25">
        <f t="shared" si="9"/>
        <v>1.1000000000000014</v>
      </c>
      <c r="I38" s="18"/>
      <c r="J38" s="20"/>
      <c r="K38" s="19"/>
      <c r="L38" s="21">
        <v>19310</v>
      </c>
      <c r="M38" s="22"/>
      <c r="N38" s="91">
        <f t="shared" si="4"/>
        <v>515.34560982119035</v>
      </c>
      <c r="O38" s="22"/>
      <c r="P38" s="27">
        <f>L38/$N$37</f>
        <v>33.783645812105163</v>
      </c>
      <c r="Q38" s="22"/>
      <c r="R38" s="91">
        <f t="shared" si="5"/>
        <v>438.56461503520325</v>
      </c>
      <c r="S38" s="22"/>
      <c r="T38" s="27">
        <f>L38/$R$37</f>
        <v>37.22694110454453</v>
      </c>
      <c r="U38" s="22"/>
      <c r="V38" s="91">
        <f t="shared" si="6"/>
        <v>432.18442256042971</v>
      </c>
      <c r="W38" s="22"/>
      <c r="X38" s="27">
        <f>L38/$V$37</f>
        <v>42.873945384145095</v>
      </c>
      <c r="Y38" s="22"/>
    </row>
    <row r="39" spans="1:25" x14ac:dyDescent="0.25">
      <c r="A39" s="11">
        <f t="shared" si="7"/>
        <v>37195</v>
      </c>
      <c r="C39" s="46">
        <v>33.32</v>
      </c>
      <c r="D39" s="25">
        <f t="shared" si="0"/>
        <v>-4.1499999999999986</v>
      </c>
      <c r="E39" s="46">
        <v>40.36</v>
      </c>
      <c r="F39" s="25">
        <f t="shared" si="8"/>
        <v>-3.6700000000000017</v>
      </c>
      <c r="G39" s="46">
        <v>40.950000000000003</v>
      </c>
      <c r="H39" s="25">
        <f t="shared" si="9"/>
        <v>-3.7299999999999969</v>
      </c>
      <c r="I39" s="46"/>
      <c r="J39" s="48"/>
      <c r="K39" s="47"/>
      <c r="L39" s="52">
        <v>19485</v>
      </c>
      <c r="M39" s="49"/>
      <c r="N39" s="91">
        <f t="shared" si="4"/>
        <v>584.78391356542613</v>
      </c>
      <c r="O39" s="22"/>
      <c r="P39" s="27">
        <f>L39/$N$38</f>
        <v>37.809577938891763</v>
      </c>
      <c r="Q39" s="22"/>
      <c r="R39" s="91">
        <f t="shared" si="5"/>
        <v>482.77998017839445</v>
      </c>
      <c r="S39" s="22"/>
      <c r="T39" s="27">
        <f>L39/$R$38</f>
        <v>44.429029000517872</v>
      </c>
      <c r="U39" s="22"/>
      <c r="V39" s="91">
        <f t="shared" si="6"/>
        <v>475.82417582417577</v>
      </c>
      <c r="W39" s="22"/>
      <c r="X39" s="27">
        <f>L39/$V$38</f>
        <v>45.08491973070948</v>
      </c>
      <c r="Y39" s="22"/>
    </row>
    <row r="40" spans="1:25" ht="13.8" thickBot="1" x14ac:dyDescent="0.3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5">
      <c r="A41" s="58" t="s">
        <v>35</v>
      </c>
      <c r="B41" s="59"/>
      <c r="C41" s="60">
        <f t="shared" ref="C41:J41" si="10">AVERAGE(C9:C13)</f>
        <v>26.660000000000004</v>
      </c>
      <c r="D41" s="60">
        <f t="shared" si="10"/>
        <v>0.45199999999999962</v>
      </c>
      <c r="E41" s="60">
        <f t="shared" si="10"/>
        <v>30.474</v>
      </c>
      <c r="F41" s="60">
        <f t="shared" si="10"/>
        <v>0.28999999999999987</v>
      </c>
      <c r="G41" s="60">
        <f t="shared" si="10"/>
        <v>32.088000000000001</v>
      </c>
      <c r="H41" s="60">
        <f t="shared" si="10"/>
        <v>0.66000000000000014</v>
      </c>
      <c r="I41" s="60">
        <f t="shared" si="10"/>
        <v>27.596000000000004</v>
      </c>
      <c r="J41" s="60">
        <f t="shared" si="10"/>
        <v>2.0179999999999998</v>
      </c>
      <c r="K41" s="60"/>
      <c r="L41" s="61">
        <f>AVERAGE(L9:L13)</f>
        <v>20467.599999999999</v>
      </c>
      <c r="M41" s="60"/>
      <c r="N41" s="87">
        <f>AVERAGE(N9:N13)</f>
        <v>767.55286227798001</v>
      </c>
      <c r="O41" s="22"/>
      <c r="P41" s="22"/>
      <c r="Q41" s="22"/>
      <c r="R41" s="51"/>
      <c r="S41" s="22"/>
      <c r="T41" s="22"/>
      <c r="U41" s="22"/>
      <c r="V41" s="51"/>
      <c r="W41" s="22"/>
      <c r="X41" s="22"/>
      <c r="Y41" s="22"/>
    </row>
    <row r="42" spans="1:25" x14ac:dyDescent="0.25">
      <c r="A42" s="63" t="s">
        <v>36</v>
      </c>
      <c r="B42" s="64"/>
      <c r="C42" s="50">
        <f t="shared" ref="C42:J42" si="11">AVERAGE(C16:C20)</f>
        <v>28.327999999999996</v>
      </c>
      <c r="D42" s="50">
        <f t="shared" si="11"/>
        <v>-0.36799999999999999</v>
      </c>
      <c r="E42" s="50">
        <f t="shared" si="11"/>
        <v>32.758000000000003</v>
      </c>
      <c r="F42" s="50">
        <f t="shared" si="11"/>
        <v>9.2000000000000165E-2</v>
      </c>
      <c r="G42" s="50">
        <f t="shared" si="11"/>
        <v>33.239999999999995</v>
      </c>
      <c r="H42" s="50">
        <f t="shared" si="11"/>
        <v>0.36600000000000038</v>
      </c>
      <c r="I42" s="50">
        <f t="shared" si="11"/>
        <v>24.707999999999998</v>
      </c>
      <c r="J42" s="50">
        <f t="shared" si="11"/>
        <v>0.70200000000000029</v>
      </c>
      <c r="K42" s="50"/>
      <c r="L42" s="51">
        <f>AVERAGE(L16:L20)</f>
        <v>19737.599999999999</v>
      </c>
      <c r="M42" s="50"/>
      <c r="N42" s="79">
        <f>AVERAGE(N16:N20)</f>
        <v>699.09299979273942</v>
      </c>
      <c r="O42" s="22"/>
      <c r="P42" s="22"/>
      <c r="Q42" s="22"/>
      <c r="R42" s="51"/>
      <c r="S42" s="22"/>
      <c r="T42" s="22"/>
      <c r="U42" s="22"/>
      <c r="V42" s="51"/>
      <c r="W42" s="22"/>
      <c r="X42" s="22"/>
      <c r="Y42" s="22"/>
    </row>
    <row r="43" spans="1:25" x14ac:dyDescent="0.25">
      <c r="A43" s="63" t="s">
        <v>37</v>
      </c>
      <c r="B43" s="64"/>
      <c r="C43" s="50">
        <f t="shared" ref="C43:J43" si="12">AVERAGE(C23:C27)</f>
        <v>28.056000000000001</v>
      </c>
      <c r="D43" s="50">
        <f t="shared" si="12"/>
        <v>0.8380000000000003</v>
      </c>
      <c r="E43" s="50">
        <f t="shared" si="12"/>
        <v>33.165999999999997</v>
      </c>
      <c r="F43" s="50">
        <f t="shared" si="12"/>
        <v>0.90999999999999948</v>
      </c>
      <c r="G43" s="50">
        <f t="shared" si="12"/>
        <v>34.053999999999995</v>
      </c>
      <c r="H43" s="50">
        <f t="shared" si="12"/>
        <v>1.2160000000000004</v>
      </c>
      <c r="I43" s="50">
        <f t="shared" si="12"/>
        <v>26.898000000000003</v>
      </c>
      <c r="J43" s="50">
        <f t="shared" si="12"/>
        <v>0.35599999999999954</v>
      </c>
      <c r="K43" s="50"/>
      <c r="L43" s="51">
        <f>AVERAGE(L23:L27)</f>
        <v>19716</v>
      </c>
      <c r="M43" s="50"/>
      <c r="N43" s="79">
        <f>AVERAGE(N23:N27)</f>
        <v>703.18243567997683</v>
      </c>
      <c r="O43" s="22"/>
      <c r="P43" s="22"/>
      <c r="Q43" s="22"/>
      <c r="R43" s="51"/>
      <c r="S43" s="22"/>
      <c r="T43" s="22"/>
      <c r="U43" s="22"/>
      <c r="V43" s="51"/>
      <c r="W43" s="22"/>
      <c r="X43" s="22"/>
      <c r="Y43" s="22"/>
    </row>
    <row r="44" spans="1:25" x14ac:dyDescent="0.25">
      <c r="A44" s="63" t="s">
        <v>38</v>
      </c>
      <c r="B44" s="64"/>
      <c r="C44" s="50">
        <f t="shared" ref="C44:J44" si="13">AVERAGE(C30:C34)</f>
        <v>30.431999999999999</v>
      </c>
      <c r="D44" s="50">
        <f t="shared" si="13"/>
        <v>1.9320000000000008</v>
      </c>
      <c r="E44" s="50">
        <f t="shared" si="13"/>
        <v>35.927999999999997</v>
      </c>
      <c r="F44" s="50">
        <f t="shared" si="13"/>
        <v>2.1060000000000003</v>
      </c>
      <c r="G44" s="46">
        <f t="shared" si="13"/>
        <v>37.205999999999996</v>
      </c>
      <c r="H44" s="50">
        <f t="shared" si="13"/>
        <v>2.1779999999999999</v>
      </c>
      <c r="I44" s="50">
        <f t="shared" si="13"/>
        <v>26.146666666666665</v>
      </c>
      <c r="J44" s="50">
        <f t="shared" si="13"/>
        <v>4.166666666666667</v>
      </c>
      <c r="K44" s="47"/>
      <c r="L44" s="51">
        <f>AVERAGE(L24:L28)</f>
        <v>19193.599999999999</v>
      </c>
      <c r="M44" s="51"/>
      <c r="N44" s="79">
        <f>AVERAGE(N24:N28)</f>
        <v>691.3336961723644</v>
      </c>
      <c r="O44" s="22"/>
      <c r="P44" s="22"/>
      <c r="Q44" s="22"/>
      <c r="R44" s="51"/>
      <c r="S44" s="22"/>
      <c r="T44" s="22"/>
      <c r="U44" s="22"/>
      <c r="V44" s="51"/>
      <c r="W44" s="22"/>
      <c r="X44" s="22"/>
      <c r="Y44" s="22"/>
    </row>
    <row r="45" spans="1:25" ht="13.8" thickBot="1" x14ac:dyDescent="0.3">
      <c r="A45" s="80" t="s">
        <v>56</v>
      </c>
      <c r="B45" s="66"/>
      <c r="C45" s="81"/>
      <c r="D45" s="82"/>
      <c r="E45" s="82"/>
      <c r="F45" s="82"/>
      <c r="G45" s="81"/>
      <c r="H45" s="82"/>
      <c r="I45" s="81"/>
      <c r="J45" s="81"/>
      <c r="K45" s="83"/>
      <c r="L45" s="84"/>
      <c r="M45" s="84"/>
      <c r="N45" s="86"/>
      <c r="O45" s="22"/>
      <c r="P45" s="22"/>
      <c r="Q45" s="22"/>
      <c r="R45" s="51"/>
      <c r="S45" s="22"/>
      <c r="T45" s="22"/>
      <c r="U45" s="22"/>
      <c r="V45" s="51"/>
      <c r="W45" s="22"/>
      <c r="X45" s="22"/>
      <c r="Y45" s="22"/>
    </row>
    <row r="46" spans="1:25" ht="13.8" thickBot="1" x14ac:dyDescent="0.3">
      <c r="A46" s="71" t="s">
        <v>34</v>
      </c>
      <c r="B46" s="72"/>
      <c r="C46" s="73">
        <f t="shared" ref="C46:J46" si="14">AVERAGE(C9:C39)</f>
        <v>28.842580645161291</v>
      </c>
      <c r="D46" s="73">
        <f t="shared" si="14"/>
        <v>0.28225806451612906</v>
      </c>
      <c r="E46" s="73">
        <f t="shared" si="14"/>
        <v>33.563870967741934</v>
      </c>
      <c r="F46" s="73">
        <f t="shared" si="14"/>
        <v>0.35322580645161289</v>
      </c>
      <c r="G46" s="73">
        <f t="shared" si="14"/>
        <v>34.540645161290328</v>
      </c>
      <c r="H46" s="73">
        <f t="shared" si="14"/>
        <v>0.37548387096774205</v>
      </c>
      <c r="I46" s="73">
        <f t="shared" si="14"/>
        <v>25.453333333333337</v>
      </c>
      <c r="J46" s="73">
        <f t="shared" si="14"/>
        <v>0.54083333333333339</v>
      </c>
      <c r="K46" s="74"/>
      <c r="L46" s="75">
        <f>AVERAGE(L9:L39)</f>
        <v>19277.645161290322</v>
      </c>
      <c r="M46" s="76"/>
      <c r="N46" s="78">
        <f>AVERAGE(N9:N39)</f>
        <v>675.24973886151065</v>
      </c>
      <c r="O46" s="22"/>
      <c r="P46" s="22"/>
      <c r="Q46" s="22"/>
      <c r="R46" s="98"/>
      <c r="S46" s="22"/>
      <c r="T46" s="22"/>
      <c r="U46" s="22"/>
      <c r="V46" s="98"/>
      <c r="W46" s="22"/>
      <c r="X46" s="22"/>
      <c r="Y46" s="22"/>
    </row>
    <row r="47" spans="1:25" ht="13.8" thickBot="1" x14ac:dyDescent="0.3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70"/>
      <c r="R47" s="64"/>
      <c r="V47" s="64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opLeftCell="C1" workbookViewId="0">
      <selection activeCell="D14" sqref="D14"/>
    </sheetView>
  </sheetViews>
  <sheetFormatPr defaultRowHeight="13.2" x14ac:dyDescent="0.25"/>
  <cols>
    <col min="1" max="1" width="14.44140625" customWidth="1"/>
    <col min="2" max="2" width="2.33203125" customWidth="1"/>
    <col min="3" max="3" width="9.109375" style="8" customWidth="1"/>
    <col min="4" max="4" width="6.33203125" style="13" customWidth="1"/>
    <col min="5" max="5" width="9.109375" style="8" customWidth="1"/>
    <col min="6" max="6" width="5.88671875" style="13" customWidth="1"/>
    <col min="7" max="7" width="9.5546875" style="8" customWidth="1"/>
    <col min="8" max="8" width="6.6640625" style="13" customWidth="1"/>
    <col min="9" max="9" width="8.33203125" style="8" customWidth="1"/>
    <col min="10" max="10" width="7.33203125" style="15" bestFit="1" customWidth="1"/>
    <col min="11" max="11" width="2.109375" style="13" customWidth="1"/>
    <col min="12" max="12" width="10.109375" customWidth="1"/>
    <col min="13" max="13" width="1.6640625" customWidth="1"/>
    <col min="14" max="14" width="9.6640625" customWidth="1"/>
    <col min="15" max="15" width="1.6640625" customWidth="1"/>
    <col min="16" max="16" width="9.5546875" customWidth="1"/>
    <col min="17" max="17" width="1.6640625" customWidth="1"/>
    <col min="18" max="18" width="8.88671875" customWidth="1"/>
    <col min="19" max="19" width="1.6640625" customWidth="1"/>
    <col min="20" max="20" width="9.88671875" customWidth="1"/>
    <col min="21" max="21" width="1.5546875" customWidth="1"/>
    <col min="22" max="22" width="9" customWidth="1"/>
    <col min="23" max="23" width="1.88671875" customWidth="1"/>
    <col min="24" max="24" width="9.33203125" customWidth="1"/>
    <col min="25" max="25" width="1.5546875" customWidth="1"/>
  </cols>
  <sheetData>
    <row r="2" spans="1:28" x14ac:dyDescent="0.25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8" thickBot="1" x14ac:dyDescent="0.3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5"/>
    <row r="7" spans="1:28" s="31" customFormat="1" x14ac:dyDescent="0.25">
      <c r="A7" s="45">
        <v>37191</v>
      </c>
      <c r="C7" s="32">
        <v>32.28</v>
      </c>
      <c r="D7" s="37">
        <f t="shared" ref="D7:D41" si="0">C7-C6</f>
        <v>32.28</v>
      </c>
      <c r="E7" s="32">
        <v>37.369999999999997</v>
      </c>
      <c r="F7" s="37">
        <f t="shared" ref="F7:F41" si="1">E7-E6</f>
        <v>37.369999999999997</v>
      </c>
      <c r="G7" s="32">
        <v>37.619999999999997</v>
      </c>
      <c r="H7" s="37">
        <f t="shared" ref="H7:H41" si="2">G7-G6</f>
        <v>37.619999999999997</v>
      </c>
      <c r="I7" s="32"/>
      <c r="J7" s="34"/>
      <c r="K7" s="33"/>
      <c r="L7" s="38">
        <v>18338</v>
      </c>
      <c r="M7" s="35"/>
      <c r="N7" s="41">
        <f t="shared" ref="N7:N41" si="3">L7/C7</f>
        <v>568.09169764560102</v>
      </c>
      <c r="O7" s="35"/>
      <c r="P7" s="39">
        <f>L7/N7</f>
        <v>32.28</v>
      </c>
      <c r="Q7" s="35"/>
      <c r="R7" s="41">
        <f t="shared" ref="R7:R41" si="4">L7/E7</f>
        <v>490.71447685309073</v>
      </c>
      <c r="S7" s="35"/>
      <c r="T7" s="39">
        <f>L7/R7</f>
        <v>37.369999999999997</v>
      </c>
      <c r="U7" s="35"/>
      <c r="V7" s="41">
        <f t="shared" ref="V7:V41" si="5">L7/G7</f>
        <v>487.45348219032434</v>
      </c>
      <c r="W7" s="35"/>
      <c r="X7" s="39">
        <f>L7/V7</f>
        <v>37.619999999999997</v>
      </c>
      <c r="Y7" s="35"/>
      <c r="Z7" s="39"/>
    </row>
    <row r="8" spans="1:28" s="31" customFormat="1" ht="12.75" customHeight="1" x14ac:dyDescent="0.25">
      <c r="A8" s="30">
        <f t="shared" ref="A8:A41" si="6">A7+1</f>
        <v>37192</v>
      </c>
      <c r="C8" s="32">
        <v>31.33</v>
      </c>
      <c r="D8" s="37">
        <f t="shared" si="0"/>
        <v>-0.95000000000000284</v>
      </c>
      <c r="E8" s="32">
        <v>36.69</v>
      </c>
      <c r="F8" s="37">
        <f t="shared" si="1"/>
        <v>-0.67999999999999972</v>
      </c>
      <c r="G8" s="36">
        <v>36.9</v>
      </c>
      <c r="H8" s="37">
        <f t="shared" si="2"/>
        <v>-0.71999999999999886</v>
      </c>
      <c r="I8" s="32"/>
      <c r="J8" s="34"/>
      <c r="K8" s="33"/>
      <c r="L8" s="38">
        <v>18700</v>
      </c>
      <c r="M8" s="35"/>
      <c r="N8" s="41">
        <f t="shared" si="3"/>
        <v>596.87200766038939</v>
      </c>
      <c r="O8" s="35"/>
      <c r="P8" s="39">
        <f>L8/N8</f>
        <v>31.330000000000002</v>
      </c>
      <c r="Q8" s="35"/>
      <c r="R8" s="41">
        <f t="shared" si="4"/>
        <v>509.67566094303629</v>
      </c>
      <c r="S8" s="35"/>
      <c r="T8" s="39">
        <f>L8/R8</f>
        <v>36.69</v>
      </c>
      <c r="U8" s="35"/>
      <c r="V8" s="41">
        <f t="shared" si="5"/>
        <v>506.77506775067752</v>
      </c>
      <c r="W8" s="35"/>
      <c r="X8" s="39">
        <f>L8/V8</f>
        <v>36.9</v>
      </c>
      <c r="Y8" s="35"/>
      <c r="Z8" s="108">
        <f t="shared" ref="Z8:Z22" si="7">T8-P8</f>
        <v>5.3599999999999959</v>
      </c>
      <c r="AA8" s="108">
        <f t="shared" ref="AA8:AA22" si="8">X8-T8</f>
        <v>0.21000000000000085</v>
      </c>
      <c r="AB8" s="108">
        <f t="shared" ref="AB8:AB22" si="9">X8-P8</f>
        <v>5.5699999999999967</v>
      </c>
    </row>
    <row r="9" spans="1:28" x14ac:dyDescent="0.25">
      <c r="A9" s="11">
        <f t="shared" si="6"/>
        <v>37193</v>
      </c>
      <c r="B9" s="11"/>
      <c r="C9" s="18">
        <v>34.340000000000003</v>
      </c>
      <c r="D9" s="25">
        <f t="shared" si="0"/>
        <v>3.0100000000000051</v>
      </c>
      <c r="E9" s="18">
        <v>37.840000000000003</v>
      </c>
      <c r="F9" s="25">
        <f t="shared" si="1"/>
        <v>1.1500000000000057</v>
      </c>
      <c r="G9" s="18">
        <v>43.58</v>
      </c>
      <c r="H9" s="25">
        <f t="shared" si="2"/>
        <v>6.68</v>
      </c>
      <c r="I9" s="18">
        <f>'Nov Data'!I9</f>
        <v>31.19</v>
      </c>
      <c r="J9" s="20"/>
      <c r="K9" s="19"/>
      <c r="L9" s="21">
        <v>19628</v>
      </c>
      <c r="M9" s="22"/>
      <c r="N9" s="91">
        <f t="shared" si="3"/>
        <v>571.57833430401854</v>
      </c>
      <c r="O9" s="22"/>
      <c r="P9" s="92">
        <f>L9/N9</f>
        <v>34.340000000000003</v>
      </c>
      <c r="Q9" s="22"/>
      <c r="R9" s="91">
        <f t="shared" si="4"/>
        <v>518.71035940803381</v>
      </c>
      <c r="S9" s="22"/>
      <c r="T9" s="92">
        <f>L9/R9</f>
        <v>37.840000000000003</v>
      </c>
      <c r="U9" s="22"/>
      <c r="V9" s="91">
        <f t="shared" si="5"/>
        <v>450.39008719596148</v>
      </c>
      <c r="W9" s="22"/>
      <c r="X9" s="92">
        <f>L9/V9</f>
        <v>43.58</v>
      </c>
      <c r="Y9" s="22"/>
      <c r="Z9" s="9">
        <f t="shared" si="7"/>
        <v>3.5</v>
      </c>
      <c r="AA9" s="9">
        <f t="shared" si="8"/>
        <v>5.7399999999999949</v>
      </c>
      <c r="AB9" s="9">
        <f t="shared" si="9"/>
        <v>9.2399999999999949</v>
      </c>
    </row>
    <row r="10" spans="1:28" x14ac:dyDescent="0.25">
      <c r="A10" s="11">
        <f t="shared" si="6"/>
        <v>37194</v>
      </c>
      <c r="B10" s="11"/>
      <c r="C10" s="18">
        <v>37.47</v>
      </c>
      <c r="D10" s="25">
        <f t="shared" si="0"/>
        <v>3.1299999999999955</v>
      </c>
      <c r="E10" s="18">
        <v>44.03</v>
      </c>
      <c r="F10" s="25">
        <f t="shared" si="1"/>
        <v>6.1899999999999977</v>
      </c>
      <c r="G10" s="18">
        <v>44.68</v>
      </c>
      <c r="H10" s="25">
        <f t="shared" si="2"/>
        <v>1.1000000000000014</v>
      </c>
      <c r="I10" s="18">
        <f>'Nov Data'!I10</f>
        <v>27.54</v>
      </c>
      <c r="J10" s="122">
        <f>'Nov Data'!J10</f>
        <v>-3.6500000000000021</v>
      </c>
      <c r="K10" s="19"/>
      <c r="L10" s="21">
        <v>19310</v>
      </c>
      <c r="M10" s="22"/>
      <c r="N10" s="91">
        <f t="shared" si="3"/>
        <v>515.34560982119035</v>
      </c>
      <c r="O10" s="22"/>
      <c r="P10" s="92">
        <f>L10/N10</f>
        <v>37.469999999999992</v>
      </c>
      <c r="Q10" s="22"/>
      <c r="R10" s="91">
        <f t="shared" si="4"/>
        <v>438.56461503520325</v>
      </c>
      <c r="S10" s="22"/>
      <c r="T10" s="92">
        <f>L10/R10</f>
        <v>44.03</v>
      </c>
      <c r="U10" s="22"/>
      <c r="V10" s="91">
        <f t="shared" si="5"/>
        <v>432.18442256042971</v>
      </c>
      <c r="W10" s="22"/>
      <c r="X10" s="92">
        <f>L10/V10</f>
        <v>44.68</v>
      </c>
      <c r="Y10" s="22"/>
      <c r="Z10" s="9">
        <f t="shared" si="7"/>
        <v>6.5600000000000094</v>
      </c>
      <c r="AA10" s="9">
        <f t="shared" si="8"/>
        <v>0.64999999999999858</v>
      </c>
      <c r="AB10" s="9">
        <f t="shared" si="9"/>
        <v>7.210000000000008</v>
      </c>
    </row>
    <row r="11" spans="1:28" x14ac:dyDescent="0.25">
      <c r="A11" s="11">
        <f t="shared" si="6"/>
        <v>37195</v>
      </c>
      <c r="B11" s="11"/>
      <c r="C11" s="46">
        <v>33.32</v>
      </c>
      <c r="D11" s="25">
        <f t="shared" si="0"/>
        <v>-4.1499999999999986</v>
      </c>
      <c r="E11" s="46">
        <v>40.36</v>
      </c>
      <c r="F11" s="25">
        <f t="shared" si="1"/>
        <v>-3.6700000000000017</v>
      </c>
      <c r="G11" s="46">
        <v>40.950000000000003</v>
      </c>
      <c r="H11" s="25">
        <f t="shared" si="2"/>
        <v>-3.7299999999999969</v>
      </c>
      <c r="I11" s="18">
        <f>'Nov Data'!I11</f>
        <v>22.26</v>
      </c>
      <c r="J11" s="122">
        <f>'Nov Data'!J11</f>
        <v>-5.2799999999999976</v>
      </c>
      <c r="K11" s="47"/>
      <c r="L11" s="52">
        <v>19485</v>
      </c>
      <c r="M11" s="49"/>
      <c r="N11" s="91">
        <f t="shared" si="3"/>
        <v>584.78391356542613</v>
      </c>
      <c r="O11" s="22"/>
      <c r="P11" s="92">
        <f>L11/$N$11</f>
        <v>33.32</v>
      </c>
      <c r="Q11" s="22"/>
      <c r="R11" s="91">
        <f t="shared" si="4"/>
        <v>482.77998017839445</v>
      </c>
      <c r="S11" s="22"/>
      <c r="T11" s="92">
        <f>L11/$R$11</f>
        <v>40.36</v>
      </c>
      <c r="U11" s="22"/>
      <c r="V11" s="91">
        <f t="shared" si="5"/>
        <v>475.82417582417577</v>
      </c>
      <c r="W11" s="22"/>
      <c r="X11" s="92">
        <f>L11/$V$11</f>
        <v>40.950000000000003</v>
      </c>
      <c r="Y11" s="22"/>
      <c r="Z11" s="9">
        <f t="shared" si="7"/>
        <v>7.0399999999999991</v>
      </c>
      <c r="AA11" s="9">
        <f t="shared" si="8"/>
        <v>0.59000000000000341</v>
      </c>
      <c r="AB11" s="9">
        <f t="shared" si="9"/>
        <v>7.6300000000000026</v>
      </c>
    </row>
    <row r="12" spans="1:28" x14ac:dyDescent="0.25">
      <c r="A12" s="11">
        <f t="shared" si="6"/>
        <v>37196</v>
      </c>
      <c r="B12" s="11"/>
      <c r="C12" s="26">
        <v>31.75</v>
      </c>
      <c r="D12" s="25">
        <f t="shared" si="0"/>
        <v>-1.5700000000000003</v>
      </c>
      <c r="E12" s="26">
        <v>40.32</v>
      </c>
      <c r="F12" s="25">
        <f t="shared" si="1"/>
        <v>-3.9999999999999147E-2</v>
      </c>
      <c r="G12" s="26">
        <v>40.98</v>
      </c>
      <c r="H12" s="25">
        <f t="shared" si="2"/>
        <v>2.9999999999994031E-2</v>
      </c>
      <c r="I12" s="18">
        <f>'Nov Data'!I12</f>
        <v>25.5</v>
      </c>
      <c r="J12" s="122">
        <f>'Nov Data'!J12</f>
        <v>3.2399999999999984</v>
      </c>
      <c r="K12" s="25"/>
      <c r="L12" s="21">
        <v>19408</v>
      </c>
      <c r="M12" s="27"/>
      <c r="N12" s="91">
        <f t="shared" si="3"/>
        <v>611.27559055118115</v>
      </c>
      <c r="O12" s="22"/>
      <c r="P12" s="92">
        <f>L12/$N$11</f>
        <v>33.188327431357457</v>
      </c>
      <c r="Q12" s="22"/>
      <c r="R12" s="91">
        <f t="shared" si="4"/>
        <v>481.34920634920633</v>
      </c>
      <c r="S12" s="22"/>
      <c r="T12" s="92">
        <f>L12/$R$11</f>
        <v>40.200507056710286</v>
      </c>
      <c r="U12" s="22"/>
      <c r="V12" s="91">
        <f t="shared" si="5"/>
        <v>473.59687652513423</v>
      </c>
      <c r="W12" s="22"/>
      <c r="X12" s="92">
        <f>L12/$V$11</f>
        <v>40.788175519630492</v>
      </c>
      <c r="Y12" s="22"/>
      <c r="Z12" s="9">
        <f t="shared" si="7"/>
        <v>7.0121796253528288</v>
      </c>
      <c r="AA12" s="9">
        <f t="shared" si="8"/>
        <v>0.58766846292020603</v>
      </c>
      <c r="AB12" s="9">
        <f t="shared" si="9"/>
        <v>7.5998480882730348</v>
      </c>
    </row>
    <row r="13" spans="1:28" x14ac:dyDescent="0.25">
      <c r="A13" s="11">
        <f t="shared" si="6"/>
        <v>37197</v>
      </c>
      <c r="B13" s="11"/>
      <c r="C13" s="26">
        <v>31.96</v>
      </c>
      <c r="D13" s="25">
        <f t="shared" si="0"/>
        <v>0.21000000000000085</v>
      </c>
      <c r="E13" s="26">
        <v>39.39</v>
      </c>
      <c r="F13" s="25">
        <f t="shared" si="1"/>
        <v>-0.92999999999999972</v>
      </c>
      <c r="G13" s="26">
        <v>40.83</v>
      </c>
      <c r="H13" s="25">
        <f t="shared" si="2"/>
        <v>-0.14999999999999858</v>
      </c>
      <c r="I13" s="18">
        <f>'Nov Data'!I13</f>
        <v>20.100000000000001</v>
      </c>
      <c r="J13" s="122">
        <f>'Nov Data'!J13</f>
        <v>-5.3999999999999986</v>
      </c>
      <c r="K13" s="25"/>
      <c r="L13" s="21">
        <v>19122</v>
      </c>
      <c r="M13" s="27"/>
      <c r="N13" s="91">
        <f t="shared" si="3"/>
        <v>598.31038798498116</v>
      </c>
      <c r="O13" s="22"/>
      <c r="P13" s="92">
        <f>L13/$N$12</f>
        <v>31.282125927452594</v>
      </c>
      <c r="Q13" s="22"/>
      <c r="R13" s="91">
        <f t="shared" si="4"/>
        <v>485.45316070068543</v>
      </c>
      <c r="S13" s="22"/>
      <c r="T13" s="92">
        <f>L13/$R$12</f>
        <v>39.725836768342951</v>
      </c>
      <c r="U13" s="22"/>
      <c r="V13" s="91">
        <f t="shared" si="5"/>
        <v>468.33210874357093</v>
      </c>
      <c r="W13" s="22"/>
      <c r="X13" s="92">
        <f>L13/$V$12</f>
        <v>40.376110882110467</v>
      </c>
      <c r="Y13" s="22"/>
      <c r="Z13" s="9">
        <f t="shared" si="7"/>
        <v>8.4437108408903576</v>
      </c>
      <c r="AA13" s="9">
        <f t="shared" si="8"/>
        <v>0.65027411376751587</v>
      </c>
      <c r="AB13" s="9">
        <f t="shared" si="9"/>
        <v>9.0939849546578735</v>
      </c>
    </row>
    <row r="14" spans="1:28" s="31" customFormat="1" x14ac:dyDescent="0.25">
      <c r="A14" s="30">
        <f t="shared" si="6"/>
        <v>37198</v>
      </c>
      <c r="B14" s="30"/>
      <c r="C14" s="36">
        <v>29.52</v>
      </c>
      <c r="D14" s="37">
        <f t="shared" si="0"/>
        <v>-2.4400000000000013</v>
      </c>
      <c r="E14" s="36">
        <v>36.14</v>
      </c>
      <c r="F14" s="37">
        <f t="shared" si="1"/>
        <v>-3.25</v>
      </c>
      <c r="G14" s="36">
        <v>36.46</v>
      </c>
      <c r="H14" s="37">
        <f t="shared" si="2"/>
        <v>-4.3699999999999974</v>
      </c>
      <c r="I14" s="32">
        <f>'Nov Data'!I14</f>
        <v>21.29</v>
      </c>
      <c r="J14" s="123">
        <f>'Nov Data'!J14</f>
        <v>1.1899999999999977</v>
      </c>
      <c r="K14" s="37"/>
      <c r="L14" s="38">
        <v>16843</v>
      </c>
      <c r="M14" s="39"/>
      <c r="N14" s="41">
        <f t="shared" si="3"/>
        <v>570.56233062330625</v>
      </c>
      <c r="O14" s="35"/>
      <c r="P14" s="39">
        <f>L14/$N$13</f>
        <v>28.150940278213579</v>
      </c>
      <c r="Q14" s="35"/>
      <c r="R14" s="41">
        <f t="shared" si="4"/>
        <v>466.04869950193688</v>
      </c>
      <c r="S14" s="35"/>
      <c r="T14" s="39">
        <f>L14/$R$13</f>
        <v>34.69541732036398</v>
      </c>
      <c r="U14" s="35"/>
      <c r="V14" s="41">
        <f t="shared" si="5"/>
        <v>461.95831047723533</v>
      </c>
      <c r="W14" s="35"/>
      <c r="X14" s="39">
        <f>L14/$V$13</f>
        <v>35.963795105114528</v>
      </c>
      <c r="Y14" s="35"/>
      <c r="Z14" s="108">
        <f t="shared" si="7"/>
        <v>6.544477042150401</v>
      </c>
      <c r="AA14" s="108">
        <f t="shared" si="8"/>
        <v>1.2683777847505482</v>
      </c>
      <c r="AB14" s="108">
        <f t="shared" si="9"/>
        <v>7.8128548269009492</v>
      </c>
    </row>
    <row r="15" spans="1:28" s="31" customFormat="1" x14ac:dyDescent="0.25">
      <c r="A15" s="30">
        <f t="shared" si="6"/>
        <v>37199</v>
      </c>
      <c r="B15" s="30"/>
      <c r="C15" s="36">
        <v>26.75</v>
      </c>
      <c r="D15" s="37">
        <f t="shared" si="0"/>
        <v>-2.7699999999999996</v>
      </c>
      <c r="E15" s="36">
        <v>32.93</v>
      </c>
      <c r="F15" s="37">
        <f t="shared" si="1"/>
        <v>-3.2100000000000009</v>
      </c>
      <c r="G15" s="36">
        <v>33.479999999999997</v>
      </c>
      <c r="H15" s="37">
        <f t="shared" si="2"/>
        <v>-2.980000000000004</v>
      </c>
      <c r="I15" s="32">
        <f>'Nov Data'!I15</f>
        <v>21.73</v>
      </c>
      <c r="J15" s="123">
        <f>'Nov Data'!J15</f>
        <v>0.44000000000000128</v>
      </c>
      <c r="K15" s="37"/>
      <c r="L15" s="38">
        <v>16392</v>
      </c>
      <c r="M15" s="39"/>
      <c r="N15" s="41">
        <f t="shared" si="3"/>
        <v>612.78504672897191</v>
      </c>
      <c r="O15" s="35"/>
      <c r="P15" s="39">
        <f>L15/$N$14</f>
        <v>28.729551742563675</v>
      </c>
      <c r="Q15" s="35"/>
      <c r="R15" s="41">
        <f t="shared" si="4"/>
        <v>497.78317643486184</v>
      </c>
      <c r="S15" s="35"/>
      <c r="T15" s="39">
        <f>L15/$R$14</f>
        <v>35.172289972095236</v>
      </c>
      <c r="U15" s="35"/>
      <c r="V15" s="41">
        <f t="shared" si="5"/>
        <v>489.60573476702513</v>
      </c>
      <c r="W15" s="35"/>
      <c r="X15" s="39">
        <f>L15/$V$14</f>
        <v>35.483721427299173</v>
      </c>
      <c r="Y15" s="35"/>
      <c r="Z15" s="108">
        <f t="shared" si="7"/>
        <v>6.4427382295315603</v>
      </c>
      <c r="AA15" s="108">
        <f t="shared" si="8"/>
        <v>0.31143145520393745</v>
      </c>
      <c r="AB15" s="108">
        <f t="shared" si="9"/>
        <v>6.7541696847354977</v>
      </c>
    </row>
    <row r="16" spans="1:28" x14ac:dyDescent="0.25">
      <c r="A16" s="11">
        <f t="shared" si="6"/>
        <v>37200</v>
      </c>
      <c r="B16" s="11"/>
      <c r="C16" s="26">
        <v>32.29</v>
      </c>
      <c r="D16" s="107">
        <f t="shared" si="0"/>
        <v>5.5399999999999991</v>
      </c>
      <c r="E16" s="26">
        <v>39.08</v>
      </c>
      <c r="F16" s="107">
        <f t="shared" si="1"/>
        <v>6.1499999999999986</v>
      </c>
      <c r="G16" s="26">
        <v>39.18</v>
      </c>
      <c r="H16" s="107">
        <f t="shared" si="2"/>
        <v>5.7000000000000028</v>
      </c>
      <c r="I16" s="18">
        <f>'Nov Data'!I16</f>
        <v>27.81</v>
      </c>
      <c r="J16" s="122">
        <f>'Nov Data'!J16</f>
        <v>6.0799999999999983</v>
      </c>
      <c r="K16" s="25"/>
      <c r="L16" s="21">
        <v>19452</v>
      </c>
      <c r="M16" s="27"/>
      <c r="N16" s="91">
        <f t="shared" si="3"/>
        <v>602.415608547538</v>
      </c>
      <c r="O16" s="22"/>
      <c r="P16" s="92">
        <f>L16/$N$13</f>
        <v>32.511553184813309</v>
      </c>
      <c r="Q16" s="22"/>
      <c r="R16" s="91">
        <f t="shared" si="4"/>
        <v>497.74820880245653</v>
      </c>
      <c r="S16" s="22"/>
      <c r="T16" s="92">
        <f>L16/$R$13</f>
        <v>40.069777219956073</v>
      </c>
      <c r="U16" s="22"/>
      <c r="V16" s="91">
        <f t="shared" si="5"/>
        <v>496.47779479326186</v>
      </c>
      <c r="W16" s="22"/>
      <c r="X16" s="92">
        <f>L16/$V$13</f>
        <v>41.534628176968937</v>
      </c>
      <c r="Y16" s="22"/>
      <c r="Z16" s="9">
        <f t="shared" si="7"/>
        <v>7.5582240351427643</v>
      </c>
      <c r="AA16" s="9">
        <f t="shared" si="8"/>
        <v>1.4648509570128638</v>
      </c>
      <c r="AB16" s="9">
        <f t="shared" si="9"/>
        <v>9.0230749921556281</v>
      </c>
    </row>
    <row r="17" spans="1:28" x14ac:dyDescent="0.25">
      <c r="A17" s="11">
        <f t="shared" si="6"/>
        <v>37201</v>
      </c>
      <c r="C17" s="26">
        <v>32.130000000000003</v>
      </c>
      <c r="D17" s="107">
        <f t="shared" si="0"/>
        <v>-0.15999999999999659</v>
      </c>
      <c r="E17" s="26">
        <v>38.270000000000003</v>
      </c>
      <c r="F17" s="107">
        <f t="shared" si="1"/>
        <v>-0.80999999999999517</v>
      </c>
      <c r="G17" s="26">
        <v>38.450000000000003</v>
      </c>
      <c r="H17" s="107">
        <f t="shared" si="2"/>
        <v>-0.72999999999999687</v>
      </c>
      <c r="I17" s="18">
        <f>'Nov Data'!I17</f>
        <v>24.98</v>
      </c>
      <c r="J17" s="122">
        <f>'Nov Data'!J17</f>
        <v>-2.8299999999999983</v>
      </c>
      <c r="K17" s="25"/>
      <c r="L17" s="21">
        <v>19509</v>
      </c>
      <c r="M17" s="22"/>
      <c r="N17" s="91">
        <f t="shared" si="3"/>
        <v>607.18954248366003</v>
      </c>
      <c r="O17" s="22"/>
      <c r="P17" s="92">
        <f>L17/$N$16</f>
        <v>32.384619062307216</v>
      </c>
      <c r="Q17" s="22"/>
      <c r="R17" s="91">
        <f t="shared" si="4"/>
        <v>509.77266788607261</v>
      </c>
      <c r="S17" s="22"/>
      <c r="T17" s="92">
        <f>L17/$R$16</f>
        <v>39.194515731030229</v>
      </c>
      <c r="U17" s="22"/>
      <c r="V17" s="91">
        <f t="shared" si="5"/>
        <v>507.38621586475938</v>
      </c>
      <c r="W17" s="22"/>
      <c r="X17" s="92">
        <f>L17/$V$16</f>
        <v>39.294808760024679</v>
      </c>
      <c r="Y17" s="22"/>
      <c r="Z17" s="9">
        <f t="shared" si="7"/>
        <v>6.8098966687230131</v>
      </c>
      <c r="AA17" s="9">
        <f t="shared" si="8"/>
        <v>0.10029302899445014</v>
      </c>
      <c r="AB17" s="9">
        <f t="shared" si="9"/>
        <v>6.9101896977174633</v>
      </c>
    </row>
    <row r="18" spans="1:28" x14ac:dyDescent="0.25">
      <c r="A18" s="11">
        <f t="shared" si="6"/>
        <v>37202</v>
      </c>
      <c r="C18" s="18">
        <v>28.54</v>
      </c>
      <c r="D18" s="107">
        <f t="shared" si="0"/>
        <v>-3.5900000000000034</v>
      </c>
      <c r="E18" s="18">
        <v>35.08</v>
      </c>
      <c r="F18" s="107">
        <f t="shared" si="1"/>
        <v>-3.1900000000000048</v>
      </c>
      <c r="G18" s="18">
        <v>37.630000000000003</v>
      </c>
      <c r="H18" s="107">
        <f t="shared" si="2"/>
        <v>-0.82000000000000028</v>
      </c>
      <c r="I18" s="18">
        <f>'Nov Data'!I18</f>
        <v>27.3</v>
      </c>
      <c r="J18" s="122">
        <f>'Nov Data'!J18</f>
        <v>2.3200000000000003</v>
      </c>
      <c r="K18" s="25"/>
      <c r="L18" s="21">
        <v>19287</v>
      </c>
      <c r="M18" s="22"/>
      <c r="N18" s="91">
        <f t="shared" si="3"/>
        <v>675.78836720392428</v>
      </c>
      <c r="O18" s="22"/>
      <c r="P18" s="92">
        <f>L18/$N$17</f>
        <v>31.764381054897743</v>
      </c>
      <c r="Q18" s="22"/>
      <c r="R18" s="91">
        <f t="shared" si="4"/>
        <v>549.8004561003421</v>
      </c>
      <c r="S18" s="22"/>
      <c r="T18" s="92">
        <f>L18/$R$17</f>
        <v>37.834511763801324</v>
      </c>
      <c r="U18" s="22"/>
      <c r="V18" s="91">
        <f t="shared" si="5"/>
        <v>512.54318363008235</v>
      </c>
      <c r="W18" s="22"/>
      <c r="X18" s="92">
        <f>L18/$V$17</f>
        <v>38.012463478394594</v>
      </c>
      <c r="Y18" s="22"/>
      <c r="Z18" s="9">
        <f t="shared" si="7"/>
        <v>6.0701307089035801</v>
      </c>
      <c r="AA18" s="9">
        <f t="shared" si="8"/>
        <v>0.17795171459327008</v>
      </c>
      <c r="AB18" s="9">
        <f t="shared" si="9"/>
        <v>6.2480824234968502</v>
      </c>
    </row>
    <row r="19" spans="1:28" x14ac:dyDescent="0.25">
      <c r="A19" s="11">
        <f t="shared" si="6"/>
        <v>37203</v>
      </c>
      <c r="C19" s="18">
        <v>27.33</v>
      </c>
      <c r="D19" s="107">
        <f t="shared" si="0"/>
        <v>-1.2100000000000009</v>
      </c>
      <c r="E19" s="18">
        <v>33.07</v>
      </c>
      <c r="F19" s="107">
        <f t="shared" si="1"/>
        <v>-2.009999999999998</v>
      </c>
      <c r="G19" s="18">
        <v>38.229999999999997</v>
      </c>
      <c r="H19" s="107">
        <f t="shared" si="2"/>
        <v>0.59999999999999432</v>
      </c>
      <c r="I19" s="18">
        <f>'Nov Data'!I19</f>
        <v>21.63</v>
      </c>
      <c r="J19" s="122">
        <f>'Nov Data'!J19</f>
        <v>-5.6700000000000017</v>
      </c>
      <c r="K19" s="19"/>
      <c r="L19" s="21">
        <v>19296</v>
      </c>
      <c r="M19" s="22"/>
      <c r="N19" s="91">
        <f t="shared" si="3"/>
        <v>706.03732162458846</v>
      </c>
      <c r="O19" s="22"/>
      <c r="P19" s="92">
        <f>L19/$N$18</f>
        <v>28.553317778814748</v>
      </c>
      <c r="Q19" s="22"/>
      <c r="R19" s="91">
        <f t="shared" si="4"/>
        <v>583.48956758391296</v>
      </c>
      <c r="S19" s="22"/>
      <c r="T19" s="92">
        <f>L19/$R$18</f>
        <v>35.096369575361642</v>
      </c>
      <c r="U19" s="22"/>
      <c r="V19" s="91">
        <f t="shared" si="5"/>
        <v>504.73450170023546</v>
      </c>
      <c r="W19" s="22"/>
      <c r="X19" s="92">
        <f>L19/$V$18</f>
        <v>37.647559496033601</v>
      </c>
      <c r="Y19" s="22"/>
      <c r="Z19" s="9">
        <f t="shared" si="7"/>
        <v>6.5430517965468944</v>
      </c>
      <c r="AA19" s="9">
        <f t="shared" si="8"/>
        <v>2.551189920671959</v>
      </c>
      <c r="AB19" s="9">
        <f t="shared" si="9"/>
        <v>9.0942417172188534</v>
      </c>
    </row>
    <row r="20" spans="1:28" x14ac:dyDescent="0.25">
      <c r="A20" s="11">
        <f t="shared" si="6"/>
        <v>37204</v>
      </c>
      <c r="C20" s="18">
        <v>26.99</v>
      </c>
      <c r="D20" s="107">
        <f t="shared" si="0"/>
        <v>-0.33999999999999986</v>
      </c>
      <c r="E20" s="18">
        <v>33.53</v>
      </c>
      <c r="F20" s="107">
        <f t="shared" si="1"/>
        <v>0.46000000000000085</v>
      </c>
      <c r="G20" s="18">
        <v>38.79</v>
      </c>
      <c r="H20" s="107">
        <f t="shared" si="2"/>
        <v>0.56000000000000227</v>
      </c>
      <c r="I20" s="18">
        <f>'Nov Data'!I20</f>
        <v>21.46</v>
      </c>
      <c r="J20" s="122">
        <f>'Nov Data'!J20</f>
        <v>-0.16999999999999815</v>
      </c>
      <c r="K20" s="19"/>
      <c r="L20" s="21">
        <v>19081</v>
      </c>
      <c r="M20" s="22"/>
      <c r="N20" s="91">
        <f t="shared" si="3"/>
        <v>706.96554279362726</v>
      </c>
      <c r="O20" s="22"/>
      <c r="P20" s="92">
        <f>L20/$N$19</f>
        <v>27.025483519900494</v>
      </c>
      <c r="Q20" s="22"/>
      <c r="R20" s="91">
        <f t="shared" si="4"/>
        <v>569.07247241276468</v>
      </c>
      <c r="S20" s="22"/>
      <c r="T20" s="92">
        <f>L20/$R$19</f>
        <v>32.701527259535652</v>
      </c>
      <c r="U20" s="22"/>
      <c r="V20" s="91">
        <f t="shared" si="5"/>
        <v>491.90513018819286</v>
      </c>
      <c r="W20" s="22"/>
      <c r="X20" s="92">
        <f>L20/$V$19</f>
        <v>37.804033478441127</v>
      </c>
      <c r="Y20" s="22"/>
      <c r="Z20" s="9">
        <f t="shared" si="7"/>
        <v>5.6760437396351584</v>
      </c>
      <c r="AA20" s="9">
        <f t="shared" si="8"/>
        <v>5.1025062189054751</v>
      </c>
      <c r="AB20" s="9">
        <f t="shared" si="9"/>
        <v>10.778549958540633</v>
      </c>
    </row>
    <row r="21" spans="1:28" s="31" customFormat="1" x14ac:dyDescent="0.25">
      <c r="A21" s="30">
        <f t="shared" si="6"/>
        <v>37205</v>
      </c>
      <c r="C21" s="36">
        <v>24.5</v>
      </c>
      <c r="D21" s="37">
        <f t="shared" si="0"/>
        <v>-2.4899999999999984</v>
      </c>
      <c r="E21" s="32">
        <v>29.35</v>
      </c>
      <c r="F21" s="37">
        <f t="shared" si="1"/>
        <v>-4.18</v>
      </c>
      <c r="G21" s="32">
        <v>35.04</v>
      </c>
      <c r="H21" s="37">
        <f t="shared" si="2"/>
        <v>-3.75</v>
      </c>
      <c r="I21" s="32">
        <f>'Nov Data'!I21</f>
        <v>20.63</v>
      </c>
      <c r="J21" s="123">
        <f>'Nov Data'!J21</f>
        <v>-0.83000000000000185</v>
      </c>
      <c r="K21" s="33"/>
      <c r="L21" s="38">
        <v>17373</v>
      </c>
      <c r="M21" s="35"/>
      <c r="N21" s="41">
        <f t="shared" si="3"/>
        <v>709.10204081632651</v>
      </c>
      <c r="O21" s="35"/>
      <c r="P21" s="39">
        <f>L21/$N$20</f>
        <v>24.574040668728053</v>
      </c>
      <c r="Q21" s="35"/>
      <c r="R21" s="41">
        <f t="shared" si="4"/>
        <v>591.92504258943779</v>
      </c>
      <c r="S21" s="35"/>
      <c r="T21" s="39">
        <f>L21/$R$20</f>
        <v>30.528624810020439</v>
      </c>
      <c r="U21" s="35"/>
      <c r="V21" s="41">
        <f t="shared" si="5"/>
        <v>495.80479452054794</v>
      </c>
      <c r="W21" s="35"/>
      <c r="X21" s="39">
        <f>L21/$V$20</f>
        <v>35.317785755463547</v>
      </c>
      <c r="Y21" s="35"/>
      <c r="Z21" s="108">
        <f t="shared" si="7"/>
        <v>5.9545841412923863</v>
      </c>
      <c r="AA21" s="108">
        <f t="shared" si="8"/>
        <v>4.7891609454431077</v>
      </c>
      <c r="AB21" s="108">
        <f t="shared" si="9"/>
        <v>10.743745086735494</v>
      </c>
    </row>
    <row r="22" spans="1:28" s="31" customFormat="1" x14ac:dyDescent="0.25">
      <c r="A22" s="30">
        <f t="shared" si="6"/>
        <v>37206</v>
      </c>
      <c r="C22" s="32">
        <v>23.34</v>
      </c>
      <c r="D22" s="37">
        <f t="shared" si="0"/>
        <v>-1.1600000000000001</v>
      </c>
      <c r="E22" s="32">
        <v>28.26</v>
      </c>
      <c r="F22" s="37">
        <f t="shared" si="1"/>
        <v>-1.0899999999999999</v>
      </c>
      <c r="G22" s="32">
        <v>31.26</v>
      </c>
      <c r="H22" s="37">
        <f t="shared" si="2"/>
        <v>-3.7799999999999976</v>
      </c>
      <c r="I22" s="32">
        <f>'Nov Data'!I22</f>
        <v>22.34</v>
      </c>
      <c r="J22" s="123">
        <f>'Nov Data'!J22</f>
        <v>1.7100000000000009</v>
      </c>
      <c r="K22" s="33"/>
      <c r="L22" s="38">
        <v>16349</v>
      </c>
      <c r="M22" s="35"/>
      <c r="N22" s="41">
        <f t="shared" si="3"/>
        <v>700.47129391602402</v>
      </c>
      <c r="O22" s="35"/>
      <c r="P22" s="39">
        <f>L22/$N$21</f>
        <v>23.055920105911472</v>
      </c>
      <c r="Q22" s="35"/>
      <c r="R22" s="41">
        <f t="shared" si="4"/>
        <v>578.52087756546348</v>
      </c>
      <c r="S22" s="35"/>
      <c r="T22" s="39">
        <f>L22/$R$21</f>
        <v>27.620051228918438</v>
      </c>
      <c r="U22" s="35"/>
      <c r="V22" s="41">
        <f t="shared" si="5"/>
        <v>523.00063979526544</v>
      </c>
      <c r="W22" s="35"/>
      <c r="X22" s="39">
        <f>L22/$V$21</f>
        <v>32.974671041270938</v>
      </c>
      <c r="Y22" s="35"/>
      <c r="Z22" s="108">
        <f t="shared" si="7"/>
        <v>4.5641311230069661</v>
      </c>
      <c r="AA22" s="108">
        <f t="shared" si="8"/>
        <v>5.3546198123524995</v>
      </c>
      <c r="AB22" s="108">
        <f t="shared" si="9"/>
        <v>9.9187509353594656</v>
      </c>
    </row>
    <row r="23" spans="1:28" x14ac:dyDescent="0.25">
      <c r="A23" s="11">
        <f t="shared" si="6"/>
        <v>37207</v>
      </c>
      <c r="C23" s="26">
        <v>28.02</v>
      </c>
      <c r="D23" s="107">
        <f t="shared" si="0"/>
        <v>4.68</v>
      </c>
      <c r="E23" s="26">
        <v>33.770000000000003</v>
      </c>
      <c r="F23" s="107">
        <f t="shared" si="1"/>
        <v>5.5100000000000016</v>
      </c>
      <c r="G23" s="18">
        <v>41.87</v>
      </c>
      <c r="H23" s="107">
        <f t="shared" si="2"/>
        <v>10.609999999999996</v>
      </c>
      <c r="I23" s="18">
        <f>'Nov Data'!I23</f>
        <v>27.93</v>
      </c>
      <c r="J23" s="122">
        <f>'Nov Data'!J23</f>
        <v>5.59</v>
      </c>
      <c r="K23" s="19"/>
      <c r="L23" s="21">
        <v>19690</v>
      </c>
      <c r="M23" s="22"/>
      <c r="N23" s="91">
        <f t="shared" si="3"/>
        <v>702.71234832262667</v>
      </c>
      <c r="O23" s="22"/>
      <c r="P23" s="92">
        <f>L23/$N$21</f>
        <v>27.767512807229611</v>
      </c>
      <c r="Q23" s="22"/>
      <c r="R23" s="91">
        <f t="shared" si="4"/>
        <v>583.06188925081426</v>
      </c>
      <c r="S23" s="22"/>
      <c r="T23" s="92">
        <f>L23/$R$21</f>
        <v>33.264346975191387</v>
      </c>
      <c r="U23" s="22"/>
      <c r="V23" s="91">
        <f t="shared" si="5"/>
        <v>470.26510628134707</v>
      </c>
      <c r="W23" s="22"/>
      <c r="X23" s="92">
        <f>L23/$V$21</f>
        <v>39.713210153686752</v>
      </c>
      <c r="Y23" s="22"/>
      <c r="Z23" s="9">
        <f>T23-P23</f>
        <v>5.4968341679617758</v>
      </c>
      <c r="AA23" s="9">
        <f>X23-T23</f>
        <v>6.4488631784953654</v>
      </c>
      <c r="AB23" s="9">
        <f>X23-P23</f>
        <v>11.945697346457141</v>
      </c>
    </row>
    <row r="24" spans="1:28" x14ac:dyDescent="0.25">
      <c r="A24" s="11">
        <f t="shared" si="6"/>
        <v>37208</v>
      </c>
      <c r="C24" s="18">
        <v>27.72</v>
      </c>
      <c r="D24" s="107">
        <f t="shared" si="0"/>
        <v>-0.30000000000000071</v>
      </c>
      <c r="E24" s="18">
        <v>34.590000000000003</v>
      </c>
      <c r="F24" s="107">
        <f t="shared" si="1"/>
        <v>0.82000000000000028</v>
      </c>
      <c r="G24" s="18">
        <v>40.67</v>
      </c>
      <c r="H24" s="107">
        <f t="shared" si="2"/>
        <v>-1.1999999999999957</v>
      </c>
      <c r="I24" s="18">
        <f>'Nov Data'!I24</f>
        <v>26.31</v>
      </c>
      <c r="J24" s="122">
        <f>'Nov Data'!J24</f>
        <v>-1.620000000000001</v>
      </c>
      <c r="K24" s="19"/>
      <c r="L24" s="21">
        <v>19604</v>
      </c>
      <c r="M24" s="22"/>
      <c r="N24" s="91">
        <f t="shared" si="3"/>
        <v>707.21500721500729</v>
      </c>
      <c r="O24" s="22"/>
      <c r="P24" s="92">
        <f>L24/$N$23</f>
        <v>27.897617064499748</v>
      </c>
      <c r="Q24" s="22"/>
      <c r="R24" s="91">
        <f t="shared" si="4"/>
        <v>566.75339693553042</v>
      </c>
      <c r="S24" s="22"/>
      <c r="T24" s="92">
        <f>L24/$R$23</f>
        <v>33.622502793296093</v>
      </c>
      <c r="U24" s="22"/>
      <c r="V24" s="91">
        <f t="shared" si="5"/>
        <v>482.02606343742315</v>
      </c>
      <c r="W24" s="22"/>
      <c r="X24" s="92">
        <f>L24/$V$23</f>
        <v>41.687124428643976</v>
      </c>
      <c r="Y24" s="22"/>
      <c r="Z24" s="9">
        <f>T24-P24</f>
        <v>5.7248857287963446</v>
      </c>
      <c r="AA24" s="9">
        <f>X24-T24</f>
        <v>8.0646216353478835</v>
      </c>
      <c r="AB24" s="9">
        <f>X24-P24</f>
        <v>13.789507364144228</v>
      </c>
    </row>
    <row r="25" spans="1:28" x14ac:dyDescent="0.25">
      <c r="A25" s="11">
        <f t="shared" si="6"/>
        <v>37209</v>
      </c>
      <c r="C25" s="18">
        <v>27.32</v>
      </c>
      <c r="D25" s="107">
        <f t="shared" si="0"/>
        <v>-0.39999999999999858</v>
      </c>
      <c r="E25" s="18">
        <v>33.14</v>
      </c>
      <c r="F25" s="107">
        <f t="shared" si="1"/>
        <v>-1.4500000000000028</v>
      </c>
      <c r="G25" s="18">
        <v>40.44</v>
      </c>
      <c r="H25" s="107">
        <f t="shared" si="2"/>
        <v>-0.23000000000000398</v>
      </c>
      <c r="I25" s="18">
        <f>'Nov Data'!I25</f>
        <v>25.69</v>
      </c>
      <c r="J25" s="122">
        <f>'Nov Data'!J25</f>
        <v>-0.61999999999999744</v>
      </c>
      <c r="K25" s="19"/>
      <c r="L25" s="21">
        <v>19406</v>
      </c>
      <c r="M25" s="22"/>
      <c r="N25" s="91">
        <f t="shared" si="3"/>
        <v>710.32210834553439</v>
      </c>
      <c r="O25" s="22"/>
      <c r="P25" s="92">
        <f>L25/$N$24</f>
        <v>27.440028565598855</v>
      </c>
      <c r="Q25" s="22"/>
      <c r="R25" s="91">
        <f t="shared" si="4"/>
        <v>585.57634278817136</v>
      </c>
      <c r="S25" s="22"/>
      <c r="T25" s="92">
        <f>L25/$R$24</f>
        <v>34.240641705774337</v>
      </c>
      <c r="U25" s="22"/>
      <c r="V25" s="91">
        <f t="shared" si="5"/>
        <v>479.87141444114741</v>
      </c>
      <c r="W25" s="22"/>
      <c r="X25" s="92">
        <f>L25/$V$24</f>
        <v>40.259233829830649</v>
      </c>
      <c r="Y25" s="22"/>
      <c r="Z25" s="9">
        <f>T25-P25</f>
        <v>6.8006131401754821</v>
      </c>
      <c r="AA25" s="9">
        <f>X25-T25</f>
        <v>6.0185921240563118</v>
      </c>
      <c r="AB25" s="9">
        <f>X25-P25</f>
        <v>12.819205264231794</v>
      </c>
    </row>
    <row r="26" spans="1:28" x14ac:dyDescent="0.25">
      <c r="A26" s="11">
        <f t="shared" si="6"/>
        <v>37210</v>
      </c>
      <c r="C26" s="26">
        <v>26.4</v>
      </c>
      <c r="D26" s="107">
        <f t="shared" si="0"/>
        <v>-0.92000000000000171</v>
      </c>
      <c r="E26" s="18">
        <v>34.090000000000003</v>
      </c>
      <c r="F26" s="107">
        <f t="shared" si="1"/>
        <v>0.95000000000000284</v>
      </c>
      <c r="G26" s="18">
        <v>40.32</v>
      </c>
      <c r="H26" s="107">
        <f t="shared" si="2"/>
        <v>-0.11999999999999744</v>
      </c>
      <c r="I26" s="18">
        <f>'Nov Data'!I26</f>
        <v>24.79</v>
      </c>
      <c r="J26" s="122">
        <f>'Nov Data'!J26</f>
        <v>-0.90000000000000213</v>
      </c>
      <c r="K26" s="19"/>
      <c r="L26" s="21">
        <v>19329</v>
      </c>
      <c r="M26" s="22"/>
      <c r="N26" s="91">
        <f t="shared" si="3"/>
        <v>732.15909090909099</v>
      </c>
      <c r="O26" s="22"/>
      <c r="P26" s="92">
        <f>L26/$N$24</f>
        <v>27.331150785553966</v>
      </c>
      <c r="Q26" s="22"/>
      <c r="R26" s="91">
        <f t="shared" si="4"/>
        <v>566.9991199765326</v>
      </c>
      <c r="S26" s="22"/>
      <c r="T26" s="92">
        <f>L26/$R$24</f>
        <v>34.104780146908801</v>
      </c>
      <c r="U26" s="22"/>
      <c r="V26" s="91">
        <f t="shared" si="5"/>
        <v>479.38988095238096</v>
      </c>
      <c r="W26" s="22"/>
      <c r="X26" s="92">
        <f>L26/$V$24</f>
        <v>40.099491430320342</v>
      </c>
      <c r="Y26" s="22"/>
      <c r="Z26" s="9">
        <f>T26-P26</f>
        <v>6.7736293613548355</v>
      </c>
      <c r="AA26" s="9">
        <f>X26-T26</f>
        <v>5.9947112834115401</v>
      </c>
      <c r="AB26" s="9">
        <f>X26-P26</f>
        <v>12.768340644766376</v>
      </c>
    </row>
    <row r="27" spans="1:28" x14ac:dyDescent="0.25">
      <c r="A27" s="11">
        <f t="shared" si="6"/>
        <v>37211</v>
      </c>
      <c r="C27" s="18">
        <v>25.57</v>
      </c>
      <c r="D27" s="107">
        <f t="shared" si="0"/>
        <v>-0.82999999999999829</v>
      </c>
      <c r="E27" s="18">
        <v>32.78</v>
      </c>
      <c r="F27" s="107">
        <f t="shared" si="1"/>
        <v>-1.3100000000000023</v>
      </c>
      <c r="G27" s="18">
        <v>46.99</v>
      </c>
      <c r="H27" s="107">
        <f t="shared" si="2"/>
        <v>6.6700000000000017</v>
      </c>
      <c r="I27" s="18">
        <f>'Nov Data'!I27</f>
        <v>29.49</v>
      </c>
      <c r="J27" s="122">
        <f>'Nov Data'!J27</f>
        <v>4.6999999999999993</v>
      </c>
      <c r="K27" s="19"/>
      <c r="L27" s="21">
        <v>18972</v>
      </c>
      <c r="M27" s="22"/>
      <c r="N27" s="91">
        <f t="shared" si="3"/>
        <v>741.96323816973018</v>
      </c>
      <c r="O27" s="22"/>
      <c r="P27" s="92">
        <f>L27/$N$45</f>
        <v>26.391259854014535</v>
      </c>
      <c r="Q27" s="22"/>
      <c r="R27" s="91">
        <f t="shared" si="4"/>
        <v>578.76754118364852</v>
      </c>
      <c r="S27" s="22"/>
      <c r="T27" s="92">
        <f>L27/$R$45</f>
        <v>32.924258387610216</v>
      </c>
      <c r="U27" s="22"/>
      <c r="V27" s="91">
        <f t="shared" si="5"/>
        <v>403.7454777612258</v>
      </c>
      <c r="W27" s="22"/>
      <c r="X27" s="92">
        <f>L27/$V$45</f>
        <v>40.970968894944434</v>
      </c>
      <c r="Y27" s="22"/>
      <c r="Z27" s="9">
        <f>T27-P27</f>
        <v>6.5329985335956806</v>
      </c>
      <c r="AA27" s="9">
        <f>X27-T27</f>
        <v>8.0467105073342182</v>
      </c>
      <c r="AB27" s="9">
        <f>X27-P27</f>
        <v>14.579709040929899</v>
      </c>
    </row>
    <row r="28" spans="1:28" s="31" customFormat="1" x14ac:dyDescent="0.25">
      <c r="A28" s="30">
        <f t="shared" si="6"/>
        <v>37212</v>
      </c>
      <c r="C28" s="32">
        <v>24.02</v>
      </c>
      <c r="D28" s="37">
        <f t="shared" si="0"/>
        <v>-1.5500000000000007</v>
      </c>
      <c r="E28" s="36">
        <v>29.92</v>
      </c>
      <c r="F28" s="37">
        <f t="shared" si="1"/>
        <v>-2.8599999999999994</v>
      </c>
      <c r="G28" s="32">
        <v>32.82</v>
      </c>
      <c r="H28" s="37">
        <f t="shared" si="2"/>
        <v>-14.170000000000002</v>
      </c>
      <c r="I28" s="32">
        <f>'Nov Data'!I28</f>
        <v>21.45</v>
      </c>
      <c r="J28" s="123">
        <f>'Nov Data'!J28</f>
        <v>-8.0399999999999991</v>
      </c>
      <c r="K28" s="33"/>
      <c r="L28" s="38">
        <v>16801</v>
      </c>
      <c r="M28" s="35"/>
      <c r="N28" s="41">
        <f t="shared" si="3"/>
        <v>699.45878434637802</v>
      </c>
      <c r="O28" s="35"/>
      <c r="P28" s="39">
        <f>L28/$N$45</f>
        <v>23.371260637112492</v>
      </c>
      <c r="Q28" s="35"/>
      <c r="R28" s="41">
        <f t="shared" si="4"/>
        <v>561.53074866310158</v>
      </c>
      <c r="S28" s="35"/>
      <c r="T28" s="39">
        <f>L28/$R$45</f>
        <v>29.156676426852162</v>
      </c>
      <c r="U28" s="35"/>
      <c r="V28" s="41">
        <f t="shared" si="5"/>
        <v>511.91346739792812</v>
      </c>
      <c r="W28" s="35"/>
      <c r="X28" s="39">
        <f>L28/$V$45</f>
        <v>36.282587413238531</v>
      </c>
      <c r="Y28" s="35"/>
      <c r="Z28" s="108">
        <f t="shared" ref="Z28:Z38" si="10">T28-P28</f>
        <v>5.7854157897396696</v>
      </c>
      <c r="AA28" s="108">
        <f t="shared" ref="AA28:AA38" si="11">X28-T28</f>
        <v>7.1259109863863692</v>
      </c>
      <c r="AB28" s="108">
        <f t="shared" ref="AB28:AB38" si="12">X28-P28</f>
        <v>12.911326776126039</v>
      </c>
    </row>
    <row r="29" spans="1:28" s="31" customFormat="1" x14ac:dyDescent="0.25">
      <c r="A29" s="30">
        <f t="shared" si="6"/>
        <v>37213</v>
      </c>
      <c r="C29" s="36">
        <v>22.54</v>
      </c>
      <c r="D29" s="37">
        <f t="shared" si="0"/>
        <v>-1.4800000000000004</v>
      </c>
      <c r="E29" s="32">
        <v>26.35</v>
      </c>
      <c r="F29" s="37">
        <f t="shared" si="1"/>
        <v>-3.5700000000000003</v>
      </c>
      <c r="G29" s="32">
        <v>29.67</v>
      </c>
      <c r="H29" s="37">
        <f t="shared" si="2"/>
        <v>-3.1499999999999986</v>
      </c>
      <c r="I29" s="32">
        <f>'Nov Data'!I29</f>
        <v>18.760000000000002</v>
      </c>
      <c r="J29" s="123">
        <f>'Nov Data'!J29</f>
        <v>-2.6899999999999977</v>
      </c>
      <c r="K29" s="33"/>
      <c r="L29" s="38">
        <v>16319</v>
      </c>
      <c r="M29" s="35"/>
      <c r="N29" s="41">
        <f t="shared" si="3"/>
        <v>724.00177462289264</v>
      </c>
      <c r="O29" s="35"/>
      <c r="P29" s="39">
        <f>L29/$N$45</f>
        <v>22.700767950540964</v>
      </c>
      <c r="Q29" s="35"/>
      <c r="R29" s="41">
        <f t="shared" si="4"/>
        <v>619.31688804554074</v>
      </c>
      <c r="S29" s="35"/>
      <c r="T29" s="39">
        <f>L29/$R$45</f>
        <v>28.320207285863962</v>
      </c>
      <c r="U29" s="35"/>
      <c r="V29" s="41">
        <f t="shared" si="5"/>
        <v>550.01685203909665</v>
      </c>
      <c r="W29" s="35"/>
      <c r="X29" s="39">
        <f>L29/$V$45</f>
        <v>35.241684661427271</v>
      </c>
      <c r="Y29" s="35"/>
      <c r="Z29" s="108">
        <f t="shared" si="10"/>
        <v>5.6194393353229977</v>
      </c>
      <c r="AA29" s="108">
        <f t="shared" si="11"/>
        <v>6.9214773755633097</v>
      </c>
      <c r="AB29" s="108">
        <f t="shared" si="12"/>
        <v>12.540916710886307</v>
      </c>
    </row>
    <row r="30" spans="1:28" x14ac:dyDescent="0.25">
      <c r="A30" s="11">
        <f t="shared" si="6"/>
        <v>37214</v>
      </c>
      <c r="C30" s="18">
        <v>24.52</v>
      </c>
      <c r="D30" s="107">
        <f t="shared" si="0"/>
        <v>1.9800000000000004</v>
      </c>
      <c r="E30" s="18">
        <v>28.65</v>
      </c>
      <c r="F30" s="107">
        <f t="shared" si="1"/>
        <v>2.2999999999999972</v>
      </c>
      <c r="G30" s="18">
        <v>31.82</v>
      </c>
      <c r="H30" s="107">
        <f t="shared" si="2"/>
        <v>2.1499999999999986</v>
      </c>
      <c r="I30" s="18">
        <f>'Nov Data'!I30</f>
        <v>25.16</v>
      </c>
      <c r="J30" s="122">
        <f>'Nov Data'!J30</f>
        <v>6.3999999999999986</v>
      </c>
      <c r="K30" s="19"/>
      <c r="L30" s="21">
        <v>19374</v>
      </c>
      <c r="M30" s="22"/>
      <c r="N30" s="91">
        <f t="shared" si="3"/>
        <v>790.1305057096248</v>
      </c>
      <c r="O30" s="22"/>
      <c r="P30" s="92">
        <f>L30/$N$45</f>
        <v>26.950467447379168</v>
      </c>
      <c r="Q30" s="22"/>
      <c r="R30" s="91">
        <f t="shared" si="4"/>
        <v>676.23036649214669</v>
      </c>
      <c r="S30" s="22"/>
      <c r="T30" s="92">
        <f>L30/$R$45</f>
        <v>33.621894476152242</v>
      </c>
      <c r="U30" s="22"/>
      <c r="V30" s="91">
        <f t="shared" si="5"/>
        <v>608.86235072281579</v>
      </c>
      <c r="W30" s="22"/>
      <c r="X30" s="92">
        <f>L30/$V$45</f>
        <v>41.83910770454635</v>
      </c>
      <c r="Y30" s="22"/>
      <c r="Z30" s="9">
        <f t="shared" si="10"/>
        <v>6.6714270287730741</v>
      </c>
      <c r="AA30" s="9">
        <f t="shared" si="11"/>
        <v>8.2172132283941082</v>
      </c>
      <c r="AB30" s="9">
        <f t="shared" si="12"/>
        <v>14.888640257167182</v>
      </c>
    </row>
    <row r="31" spans="1:28" x14ac:dyDescent="0.25">
      <c r="A31" s="11">
        <f t="shared" si="6"/>
        <v>37215</v>
      </c>
      <c r="C31" s="18">
        <v>25.35</v>
      </c>
      <c r="D31" s="107">
        <f t="shared" si="0"/>
        <v>0.83000000000000185</v>
      </c>
      <c r="E31" s="18">
        <v>29.37</v>
      </c>
      <c r="F31" s="107">
        <f t="shared" si="1"/>
        <v>0.72000000000000242</v>
      </c>
      <c r="G31" s="18">
        <v>32.06</v>
      </c>
      <c r="H31" s="107">
        <f t="shared" si="2"/>
        <v>0.24000000000000199</v>
      </c>
      <c r="I31" s="18">
        <f>'Nov Data'!I31</f>
        <v>26.15</v>
      </c>
      <c r="J31" s="122">
        <f>'Nov Data'!J31</f>
        <v>0.98999999999999844</v>
      </c>
      <c r="K31" s="19"/>
      <c r="L31" s="21">
        <v>19533</v>
      </c>
      <c r="M31" s="22"/>
      <c r="N31" s="91">
        <f t="shared" si="3"/>
        <v>770.53254437869816</v>
      </c>
      <c r="O31" s="22"/>
      <c r="P31" s="92">
        <f>L31/$N$46</f>
        <v>25.133581142977807</v>
      </c>
      <c r="Q31" s="22"/>
      <c r="R31" s="91">
        <f t="shared" si="4"/>
        <v>665.06639427987739</v>
      </c>
      <c r="S31" s="22"/>
      <c r="T31" s="92">
        <f>L31/$R$46</f>
        <v>30.232216703512965</v>
      </c>
      <c r="U31" s="22"/>
      <c r="V31" s="91">
        <f t="shared" si="5"/>
        <v>609.26388022457888</v>
      </c>
      <c r="W31" s="22"/>
      <c r="X31" s="92">
        <f>L31/$V$46</f>
        <v>32.197989215802622</v>
      </c>
      <c r="Y31" s="22"/>
      <c r="Z31" s="9">
        <f t="shared" si="10"/>
        <v>5.0986355605351577</v>
      </c>
      <c r="AA31" s="9">
        <f t="shared" si="11"/>
        <v>1.9657725122896572</v>
      </c>
      <c r="AB31" s="9">
        <f t="shared" si="12"/>
        <v>7.0644080728248149</v>
      </c>
    </row>
    <row r="32" spans="1:28" x14ac:dyDescent="0.25">
      <c r="A32" s="11">
        <f t="shared" si="6"/>
        <v>37216</v>
      </c>
      <c r="C32" s="18">
        <v>24.67</v>
      </c>
      <c r="D32" s="107">
        <f t="shared" si="0"/>
        <v>-0.67999999999999972</v>
      </c>
      <c r="E32" s="18">
        <v>31.13</v>
      </c>
      <c r="F32" s="107">
        <f t="shared" si="1"/>
        <v>1.759999999999998</v>
      </c>
      <c r="G32" s="18">
        <v>32.450000000000003</v>
      </c>
      <c r="H32" s="107">
        <f t="shared" si="2"/>
        <v>0.39000000000000057</v>
      </c>
      <c r="I32" s="18"/>
      <c r="J32" s="18"/>
      <c r="K32" s="19"/>
      <c r="L32" s="21">
        <v>19389</v>
      </c>
      <c r="M32" s="22"/>
      <c r="N32" s="91">
        <f t="shared" si="3"/>
        <v>785.93433319821645</v>
      </c>
      <c r="O32" s="22"/>
      <c r="P32" s="92">
        <f t="shared" ref="P32:P37" si="13">L32/$N$46</f>
        <v>24.948292877755424</v>
      </c>
      <c r="Q32" s="22"/>
      <c r="R32" s="91">
        <f t="shared" si="4"/>
        <v>622.83970446514616</v>
      </c>
      <c r="S32" s="22"/>
      <c r="T32" s="92">
        <f t="shared" ref="T32:T37" si="14">L32/$R$46</f>
        <v>30.009340585901441</v>
      </c>
      <c r="U32" s="22"/>
      <c r="V32" s="91">
        <f t="shared" si="5"/>
        <v>597.50385208012324</v>
      </c>
      <c r="W32" s="22"/>
      <c r="X32" s="92">
        <f t="shared" ref="X32:X37" si="15">L32/$V$46</f>
        <v>31.960621149091129</v>
      </c>
      <c r="Y32" s="22"/>
      <c r="Z32" s="9">
        <f t="shared" si="10"/>
        <v>5.0610477081460168</v>
      </c>
      <c r="AA32" s="9">
        <f t="shared" si="11"/>
        <v>1.9512805631896875</v>
      </c>
      <c r="AB32" s="9">
        <f t="shared" si="12"/>
        <v>7.0123282713357042</v>
      </c>
    </row>
    <row r="33" spans="1:28" x14ac:dyDescent="0.25">
      <c r="A33" s="11">
        <f t="shared" si="6"/>
        <v>37217</v>
      </c>
      <c r="C33" s="18">
        <v>21.28</v>
      </c>
      <c r="D33" s="107">
        <f t="shared" si="0"/>
        <v>-3.3900000000000006</v>
      </c>
      <c r="E33" s="18">
        <v>25.71</v>
      </c>
      <c r="F33" s="107">
        <f t="shared" si="1"/>
        <v>-5.4199999999999982</v>
      </c>
      <c r="G33" s="18">
        <v>26.19</v>
      </c>
      <c r="H33" s="107">
        <f t="shared" si="2"/>
        <v>-6.2600000000000016</v>
      </c>
      <c r="I33" s="18"/>
      <c r="J33" s="20"/>
      <c r="K33" s="19"/>
      <c r="L33" s="21">
        <v>15920</v>
      </c>
      <c r="M33" s="22"/>
      <c r="N33" s="91">
        <f t="shared" si="3"/>
        <v>748.12030075187965</v>
      </c>
      <c r="O33" s="22"/>
      <c r="P33" s="92">
        <f t="shared" si="13"/>
        <v>20.484647099585661</v>
      </c>
      <c r="Q33" s="22"/>
      <c r="R33" s="91">
        <f t="shared" si="4"/>
        <v>619.21431349669388</v>
      </c>
      <c r="S33" s="22"/>
      <c r="T33" s="92">
        <f t="shared" si="14"/>
        <v>24.640193002607198</v>
      </c>
      <c r="U33" s="22"/>
      <c r="V33" s="91">
        <f t="shared" si="5"/>
        <v>607.86559755631913</v>
      </c>
      <c r="W33" s="22"/>
      <c r="X33" s="92">
        <f t="shared" si="15"/>
        <v>26.242358486437194</v>
      </c>
      <c r="Y33" s="22"/>
      <c r="Z33" s="9">
        <f t="shared" si="10"/>
        <v>4.1555459030215367</v>
      </c>
      <c r="AA33" s="9">
        <f t="shared" si="11"/>
        <v>1.6021654838299959</v>
      </c>
      <c r="AB33" s="9">
        <f t="shared" si="12"/>
        <v>5.7577113868515326</v>
      </c>
    </row>
    <row r="34" spans="1:28" x14ac:dyDescent="0.25">
      <c r="A34" s="11">
        <f t="shared" si="6"/>
        <v>37218</v>
      </c>
      <c r="C34" s="18">
        <v>21.62</v>
      </c>
      <c r="D34" s="107">
        <f t="shared" si="0"/>
        <v>0.33999999999999986</v>
      </c>
      <c r="E34" s="26">
        <v>26.43</v>
      </c>
      <c r="F34" s="107">
        <f t="shared" si="1"/>
        <v>0.71999999999999886</v>
      </c>
      <c r="G34" s="18">
        <v>28.05</v>
      </c>
      <c r="H34" s="107">
        <f t="shared" si="2"/>
        <v>1.8599999999999994</v>
      </c>
      <c r="I34" s="18"/>
      <c r="J34" s="20"/>
      <c r="K34" s="19"/>
      <c r="L34" s="21">
        <f>'Nov Data'!L34</f>
        <v>17104</v>
      </c>
      <c r="M34" s="22"/>
      <c r="N34" s="91">
        <f t="shared" si="3"/>
        <v>791.11933395004621</v>
      </c>
      <c r="O34" s="22"/>
      <c r="P34" s="92">
        <f t="shared" si="13"/>
        <v>22.008128391414139</v>
      </c>
      <c r="Q34" s="22"/>
      <c r="R34" s="91">
        <f t="shared" si="4"/>
        <v>647.14339765418083</v>
      </c>
      <c r="S34" s="22"/>
      <c r="T34" s="92">
        <f t="shared" si="14"/>
        <v>26.472729969635271</v>
      </c>
      <c r="U34" s="22"/>
      <c r="V34" s="91">
        <f t="shared" si="5"/>
        <v>609.76827094474152</v>
      </c>
      <c r="W34" s="22"/>
      <c r="X34" s="92">
        <f t="shared" si="15"/>
        <v>28.194051479398354</v>
      </c>
      <c r="Y34" s="22"/>
      <c r="Z34" s="9">
        <f t="shared" si="10"/>
        <v>4.4646015782211315</v>
      </c>
      <c r="AA34" s="9">
        <f t="shared" si="11"/>
        <v>1.721321509763083</v>
      </c>
      <c r="AB34" s="9">
        <f t="shared" si="12"/>
        <v>6.1859230879842144</v>
      </c>
    </row>
    <row r="35" spans="1:28" s="31" customFormat="1" x14ac:dyDescent="0.25">
      <c r="A35" s="30">
        <f t="shared" si="6"/>
        <v>37219</v>
      </c>
      <c r="C35" s="32">
        <v>21.73</v>
      </c>
      <c r="D35" s="37">
        <f t="shared" si="0"/>
        <v>0.10999999999999943</v>
      </c>
      <c r="E35" s="32">
        <v>26.06</v>
      </c>
      <c r="F35" s="37">
        <f t="shared" si="1"/>
        <v>-0.37000000000000099</v>
      </c>
      <c r="G35" s="36">
        <v>27.8</v>
      </c>
      <c r="H35" s="37">
        <f t="shared" si="2"/>
        <v>-0.25</v>
      </c>
      <c r="I35" s="32"/>
      <c r="J35" s="34"/>
      <c r="K35" s="33"/>
      <c r="L35" s="38">
        <v>16226</v>
      </c>
      <c r="M35" s="35"/>
      <c r="N35" s="41">
        <f t="shared" si="3"/>
        <v>746.70961803957664</v>
      </c>
      <c r="O35" s="35"/>
      <c r="P35" s="39">
        <f t="shared" si="13"/>
        <v>20.878384663183223</v>
      </c>
      <c r="Q35" s="35"/>
      <c r="R35" s="41">
        <f t="shared" si="4"/>
        <v>622.64006139677667</v>
      </c>
      <c r="S35" s="35"/>
      <c r="T35" s="39">
        <f t="shared" si="14"/>
        <v>25.113804752531681</v>
      </c>
      <c r="U35" s="35"/>
      <c r="V35" s="41">
        <f t="shared" si="5"/>
        <v>583.66906474820144</v>
      </c>
      <c r="W35" s="35"/>
      <c r="X35" s="39">
        <f t="shared" si="15"/>
        <v>26.746765628199118</v>
      </c>
      <c r="Y35" s="35"/>
      <c r="Z35" s="108">
        <f t="shared" si="10"/>
        <v>4.2354200893484588</v>
      </c>
      <c r="AA35" s="108">
        <f t="shared" si="11"/>
        <v>1.6329608756674361</v>
      </c>
      <c r="AB35" s="108">
        <f t="shared" si="12"/>
        <v>5.8683809650158949</v>
      </c>
    </row>
    <row r="36" spans="1:28" s="31" customFormat="1" x14ac:dyDescent="0.25">
      <c r="A36" s="30">
        <f t="shared" si="6"/>
        <v>37220</v>
      </c>
      <c r="C36" s="36">
        <v>21.3</v>
      </c>
      <c r="D36" s="37">
        <f t="shared" si="0"/>
        <v>-0.42999999999999972</v>
      </c>
      <c r="E36" s="32">
        <v>25.51</v>
      </c>
      <c r="F36" s="37">
        <f t="shared" si="1"/>
        <v>-0.54999999999999716</v>
      </c>
      <c r="G36" s="36">
        <v>26.07</v>
      </c>
      <c r="H36" s="37">
        <f t="shared" si="2"/>
        <v>-1.7300000000000004</v>
      </c>
      <c r="I36" s="32"/>
      <c r="J36" s="34"/>
      <c r="K36" s="33"/>
      <c r="L36" s="38">
        <v>16482</v>
      </c>
      <c r="M36" s="35"/>
      <c r="N36" s="41">
        <f t="shared" si="3"/>
        <v>773.80281690140839</v>
      </c>
      <c r="O36" s="35"/>
      <c r="P36" s="39">
        <f t="shared" si="13"/>
        <v>21.207786023578571</v>
      </c>
      <c r="Q36" s="35"/>
      <c r="R36" s="41">
        <f t="shared" si="4"/>
        <v>646.09956879655033</v>
      </c>
      <c r="S36" s="35"/>
      <c r="T36" s="39">
        <f t="shared" si="14"/>
        <v>25.510028961618833</v>
      </c>
      <c r="U36" s="35"/>
      <c r="V36" s="41">
        <f t="shared" si="5"/>
        <v>632.22094361334871</v>
      </c>
      <c r="W36" s="35"/>
      <c r="X36" s="39">
        <f t="shared" si="15"/>
        <v>27.168753302352879</v>
      </c>
      <c r="Y36" s="35"/>
      <c r="Z36" s="108">
        <f t="shared" si="10"/>
        <v>4.302242938040262</v>
      </c>
      <c r="AA36" s="108">
        <f t="shared" si="11"/>
        <v>1.6587243407340466</v>
      </c>
      <c r="AB36" s="108">
        <f t="shared" si="12"/>
        <v>5.9609672787743087</v>
      </c>
    </row>
    <row r="37" spans="1:28" x14ac:dyDescent="0.25">
      <c r="A37" s="11">
        <f t="shared" si="6"/>
        <v>37221</v>
      </c>
      <c r="C37" s="18">
        <v>27.85</v>
      </c>
      <c r="D37" s="107">
        <f t="shared" si="0"/>
        <v>6.5500000000000007</v>
      </c>
      <c r="E37" s="18">
        <v>33.31</v>
      </c>
      <c r="F37" s="107">
        <f t="shared" si="1"/>
        <v>7.8000000000000007</v>
      </c>
      <c r="G37" s="18">
        <v>35.25</v>
      </c>
      <c r="H37" s="107">
        <f t="shared" si="2"/>
        <v>9.18</v>
      </c>
      <c r="I37" s="18"/>
      <c r="J37" s="20"/>
      <c r="K37" s="19"/>
      <c r="L37" s="21">
        <f>'Nov Data'!L37</f>
        <v>19263</v>
      </c>
      <c r="M37" s="22"/>
      <c r="N37" s="91">
        <f t="shared" si="3"/>
        <v>691.66965888689401</v>
      </c>
      <c r="O37" s="22"/>
      <c r="P37" s="92">
        <f t="shared" si="13"/>
        <v>24.786165645685841</v>
      </c>
      <c r="Q37" s="22"/>
      <c r="R37" s="91">
        <f t="shared" si="4"/>
        <v>578.2948063644551</v>
      </c>
      <c r="S37" s="22"/>
      <c r="T37" s="92">
        <f t="shared" si="14"/>
        <v>29.814323982991361</v>
      </c>
      <c r="U37" s="22"/>
      <c r="V37" s="91">
        <f t="shared" si="5"/>
        <v>546.468085106383</v>
      </c>
      <c r="W37" s="22"/>
      <c r="X37" s="92">
        <f t="shared" si="15"/>
        <v>31.752924090718572</v>
      </c>
      <c r="Y37" s="22"/>
      <c r="Z37" s="9">
        <f t="shared" si="10"/>
        <v>5.0281583373055199</v>
      </c>
      <c r="AA37" s="9">
        <f t="shared" si="11"/>
        <v>1.9386001077272113</v>
      </c>
      <c r="AB37" s="9">
        <f t="shared" si="12"/>
        <v>6.9667584450327311</v>
      </c>
    </row>
    <row r="38" spans="1:28" x14ac:dyDescent="0.25">
      <c r="A38" s="11">
        <f t="shared" si="6"/>
        <v>37222</v>
      </c>
      <c r="C38" s="18">
        <v>26.16</v>
      </c>
      <c r="D38" s="107">
        <f t="shared" si="0"/>
        <v>-1.6900000000000013</v>
      </c>
      <c r="E38" s="18">
        <v>32.49</v>
      </c>
      <c r="F38" s="107">
        <f t="shared" si="1"/>
        <v>-0.82000000000000028</v>
      </c>
      <c r="G38" s="18">
        <v>33.65</v>
      </c>
      <c r="H38" s="107">
        <f t="shared" si="2"/>
        <v>-1.6000000000000014</v>
      </c>
      <c r="I38" s="18"/>
      <c r="J38" s="20"/>
      <c r="K38" s="19"/>
      <c r="L38" s="21">
        <f>'Nov Data'!L38</f>
        <v>19278</v>
      </c>
      <c r="M38" s="22"/>
      <c r="N38" s="91">
        <f t="shared" si="3"/>
        <v>736.9266055045872</v>
      </c>
      <c r="O38" s="22"/>
      <c r="P38" s="92">
        <f>L38/$N$47</f>
        <v>24.931718791665634</v>
      </c>
      <c r="Q38" s="22"/>
      <c r="R38" s="91">
        <f t="shared" si="4"/>
        <v>593.35180055401656</v>
      </c>
      <c r="S38" s="22"/>
      <c r="T38" s="92">
        <f>L38/$R$47</f>
        <v>30.914801670680724</v>
      </c>
      <c r="U38" s="22"/>
      <c r="V38" s="91">
        <f t="shared" si="5"/>
        <v>572.89747399702821</v>
      </c>
      <c r="W38" s="22"/>
      <c r="X38" s="92">
        <f>L38/$V$47</f>
        <v>33.15692748766952</v>
      </c>
      <c r="Y38" s="22"/>
      <c r="Z38" s="9">
        <f t="shared" si="10"/>
        <v>5.9830828790150896</v>
      </c>
      <c r="AA38" s="9">
        <f t="shared" si="11"/>
        <v>2.2421258169887963</v>
      </c>
      <c r="AB38" s="9">
        <f t="shared" si="12"/>
        <v>8.2252086960038859</v>
      </c>
    </row>
    <row r="39" spans="1:28" x14ac:dyDescent="0.25">
      <c r="A39" s="11">
        <f t="shared" si="6"/>
        <v>37223</v>
      </c>
      <c r="C39" s="50">
        <v>22.4</v>
      </c>
      <c r="D39" s="107">
        <f t="shared" si="0"/>
        <v>-3.7600000000000016</v>
      </c>
      <c r="E39" s="46">
        <v>27.37</v>
      </c>
      <c r="F39" s="107">
        <f t="shared" si="1"/>
        <v>-5.120000000000001</v>
      </c>
      <c r="G39" s="46">
        <v>29.68</v>
      </c>
      <c r="H39" s="107">
        <f t="shared" si="2"/>
        <v>-3.9699999999999989</v>
      </c>
      <c r="I39" s="46"/>
      <c r="J39" s="48"/>
      <c r="K39" s="47"/>
      <c r="L39" s="21">
        <f>'Nov Data'!L39</f>
        <v>19299</v>
      </c>
      <c r="M39" s="49"/>
      <c r="N39" s="91">
        <f t="shared" si="3"/>
        <v>861.5625</v>
      </c>
      <c r="O39" s="49"/>
      <c r="P39" s="92">
        <f>L39/$N$47</f>
        <v>24.958877526732806</v>
      </c>
      <c r="Q39" s="49"/>
      <c r="R39" s="91">
        <f t="shared" si="4"/>
        <v>705.11508951406643</v>
      </c>
      <c r="S39" s="49"/>
      <c r="T39" s="92">
        <f>L39/$R$47</f>
        <v>30.948477925223948</v>
      </c>
      <c r="U39" s="49"/>
      <c r="V39" s="91">
        <f t="shared" si="5"/>
        <v>650.2358490566038</v>
      </c>
      <c r="W39" s="49"/>
      <c r="X39" s="92">
        <f>L39/$V$47</f>
        <v>33.193046145063498</v>
      </c>
      <c r="Y39" s="22"/>
    </row>
    <row r="40" spans="1:28" x14ac:dyDescent="0.25">
      <c r="A40" s="11">
        <f t="shared" si="6"/>
        <v>37224</v>
      </c>
      <c r="C40" s="50">
        <v>26</v>
      </c>
      <c r="D40" s="107">
        <f t="shared" si="0"/>
        <v>3.6000000000000014</v>
      </c>
      <c r="E40" s="46">
        <v>30.97</v>
      </c>
      <c r="F40" s="107">
        <f t="shared" si="1"/>
        <v>3.5999999999999979</v>
      </c>
      <c r="G40" s="46">
        <v>34.54</v>
      </c>
      <c r="H40" s="107">
        <f t="shared" si="2"/>
        <v>4.8599999999999994</v>
      </c>
      <c r="I40" s="46"/>
      <c r="J40" s="48"/>
      <c r="K40" s="47"/>
      <c r="L40" s="21">
        <f>'Nov Data'!L40</f>
        <v>19296</v>
      </c>
      <c r="M40" s="49"/>
      <c r="N40" s="91">
        <f t="shared" si="3"/>
        <v>742.15384615384619</v>
      </c>
      <c r="O40" s="49"/>
      <c r="P40" s="92">
        <f>L40/$N$47</f>
        <v>24.954997707437496</v>
      </c>
      <c r="Q40" s="49"/>
      <c r="R40" s="91">
        <f t="shared" si="4"/>
        <v>623.05456893768167</v>
      </c>
      <c r="S40" s="49"/>
      <c r="T40" s="92">
        <f>L40/$R$47</f>
        <v>30.943667031717773</v>
      </c>
      <c r="U40" s="49"/>
      <c r="V40" s="91">
        <f t="shared" si="5"/>
        <v>558.65662999420965</v>
      </c>
      <c r="W40" s="49"/>
      <c r="X40" s="92">
        <f>L40/$V$47</f>
        <v>33.187886336864359</v>
      </c>
      <c r="Y40" s="22"/>
    </row>
    <row r="41" spans="1:28" x14ac:dyDescent="0.25">
      <c r="A41" s="11">
        <f t="shared" si="6"/>
        <v>37225</v>
      </c>
      <c r="C41" s="46">
        <v>22.72</v>
      </c>
      <c r="D41" s="107">
        <f t="shared" si="0"/>
        <v>-3.2800000000000011</v>
      </c>
      <c r="E41" s="46">
        <v>30.65</v>
      </c>
      <c r="F41" s="107">
        <f t="shared" si="1"/>
        <v>-0.32000000000000028</v>
      </c>
      <c r="G41" s="46">
        <v>32.729999999999997</v>
      </c>
      <c r="H41" s="107">
        <f t="shared" si="2"/>
        <v>-1.8100000000000023</v>
      </c>
      <c r="I41" s="46"/>
      <c r="J41" s="48"/>
      <c r="K41" s="47"/>
      <c r="L41" s="21">
        <f>'Nov Data'!L41</f>
        <v>18945</v>
      </c>
      <c r="M41" s="49"/>
      <c r="N41" s="91">
        <f t="shared" si="3"/>
        <v>833.84683098591552</v>
      </c>
      <c r="O41" s="95"/>
      <c r="P41" s="117">
        <f>L41/$N$47</f>
        <v>24.50105884988616</v>
      </c>
      <c r="Q41" s="95"/>
      <c r="R41" s="91">
        <f t="shared" si="4"/>
        <v>618.10766721044047</v>
      </c>
      <c r="S41" s="95"/>
      <c r="T41" s="117">
        <f>L41/$R$47</f>
        <v>30.380792491495296</v>
      </c>
      <c r="U41" s="95"/>
      <c r="V41" s="91">
        <f t="shared" si="5"/>
        <v>578.82676443629703</v>
      </c>
      <c r="W41" s="95"/>
      <c r="X41" s="117">
        <f>L41/$V$47</f>
        <v>32.584188777565053</v>
      </c>
      <c r="Y41" s="22"/>
    </row>
    <row r="42" spans="1:28" ht="13.8" thickBot="1" x14ac:dyDescent="0.3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8" x14ac:dyDescent="0.25">
      <c r="A43" s="58" t="s">
        <v>35</v>
      </c>
      <c r="B43" s="59"/>
      <c r="C43" s="60">
        <f t="shared" ref="C43:H43" si="16">AVERAGE(C9:C13)</f>
        <v>33.768000000000001</v>
      </c>
      <c r="D43" s="60">
        <f t="shared" si="16"/>
        <v>0.1260000000000005</v>
      </c>
      <c r="E43" s="60">
        <f t="shared" si="16"/>
        <v>40.387999999999998</v>
      </c>
      <c r="F43" s="60">
        <f t="shared" si="16"/>
        <v>0.54000000000000059</v>
      </c>
      <c r="G43" s="60">
        <f t="shared" si="16"/>
        <v>42.203999999999994</v>
      </c>
      <c r="H43" s="60">
        <f t="shared" si="16"/>
        <v>0.78599999999999992</v>
      </c>
      <c r="I43" s="60">
        <f>AVERAGE(I9:I13)</f>
        <v>25.318000000000001</v>
      </c>
      <c r="J43" s="60">
        <f>AVERAGE(J9:J13)</f>
        <v>-2.7725</v>
      </c>
      <c r="K43" s="60"/>
      <c r="L43" s="61">
        <f>AVERAGE(L9:L13)</f>
        <v>19390.599999999999</v>
      </c>
      <c r="M43" s="60"/>
      <c r="N43" s="115">
        <f>AVERAGE(N9:N13)</f>
        <v>576.25876724535954</v>
      </c>
      <c r="O43" s="61"/>
      <c r="P43" s="115">
        <f t="shared" ref="P43:X43" si="17">AVERAGE(P9:P13)</f>
        <v>33.920090671762011</v>
      </c>
      <c r="Q43" s="115"/>
      <c r="R43" s="115">
        <f t="shared" si="17"/>
        <v>481.37146433430462</v>
      </c>
      <c r="S43" s="115"/>
      <c r="T43" s="115">
        <f t="shared" si="17"/>
        <v>40.43126876501065</v>
      </c>
      <c r="U43" s="115" t="e">
        <f t="shared" si="17"/>
        <v>#DIV/0!</v>
      </c>
      <c r="V43" s="115">
        <f t="shared" si="17"/>
        <v>460.06553416985446</v>
      </c>
      <c r="W43" s="115"/>
      <c r="X43" s="111">
        <f t="shared" si="17"/>
        <v>42.074857280348191</v>
      </c>
      <c r="Y43" s="22"/>
    </row>
    <row r="44" spans="1:28" x14ac:dyDescent="0.25">
      <c r="A44" s="63" t="s">
        <v>36</v>
      </c>
      <c r="B44" s="64"/>
      <c r="C44" s="50">
        <f t="shared" ref="C44:H44" si="18">AVERAGE(C16:C20)</f>
        <v>29.456</v>
      </c>
      <c r="D44" s="50">
        <f t="shared" si="18"/>
        <v>4.7999999999999689E-2</v>
      </c>
      <c r="E44" s="50">
        <f t="shared" si="18"/>
        <v>35.805999999999997</v>
      </c>
      <c r="F44" s="50">
        <f t="shared" si="18"/>
        <v>0.12000000000000029</v>
      </c>
      <c r="G44" s="50">
        <f t="shared" si="18"/>
        <v>38.455999999999996</v>
      </c>
      <c r="H44" s="50">
        <f t="shared" si="18"/>
        <v>1.0620000000000005</v>
      </c>
      <c r="I44" s="50">
        <f>AVERAGE(I16:I20)</f>
        <v>24.636000000000003</v>
      </c>
      <c r="J44" s="50">
        <f>AVERAGE(J16:J20)</f>
        <v>-5.3999999999999916E-2</v>
      </c>
      <c r="K44" s="50"/>
      <c r="L44" s="51">
        <f>AVERAGE(L16:L20)</f>
        <v>19325</v>
      </c>
      <c r="M44" s="50"/>
      <c r="N44" s="113">
        <f>AVERAGE(N16:N20)</f>
        <v>659.67927653066761</v>
      </c>
      <c r="O44" s="51"/>
      <c r="P44" s="113">
        <f t="shared" ref="P44:X44" si="19">AVERAGE(P16:P20)</f>
        <v>30.447870920146698</v>
      </c>
      <c r="Q44" s="113"/>
      <c r="R44" s="113">
        <f t="shared" si="19"/>
        <v>541.97667455710985</v>
      </c>
      <c r="S44" s="113"/>
      <c r="T44" s="113">
        <f t="shared" si="19"/>
        <v>36.979340309936987</v>
      </c>
      <c r="U44" s="113" t="e">
        <f t="shared" si="19"/>
        <v>#DIV/0!</v>
      </c>
      <c r="V44" s="113">
        <f t="shared" si="19"/>
        <v>502.60936523530637</v>
      </c>
      <c r="W44" s="113"/>
      <c r="X44" s="112">
        <f t="shared" si="19"/>
        <v>38.858698677972583</v>
      </c>
      <c r="Y44" s="22"/>
    </row>
    <row r="45" spans="1:28" x14ac:dyDescent="0.25">
      <c r="A45" s="63" t="s">
        <v>37</v>
      </c>
      <c r="B45" s="64"/>
      <c r="C45" s="50">
        <f t="shared" ref="C45:H45" si="20">AVERAGE(C23:C27)</f>
        <v>27.006</v>
      </c>
      <c r="D45" s="50">
        <f t="shared" si="20"/>
        <v>0.44600000000000006</v>
      </c>
      <c r="E45" s="50">
        <f t="shared" si="20"/>
        <v>33.674000000000007</v>
      </c>
      <c r="F45" s="50">
        <f t="shared" si="20"/>
        <v>0.90399999999999991</v>
      </c>
      <c r="G45" s="50">
        <f t="shared" si="20"/>
        <v>42.058</v>
      </c>
      <c r="H45" s="50">
        <f t="shared" si="20"/>
        <v>3.1459999999999999</v>
      </c>
      <c r="I45" s="50">
        <f>AVERAGE(I23:I27)</f>
        <v>26.842000000000002</v>
      </c>
      <c r="J45" s="50">
        <f>AVERAGE(J23:J27)</f>
        <v>1.4299999999999997</v>
      </c>
      <c r="K45" s="50"/>
      <c r="L45" s="51">
        <f>AVERAGE(L23:L27)</f>
        <v>19400.2</v>
      </c>
      <c r="M45" s="50"/>
      <c r="N45" s="113">
        <f>AVERAGE(N23:N27)</f>
        <v>718.87435859239793</v>
      </c>
      <c r="O45" s="51"/>
      <c r="P45" s="113">
        <f t="shared" ref="P45:X45" si="21">AVERAGE(P23:P27)</f>
        <v>27.365513815379348</v>
      </c>
      <c r="Q45" s="113"/>
      <c r="R45" s="113">
        <f t="shared" si="21"/>
        <v>576.23165802693939</v>
      </c>
      <c r="S45" s="113"/>
      <c r="T45" s="113">
        <f t="shared" si="21"/>
        <v>33.631306001756165</v>
      </c>
      <c r="U45" s="113" t="e">
        <f t="shared" si="21"/>
        <v>#DIV/0!</v>
      </c>
      <c r="V45" s="113">
        <f t="shared" si="21"/>
        <v>463.05958857470489</v>
      </c>
      <c r="W45" s="113"/>
      <c r="X45" s="112">
        <f t="shared" si="21"/>
        <v>40.546005747485232</v>
      </c>
      <c r="Y45" s="22"/>
    </row>
    <row r="46" spans="1:28" x14ac:dyDescent="0.25">
      <c r="A46" s="63" t="s">
        <v>38</v>
      </c>
      <c r="B46" s="64"/>
      <c r="C46" s="50">
        <f t="shared" ref="C46:J46" si="22">AVERAGE(C30:C34)</f>
        <v>23.488000000000003</v>
      </c>
      <c r="D46" s="50">
        <f t="shared" si="22"/>
        <v>-0.18399999999999964</v>
      </c>
      <c r="E46" s="50">
        <f t="shared" si="22"/>
        <v>28.257999999999999</v>
      </c>
      <c r="F46" s="50">
        <f t="shared" si="22"/>
        <v>1.599999999999966E-2</v>
      </c>
      <c r="G46" s="50">
        <f t="shared" si="22"/>
        <v>30.114000000000004</v>
      </c>
      <c r="H46" s="50">
        <f t="shared" si="22"/>
        <v>-0.32400000000000018</v>
      </c>
      <c r="I46" s="50">
        <f t="shared" si="22"/>
        <v>25.655000000000001</v>
      </c>
      <c r="J46" s="50">
        <f t="shared" si="22"/>
        <v>3.6949999999999985</v>
      </c>
      <c r="K46" s="47"/>
      <c r="L46" s="51">
        <f>AVERAGE(L24:L28)</f>
        <v>18822.400000000001</v>
      </c>
      <c r="M46" s="51"/>
      <c r="N46" s="50">
        <f>AVERAGE(N30:N34)</f>
        <v>777.16740359769301</v>
      </c>
      <c r="O46" s="51"/>
      <c r="P46" s="113">
        <f>AVERAGE(P30:P34)</f>
        <v>23.905023391822436</v>
      </c>
      <c r="Q46" s="113"/>
      <c r="R46" s="50">
        <f>AVERAGE(R30:R34)</f>
        <v>646.09883527760894</v>
      </c>
      <c r="S46" s="113"/>
      <c r="T46" s="113">
        <f>AVERAGE(T30:T34)</f>
        <v>28.995274947561825</v>
      </c>
      <c r="U46" s="113" t="e">
        <f>AVERAGE(U24:U28)</f>
        <v>#DIV/0!</v>
      </c>
      <c r="V46" s="50">
        <f>AVERAGE(V30:V34)</f>
        <v>606.6527903057156</v>
      </c>
      <c r="W46" s="113"/>
      <c r="X46" s="112">
        <f>AVERAGE(X30:X34)</f>
        <v>32.086825607055133</v>
      </c>
      <c r="Y46" s="22"/>
    </row>
    <row r="47" spans="1:28" ht="13.8" thickBot="1" x14ac:dyDescent="0.3">
      <c r="A47" s="80" t="s">
        <v>56</v>
      </c>
      <c r="B47" s="66"/>
      <c r="C47" s="82">
        <f>AVERAGE(C37:C41)</f>
        <v>25.026</v>
      </c>
      <c r="D47" s="81">
        <f t="shared" ref="D47:J47" si="23">AVERAGE(D37:D41)</f>
        <v>0.28399999999999964</v>
      </c>
      <c r="E47" s="82">
        <f t="shared" si="23"/>
        <v>30.958000000000006</v>
      </c>
      <c r="F47" s="82">
        <f t="shared" si="23"/>
        <v>1.0279999999999994</v>
      </c>
      <c r="G47" s="81">
        <f t="shared" si="23"/>
        <v>33.17</v>
      </c>
      <c r="H47" s="82">
        <f t="shared" si="23"/>
        <v>1.3319999999999994</v>
      </c>
      <c r="I47" s="81" t="e">
        <f t="shared" si="23"/>
        <v>#DIV/0!</v>
      </c>
      <c r="J47" s="81" t="e">
        <f t="shared" si="23"/>
        <v>#DIV/0!</v>
      </c>
      <c r="K47" s="83"/>
      <c r="L47" s="84">
        <f>AVERAGE(L37:L41)</f>
        <v>19216.2</v>
      </c>
      <c r="M47" s="84"/>
      <c r="N47" s="118">
        <f>AVERAGE(N37:N41)</f>
        <v>773.23188830624861</v>
      </c>
      <c r="O47" s="118"/>
      <c r="P47" s="118">
        <f t="shared" ref="P47:X47" si="24">AVERAGE(P37:P41)</f>
        <v>24.82656370428159</v>
      </c>
      <c r="Q47" s="118"/>
      <c r="R47" s="118">
        <f t="shared" si="24"/>
        <v>623.584786516132</v>
      </c>
      <c r="S47" s="118"/>
      <c r="T47" s="118">
        <f t="shared" si="24"/>
        <v>30.600412620421821</v>
      </c>
      <c r="U47" s="118" t="e">
        <f t="shared" si="24"/>
        <v>#DIV/0!</v>
      </c>
      <c r="V47" s="118">
        <f t="shared" si="24"/>
        <v>581.41696051810436</v>
      </c>
      <c r="W47" s="118"/>
      <c r="X47" s="118">
        <f t="shared" si="24"/>
        <v>32.774994567576201</v>
      </c>
      <c r="Y47" s="22"/>
    </row>
    <row r="48" spans="1:28" ht="13.8" thickBot="1" x14ac:dyDescent="0.3">
      <c r="A48" s="71" t="s">
        <v>34</v>
      </c>
      <c r="B48" s="72"/>
      <c r="C48" s="73">
        <f t="shared" ref="C48:J48" si="25">AVERAGE(C43:C46)</f>
        <v>28.429500000000001</v>
      </c>
      <c r="D48" s="73">
        <f t="shared" si="25"/>
        <v>0.10900000000000015</v>
      </c>
      <c r="E48" s="73">
        <f t="shared" si="25"/>
        <v>34.531500000000001</v>
      </c>
      <c r="F48" s="73">
        <f t="shared" si="25"/>
        <v>0.39500000000000013</v>
      </c>
      <c r="G48" s="73">
        <f t="shared" si="25"/>
        <v>38.207999999999998</v>
      </c>
      <c r="H48" s="73">
        <f t="shared" si="25"/>
        <v>1.1675</v>
      </c>
      <c r="I48" s="73">
        <f t="shared" si="25"/>
        <v>25.612750000000002</v>
      </c>
      <c r="J48" s="73">
        <f t="shared" si="25"/>
        <v>0.57462499999999961</v>
      </c>
      <c r="K48" s="74"/>
      <c r="L48" s="75">
        <f>AVERAGE(L9:L39)</f>
        <v>18468.516129032258</v>
      </c>
      <c r="M48" s="76"/>
      <c r="N48" s="119">
        <f>AVERAGE(N9:N39)</f>
        <v>693.12746774893412</v>
      </c>
      <c r="O48" s="94"/>
      <c r="P48" s="119">
        <f t="shared" ref="P48:X48" si="26">AVERAGE(P9:P39)</f>
        <v>27.275416388047379</v>
      </c>
      <c r="Q48" s="119"/>
      <c r="R48" s="119">
        <f t="shared" si="26"/>
        <v>570.61354581954913</v>
      </c>
      <c r="S48" s="119"/>
      <c r="T48" s="119">
        <f t="shared" si="26"/>
        <v>33.160666272854478</v>
      </c>
      <c r="U48" s="119" t="e">
        <f t="shared" si="26"/>
        <v>#DIV/0!</v>
      </c>
      <c r="V48" s="119">
        <f t="shared" si="26"/>
        <v>521.9266969982765</v>
      </c>
      <c r="W48" s="119"/>
      <c r="X48" s="120">
        <f t="shared" si="26"/>
        <v>36.48756769748784</v>
      </c>
      <c r="Y48" s="22"/>
    </row>
    <row r="49" spans="1:24" ht="13.8" thickBot="1" x14ac:dyDescent="0.3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abSelected="1" topLeftCell="A2" workbookViewId="0">
      <selection activeCell="C29" sqref="C29"/>
    </sheetView>
  </sheetViews>
  <sheetFormatPr defaultRowHeight="13.2" x14ac:dyDescent="0.25"/>
  <cols>
    <col min="1" max="1" width="14.44140625" customWidth="1"/>
    <col min="2" max="2" width="2.33203125" customWidth="1"/>
    <col min="3" max="3" width="8.5546875" style="8" customWidth="1"/>
    <col min="4" max="4" width="5.109375" style="13" customWidth="1"/>
    <col min="5" max="5" width="7.6640625" style="8" customWidth="1"/>
    <col min="6" max="6" width="6.44140625" style="13" customWidth="1"/>
    <col min="7" max="7" width="7.5546875" style="8" customWidth="1"/>
    <col min="8" max="8" width="5.44140625" style="13" customWidth="1"/>
    <col min="9" max="9" width="6.44140625" style="8" customWidth="1"/>
    <col min="10" max="10" width="6" style="15" customWidth="1"/>
    <col min="11" max="11" width="1.5546875" style="13" customWidth="1"/>
    <col min="12" max="12" width="8.44140625" customWidth="1"/>
    <col min="13" max="13" width="1.6640625" customWidth="1"/>
    <col min="14" max="14" width="9.6640625" customWidth="1"/>
    <col min="15" max="15" width="1.6640625" customWidth="1"/>
    <col min="16" max="16" width="9.5546875" customWidth="1"/>
    <col min="17" max="17" width="1.6640625" customWidth="1"/>
    <col min="18" max="18" width="8.88671875" customWidth="1"/>
    <col min="19" max="19" width="1.6640625" customWidth="1"/>
    <col min="20" max="20" width="9.88671875" customWidth="1"/>
    <col min="21" max="21" width="1.5546875" customWidth="1"/>
    <col min="22" max="22" width="9" customWidth="1"/>
    <col min="23" max="23" width="1.88671875" customWidth="1"/>
    <col min="24" max="24" width="9.33203125" customWidth="1"/>
    <col min="25" max="25" width="1.5546875" customWidth="1"/>
  </cols>
  <sheetData>
    <row r="2" spans="1:28" x14ac:dyDescent="0.25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5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8" thickBot="1" x14ac:dyDescent="0.3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5"/>
    <row r="7" spans="1:28" s="31" customFormat="1" x14ac:dyDescent="0.25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7"/>
      <c r="I7" s="32"/>
      <c r="J7" s="34"/>
      <c r="K7" s="33"/>
      <c r="L7" s="38">
        <f>'Dec Data'!L7</f>
        <v>16803</v>
      </c>
      <c r="M7" s="35"/>
      <c r="N7" s="41">
        <f t="shared" ref="N7:N12" si="0">L7/C7</f>
        <v>712.59541984732834</v>
      </c>
      <c r="O7" s="35"/>
      <c r="P7" s="39">
        <f>L7/$N$43</f>
        <v>19.519130154852522</v>
      </c>
      <c r="Q7" s="35"/>
      <c r="R7" s="41">
        <f t="shared" ref="R7:R12" si="1">L7/E7</f>
        <v>544.84435797665367</v>
      </c>
      <c r="S7" s="35"/>
      <c r="T7" s="39">
        <f>L7/$R$43</f>
        <v>22.914243116993941</v>
      </c>
      <c r="U7" s="35"/>
      <c r="V7" s="41">
        <f t="shared" ref="V7:V12" si="2">L7/G7</f>
        <v>530.39772727272725</v>
      </c>
      <c r="W7" s="35"/>
      <c r="X7" s="39">
        <f>L7/$V$43</f>
        <v>24.400759626565996</v>
      </c>
      <c r="Y7" s="35"/>
      <c r="Z7" s="39"/>
    </row>
    <row r="8" spans="1:28" s="31" customFormat="1" ht="12.75" customHeight="1" x14ac:dyDescent="0.25">
      <c r="A8" s="30">
        <f t="shared" ref="A8:A41" si="3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2"/>
      <c r="J8" s="34"/>
      <c r="K8" s="33"/>
      <c r="L8" s="38">
        <f>'Dec Data'!L8</f>
        <v>16456</v>
      </c>
      <c r="M8" s="35"/>
      <c r="N8" s="41">
        <f t="shared" si="0"/>
        <v>701.15040477204946</v>
      </c>
      <c r="O8" s="35"/>
      <c r="P8" s="39">
        <f t="shared" ref="P8:P20" si="4">L8/$N$43</f>
        <v>19.116039149452664</v>
      </c>
      <c r="Q8" s="35"/>
      <c r="R8" s="41">
        <f t="shared" si="1"/>
        <v>616.56050955414014</v>
      </c>
      <c r="S8" s="35"/>
      <c r="T8" s="39">
        <f t="shared" ref="T8:T20" si="5">L8/$R$43</f>
        <v>22.441039381851592</v>
      </c>
      <c r="U8" s="35"/>
      <c r="V8" s="41">
        <f t="shared" si="2"/>
        <v>607.23247232472318</v>
      </c>
      <c r="W8" s="35"/>
      <c r="X8" s="39">
        <f t="shared" ref="X8:X20" si="6">L8/$V$43</f>
        <v>23.896857728665719</v>
      </c>
      <c r="Y8" s="35"/>
      <c r="Z8" s="108"/>
      <c r="AA8" s="108"/>
      <c r="AB8" s="108"/>
    </row>
    <row r="9" spans="1:28" x14ac:dyDescent="0.25">
      <c r="A9" s="11">
        <f t="shared" si="3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121">
        <f>'Dec Data'!L9</f>
        <v>19715</v>
      </c>
      <c r="M9" s="22"/>
      <c r="N9" s="91">
        <f t="shared" si="0"/>
        <v>869.26807760141094</v>
      </c>
      <c r="O9" s="22"/>
      <c r="P9" s="92">
        <f t="shared" si="4"/>
        <v>22.901841992674971</v>
      </c>
      <c r="Q9" s="22"/>
      <c r="R9" s="91">
        <f t="shared" si="1"/>
        <v>751.04761904761904</v>
      </c>
      <c r="S9" s="22"/>
      <c r="T9" s="92">
        <f t="shared" si="5"/>
        <v>26.885336133519939</v>
      </c>
      <c r="U9" s="22"/>
      <c r="V9" s="91">
        <f t="shared" si="2"/>
        <v>668.75848032564454</v>
      </c>
      <c r="W9" s="22"/>
      <c r="X9" s="92">
        <f t="shared" si="6"/>
        <v>28.62946950174068</v>
      </c>
      <c r="Y9" s="22"/>
      <c r="Z9" s="9"/>
      <c r="AA9" s="9"/>
      <c r="AB9" s="9"/>
    </row>
    <row r="10" spans="1:28" x14ac:dyDescent="0.25">
      <c r="A10" s="11">
        <f t="shared" si="3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122"/>
      <c r="K10" s="19"/>
      <c r="L10" s="121">
        <f>'Dec Data'!L10</f>
        <v>19725</v>
      </c>
      <c r="M10" s="22"/>
      <c r="N10" s="91">
        <f t="shared" si="0"/>
        <v>851.68393782383419</v>
      </c>
      <c r="O10" s="22"/>
      <c r="P10" s="92">
        <f t="shared" si="4"/>
        <v>22.913458448161997</v>
      </c>
      <c r="Q10" s="22"/>
      <c r="R10" s="91">
        <f t="shared" si="1"/>
        <v>740.15009380863046</v>
      </c>
      <c r="S10" s="22"/>
      <c r="T10" s="92">
        <f t="shared" si="5"/>
        <v>26.898973128768997</v>
      </c>
      <c r="U10" s="22"/>
      <c r="V10" s="91">
        <f t="shared" si="2"/>
        <v>722.52747252747247</v>
      </c>
      <c r="W10" s="22"/>
      <c r="X10" s="92">
        <f t="shared" si="6"/>
        <v>28.643991170268066</v>
      </c>
      <c r="Y10" s="22"/>
      <c r="Z10" s="9"/>
      <c r="AA10" s="9"/>
      <c r="AB10" s="9"/>
    </row>
    <row r="11" spans="1:28" x14ac:dyDescent="0.25">
      <c r="A11" s="11">
        <f t="shared" si="3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18"/>
      <c r="J11" s="122"/>
      <c r="K11" s="47"/>
      <c r="L11" s="121">
        <f>'Dec Data'!L11</f>
        <v>19640</v>
      </c>
      <c r="M11" s="49"/>
      <c r="N11" s="91">
        <f t="shared" si="0"/>
        <v>841.47386461011138</v>
      </c>
      <c r="O11" s="22"/>
      <c r="P11" s="92">
        <f t="shared" si="4"/>
        <v>22.814718576522264</v>
      </c>
      <c r="Q11" s="22"/>
      <c r="R11" s="91">
        <f t="shared" si="1"/>
        <v>718.36137527432334</v>
      </c>
      <c r="S11" s="22"/>
      <c r="T11" s="92">
        <f t="shared" si="5"/>
        <v>26.783058669151995</v>
      </c>
      <c r="U11" s="22"/>
      <c r="V11" s="91">
        <f t="shared" si="2"/>
        <v>672.83316204179516</v>
      </c>
      <c r="W11" s="22"/>
      <c r="X11" s="92">
        <f t="shared" si="6"/>
        <v>28.520556987785287</v>
      </c>
      <c r="Y11" s="22"/>
      <c r="Z11" s="9"/>
      <c r="AA11" s="9"/>
      <c r="AB11" s="9"/>
    </row>
    <row r="12" spans="1:28" x14ac:dyDescent="0.25">
      <c r="A12" s="11">
        <f t="shared" si="3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18"/>
      <c r="J12" s="122"/>
      <c r="K12" s="25"/>
      <c r="L12" s="121">
        <f>'Dec Data'!L12</f>
        <v>19531</v>
      </c>
      <c r="M12" s="27"/>
      <c r="N12" s="91">
        <f t="shared" si="0"/>
        <v>880.96526838069451</v>
      </c>
      <c r="O12" s="22"/>
      <c r="P12" s="92">
        <f t="shared" si="4"/>
        <v>22.688099211713663</v>
      </c>
      <c r="Q12" s="22"/>
      <c r="R12" s="91">
        <f t="shared" si="1"/>
        <v>723.63838458688406</v>
      </c>
      <c r="S12" s="22"/>
      <c r="T12" s="92">
        <f t="shared" si="5"/>
        <v>26.634415420937252</v>
      </c>
      <c r="U12" s="22"/>
      <c r="V12" s="91">
        <f t="shared" si="2"/>
        <v>690.38529515729942</v>
      </c>
      <c r="W12" s="22"/>
      <c r="X12" s="92">
        <f t="shared" si="6"/>
        <v>28.362270800836786</v>
      </c>
      <c r="Y12" s="22"/>
      <c r="Z12" s="9"/>
      <c r="AA12" s="9"/>
      <c r="AB12" s="9"/>
    </row>
    <row r="13" spans="1:28" x14ac:dyDescent="0.25">
      <c r="A13" s="11">
        <f t="shared" si="3"/>
        <v>37232</v>
      </c>
      <c r="B13" s="11"/>
      <c r="C13" s="26"/>
      <c r="D13" s="25"/>
      <c r="E13" s="26"/>
      <c r="F13" s="25"/>
      <c r="G13" s="26"/>
      <c r="H13" s="25"/>
      <c r="I13" s="18"/>
      <c r="J13" s="122"/>
      <c r="K13" s="25"/>
      <c r="L13" s="121">
        <f>'Dec Data'!L13</f>
        <v>19153</v>
      </c>
      <c r="M13" s="27"/>
      <c r="N13" s="91"/>
      <c r="O13" s="22"/>
      <c r="P13" s="92">
        <f t="shared" si="4"/>
        <v>22.248997194304017</v>
      </c>
      <c r="Q13" s="22"/>
      <c r="R13" s="91"/>
      <c r="S13" s="22"/>
      <c r="T13" s="92">
        <f t="shared" si="5"/>
        <v>26.11893700052282</v>
      </c>
      <c r="U13" s="22"/>
      <c r="V13" s="91"/>
      <c r="W13" s="22"/>
      <c r="X13" s="92">
        <f t="shared" si="6"/>
        <v>27.813351730501608</v>
      </c>
      <c r="Y13" s="22"/>
      <c r="Z13" s="9"/>
      <c r="AA13" s="9"/>
      <c r="AB13" s="9"/>
    </row>
    <row r="14" spans="1:28" s="31" customFormat="1" x14ac:dyDescent="0.25">
      <c r="A14" s="30">
        <f t="shared" si="3"/>
        <v>37233</v>
      </c>
      <c r="B14" s="30"/>
      <c r="C14" s="36"/>
      <c r="D14" s="37"/>
      <c r="E14" s="36"/>
      <c r="F14" s="37"/>
      <c r="G14" s="36"/>
      <c r="H14" s="37"/>
      <c r="I14" s="32"/>
      <c r="J14" s="123"/>
      <c r="K14" s="37"/>
      <c r="L14" s="38">
        <f>'Dec Data'!L14</f>
        <v>17222</v>
      </c>
      <c r="M14" s="39"/>
      <c r="N14" s="41"/>
      <c r="O14" s="35"/>
      <c r="P14" s="39">
        <f t="shared" si="4"/>
        <v>20.005859639758981</v>
      </c>
      <c r="Q14" s="35"/>
      <c r="R14" s="41"/>
      <c r="S14" s="35"/>
      <c r="T14" s="39">
        <f t="shared" si="5"/>
        <v>23.485633217929514</v>
      </c>
      <c r="U14" s="35"/>
      <c r="V14" s="41"/>
      <c r="W14" s="35"/>
      <c r="X14" s="39">
        <f t="shared" si="6"/>
        <v>25.009217537863453</v>
      </c>
      <c r="Y14" s="35"/>
      <c r="Z14" s="108"/>
      <c r="AA14" s="108"/>
      <c r="AB14" s="108"/>
    </row>
    <row r="15" spans="1:28" s="31" customFormat="1" x14ac:dyDescent="0.25">
      <c r="A15" s="30">
        <f t="shared" si="3"/>
        <v>37234</v>
      </c>
      <c r="B15" s="30"/>
      <c r="C15" s="36"/>
      <c r="D15" s="37"/>
      <c r="E15" s="36"/>
      <c r="F15" s="37"/>
      <c r="G15" s="36"/>
      <c r="H15" s="37"/>
      <c r="I15" s="32"/>
      <c r="J15" s="123"/>
      <c r="K15" s="37"/>
      <c r="L15" s="38">
        <f>'Dec Data'!L15</f>
        <v>17000</v>
      </c>
      <c r="M15" s="39"/>
      <c r="N15" s="41"/>
      <c r="O15" s="35"/>
      <c r="P15" s="39">
        <f t="shared" si="4"/>
        <v>19.747974327946967</v>
      </c>
      <c r="Q15" s="35"/>
      <c r="R15" s="41"/>
      <c r="S15" s="35"/>
      <c r="T15" s="39">
        <f t="shared" si="5"/>
        <v>23.182891923400405</v>
      </c>
      <c r="U15" s="35"/>
      <c r="V15" s="41"/>
      <c r="W15" s="35"/>
      <c r="X15" s="39">
        <f t="shared" si="6"/>
        <v>24.686836496555493</v>
      </c>
      <c r="Y15" s="35"/>
      <c r="Z15" s="108"/>
      <c r="AA15" s="108"/>
      <c r="AB15" s="108"/>
    </row>
    <row r="16" spans="1:28" x14ac:dyDescent="0.25">
      <c r="A16" s="11">
        <f t="shared" si="3"/>
        <v>37235</v>
      </c>
      <c r="B16" s="11"/>
      <c r="C16" s="26"/>
      <c r="D16" s="107"/>
      <c r="E16" s="26"/>
      <c r="F16" s="107"/>
      <c r="G16" s="26"/>
      <c r="H16" s="107"/>
      <c r="I16" s="18"/>
      <c r="J16" s="122"/>
      <c r="K16" s="25"/>
      <c r="L16" s="121">
        <f>'Dec Data'!L16</f>
        <v>20052</v>
      </c>
      <c r="M16" s="27"/>
      <c r="N16" s="91"/>
      <c r="O16" s="22"/>
      <c r="P16" s="92">
        <f t="shared" si="4"/>
        <v>23.293316542587799</v>
      </c>
      <c r="Q16" s="22"/>
      <c r="R16" s="91"/>
      <c r="S16" s="22"/>
      <c r="T16" s="92">
        <f t="shared" si="5"/>
        <v>27.344902873413229</v>
      </c>
      <c r="U16" s="22"/>
      <c r="V16" s="91"/>
      <c r="W16" s="22"/>
      <c r="X16" s="92">
        <f t="shared" si="6"/>
        <v>29.118849731113574</v>
      </c>
      <c r="Y16" s="22"/>
      <c r="Z16" s="9"/>
      <c r="AA16" s="9"/>
      <c r="AB16" s="9"/>
    </row>
    <row r="17" spans="1:28" x14ac:dyDescent="0.25">
      <c r="A17" s="11">
        <f t="shared" si="3"/>
        <v>37236</v>
      </c>
      <c r="C17" s="26"/>
      <c r="D17" s="107"/>
      <c r="E17" s="26"/>
      <c r="F17" s="107"/>
      <c r="G17" s="26"/>
      <c r="H17" s="107"/>
      <c r="I17" s="18"/>
      <c r="J17" s="122"/>
      <c r="K17" s="25"/>
      <c r="L17" s="121">
        <f>'Dec Data'!L17</f>
        <v>20251</v>
      </c>
      <c r="M17" s="22"/>
      <c r="N17" s="91"/>
      <c r="O17" s="22"/>
      <c r="P17" s="92">
        <f t="shared" si="4"/>
        <v>23.524484006779652</v>
      </c>
      <c r="Q17" s="22"/>
      <c r="R17" s="91"/>
      <c r="S17" s="22"/>
      <c r="T17" s="92">
        <f t="shared" si="5"/>
        <v>27.616279078869503</v>
      </c>
      <c r="U17" s="22"/>
      <c r="V17" s="91"/>
      <c r="W17" s="22"/>
      <c r="X17" s="92">
        <f t="shared" si="6"/>
        <v>29.407830934808548</v>
      </c>
      <c r="Y17" s="22"/>
      <c r="Z17" s="9"/>
      <c r="AA17" s="9"/>
      <c r="AB17" s="9"/>
    </row>
    <row r="18" spans="1:28" x14ac:dyDescent="0.25">
      <c r="A18" s="11">
        <f t="shared" si="3"/>
        <v>37237</v>
      </c>
      <c r="C18" s="18"/>
      <c r="D18" s="107"/>
      <c r="E18" s="18"/>
      <c r="F18" s="107"/>
      <c r="G18" s="18"/>
      <c r="H18" s="107"/>
      <c r="I18" s="18"/>
      <c r="J18" s="122"/>
      <c r="K18" s="25"/>
      <c r="L18" s="121">
        <f>'Dec Data'!L18</f>
        <v>20276</v>
      </c>
      <c r="M18" s="22"/>
      <c r="N18" s="91"/>
      <c r="O18" s="22"/>
      <c r="P18" s="92">
        <f t="shared" si="4"/>
        <v>23.553525145497218</v>
      </c>
      <c r="Q18" s="22"/>
      <c r="R18" s="91"/>
      <c r="S18" s="22"/>
      <c r="T18" s="92">
        <f t="shared" si="5"/>
        <v>27.650371566992153</v>
      </c>
      <c r="U18" s="22"/>
      <c r="V18" s="91"/>
      <c r="W18" s="22"/>
      <c r="X18" s="92">
        <f t="shared" si="6"/>
        <v>29.44413510612701</v>
      </c>
      <c r="Y18" s="22"/>
      <c r="Z18" s="9"/>
      <c r="AA18" s="9"/>
      <c r="AB18" s="9"/>
    </row>
    <row r="19" spans="1:28" x14ac:dyDescent="0.25">
      <c r="A19" s="11">
        <f t="shared" si="3"/>
        <v>37238</v>
      </c>
      <c r="C19" s="18"/>
      <c r="D19" s="107"/>
      <c r="E19" s="18"/>
      <c r="F19" s="107"/>
      <c r="G19" s="18"/>
      <c r="H19" s="107"/>
      <c r="I19" s="18"/>
      <c r="J19" s="122"/>
      <c r="K19" s="19"/>
      <c r="L19" s="121">
        <f>'Dec Data'!L19</f>
        <v>20303</v>
      </c>
      <c r="M19" s="22"/>
      <c r="N19" s="91"/>
      <c r="O19" s="22"/>
      <c r="P19" s="92">
        <f t="shared" si="4"/>
        <v>23.584889575312193</v>
      </c>
      <c r="Q19" s="22"/>
      <c r="R19" s="91"/>
      <c r="S19" s="22"/>
      <c r="T19" s="92">
        <f t="shared" si="5"/>
        <v>27.687191454164612</v>
      </c>
      <c r="U19" s="22"/>
      <c r="V19" s="91"/>
      <c r="W19" s="22"/>
      <c r="X19" s="92">
        <f t="shared" si="6"/>
        <v>29.48334361115095</v>
      </c>
      <c r="Y19" s="22"/>
      <c r="Z19" s="9"/>
      <c r="AA19" s="9"/>
      <c r="AB19" s="9"/>
    </row>
    <row r="20" spans="1:28" x14ac:dyDescent="0.25">
      <c r="A20" s="11">
        <f t="shared" si="3"/>
        <v>37239</v>
      </c>
      <c r="C20" s="18"/>
      <c r="D20" s="107"/>
      <c r="E20" s="18"/>
      <c r="F20" s="107"/>
      <c r="G20" s="18"/>
      <c r="H20" s="107"/>
      <c r="I20" s="18"/>
      <c r="J20" s="122"/>
      <c r="K20" s="19"/>
      <c r="L20" s="121">
        <f>'Dec Data'!L20</f>
        <v>19946</v>
      </c>
      <c r="M20" s="22"/>
      <c r="N20" s="91"/>
      <c r="O20" s="22"/>
      <c r="P20" s="92">
        <f t="shared" si="4"/>
        <v>23.170182114425309</v>
      </c>
      <c r="Q20" s="22"/>
      <c r="R20" s="91"/>
      <c r="S20" s="22"/>
      <c r="T20" s="92">
        <f t="shared" si="5"/>
        <v>27.200350723773202</v>
      </c>
      <c r="U20" s="22"/>
      <c r="V20" s="91"/>
      <c r="W20" s="22"/>
      <c r="X20" s="92">
        <f t="shared" si="6"/>
        <v>28.964920044723286</v>
      </c>
      <c r="Y20" s="22"/>
      <c r="Z20" s="9"/>
      <c r="AA20" s="9"/>
      <c r="AB20" s="9"/>
    </row>
    <row r="21" spans="1:28" s="31" customFormat="1" x14ac:dyDescent="0.25">
      <c r="A21" s="30">
        <f t="shared" si="3"/>
        <v>37240</v>
      </c>
      <c r="C21" s="36"/>
      <c r="D21" s="37"/>
      <c r="E21" s="32"/>
      <c r="F21" s="37"/>
      <c r="G21" s="32"/>
      <c r="H21" s="37"/>
      <c r="I21" s="32"/>
      <c r="J21" s="123"/>
      <c r="K21" s="33"/>
      <c r="L21" s="38">
        <f>'Dec Data'!L21</f>
        <v>0</v>
      </c>
      <c r="M21" s="35"/>
      <c r="N21" s="41"/>
      <c r="O21" s="35"/>
      <c r="P21" s="39"/>
      <c r="Q21" s="35"/>
      <c r="R21" s="41"/>
      <c r="S21" s="35"/>
      <c r="T21" s="39"/>
      <c r="U21" s="35"/>
      <c r="V21" s="41"/>
      <c r="W21" s="35"/>
      <c r="X21" s="39"/>
      <c r="Y21" s="35"/>
      <c r="Z21" s="108"/>
      <c r="AA21" s="108"/>
      <c r="AB21" s="108"/>
    </row>
    <row r="22" spans="1:28" s="31" customFormat="1" x14ac:dyDescent="0.25">
      <c r="A22" s="30">
        <f t="shared" si="3"/>
        <v>37241</v>
      </c>
      <c r="C22" s="32"/>
      <c r="D22" s="37"/>
      <c r="E22" s="32"/>
      <c r="F22" s="37"/>
      <c r="G22" s="32"/>
      <c r="H22" s="37"/>
      <c r="I22" s="32"/>
      <c r="J22" s="123"/>
      <c r="K22" s="33"/>
      <c r="L22" s="38">
        <f>'Dec Data'!L22</f>
        <v>0</v>
      </c>
      <c r="M22" s="35"/>
      <c r="N22" s="41"/>
      <c r="O22" s="35"/>
      <c r="P22" s="39"/>
      <c r="Q22" s="35"/>
      <c r="R22" s="41"/>
      <c r="S22" s="35"/>
      <c r="T22" s="39"/>
      <c r="U22" s="35"/>
      <c r="V22" s="41"/>
      <c r="W22" s="35"/>
      <c r="X22" s="39"/>
      <c r="Y22" s="35"/>
      <c r="Z22" s="108"/>
      <c r="AA22" s="108"/>
      <c r="AB22" s="108"/>
    </row>
    <row r="23" spans="1:28" x14ac:dyDescent="0.25">
      <c r="A23" s="11">
        <f t="shared" si="3"/>
        <v>37242</v>
      </c>
      <c r="C23" s="26"/>
      <c r="D23" s="107"/>
      <c r="E23" s="26"/>
      <c r="F23" s="107"/>
      <c r="G23" s="18"/>
      <c r="H23" s="107"/>
      <c r="I23" s="18"/>
      <c r="J23" s="122"/>
      <c r="K23" s="19"/>
      <c r="L23" s="121">
        <f>'Dec Data'!L23</f>
        <v>0</v>
      </c>
      <c r="M23" s="22"/>
      <c r="N23" s="91"/>
      <c r="O23" s="22"/>
      <c r="P23" s="92"/>
      <c r="Q23" s="22"/>
      <c r="R23" s="91"/>
      <c r="S23" s="22"/>
      <c r="T23" s="92"/>
      <c r="U23" s="22"/>
      <c r="V23" s="91"/>
      <c r="W23" s="22"/>
      <c r="X23" s="92"/>
      <c r="Y23" s="22"/>
      <c r="Z23" s="9"/>
      <c r="AA23" s="9"/>
      <c r="AB23" s="9"/>
    </row>
    <row r="24" spans="1:28" x14ac:dyDescent="0.25">
      <c r="A24" s="11">
        <f t="shared" si="3"/>
        <v>37243</v>
      </c>
      <c r="C24" s="18"/>
      <c r="D24" s="107"/>
      <c r="E24" s="18"/>
      <c r="F24" s="107"/>
      <c r="G24" s="18"/>
      <c r="H24" s="107"/>
      <c r="I24" s="18"/>
      <c r="J24" s="122"/>
      <c r="K24" s="19"/>
      <c r="L24" s="121">
        <f>'Dec Data'!L24</f>
        <v>0</v>
      </c>
      <c r="M24" s="22"/>
      <c r="N24" s="91"/>
      <c r="O24" s="22"/>
      <c r="P24" s="92"/>
      <c r="Q24" s="22"/>
      <c r="R24" s="91"/>
      <c r="S24" s="22"/>
      <c r="T24" s="92"/>
      <c r="U24" s="22"/>
      <c r="V24" s="91"/>
      <c r="W24" s="22"/>
      <c r="X24" s="92"/>
      <c r="Y24" s="22"/>
      <c r="Z24" s="9"/>
      <c r="AA24" s="9"/>
      <c r="AB24" s="9"/>
    </row>
    <row r="25" spans="1:28" x14ac:dyDescent="0.25">
      <c r="A25" s="11">
        <f t="shared" si="3"/>
        <v>37244</v>
      </c>
      <c r="C25" s="18"/>
      <c r="D25" s="107"/>
      <c r="E25" s="18"/>
      <c r="F25" s="107"/>
      <c r="G25" s="18"/>
      <c r="H25" s="107"/>
      <c r="I25" s="18"/>
      <c r="J25" s="122"/>
      <c r="K25" s="19"/>
      <c r="L25" s="121">
        <f>'Dec Data'!L25</f>
        <v>0</v>
      </c>
      <c r="M25" s="22"/>
      <c r="N25" s="91"/>
      <c r="O25" s="22"/>
      <c r="P25" s="92"/>
      <c r="Q25" s="22"/>
      <c r="R25" s="91"/>
      <c r="S25" s="22"/>
      <c r="T25" s="92"/>
      <c r="U25" s="22"/>
      <c r="V25" s="91"/>
      <c r="W25" s="22"/>
      <c r="X25" s="92"/>
      <c r="Y25" s="22"/>
      <c r="Z25" s="9"/>
      <c r="AA25" s="9"/>
      <c r="AB25" s="9"/>
    </row>
    <row r="26" spans="1:28" x14ac:dyDescent="0.25">
      <c r="A26" s="11">
        <f t="shared" si="3"/>
        <v>37245</v>
      </c>
      <c r="C26" s="26"/>
      <c r="D26" s="107"/>
      <c r="E26" s="18"/>
      <c r="F26" s="107"/>
      <c r="G26" s="18"/>
      <c r="H26" s="107"/>
      <c r="I26" s="18"/>
      <c r="J26" s="122"/>
      <c r="K26" s="19"/>
      <c r="L26" s="121">
        <f>'Dec Data'!L26</f>
        <v>0</v>
      </c>
      <c r="M26" s="22"/>
      <c r="N26" s="91"/>
      <c r="O26" s="22"/>
      <c r="P26" s="92"/>
      <c r="Q26" s="22"/>
      <c r="R26" s="91"/>
      <c r="S26" s="22"/>
      <c r="T26" s="92"/>
      <c r="U26" s="22"/>
      <c r="V26" s="91"/>
      <c r="W26" s="22"/>
      <c r="X26" s="92"/>
      <c r="Y26" s="22"/>
      <c r="Z26" s="9"/>
      <c r="AA26" s="9"/>
      <c r="AB26" s="9"/>
    </row>
    <row r="27" spans="1:28" x14ac:dyDescent="0.25">
      <c r="A27" s="11">
        <f t="shared" si="3"/>
        <v>37246</v>
      </c>
      <c r="C27" s="18"/>
      <c r="D27" s="107"/>
      <c r="E27" s="18"/>
      <c r="F27" s="107"/>
      <c r="G27" s="18"/>
      <c r="H27" s="107"/>
      <c r="I27" s="18"/>
      <c r="J27" s="122"/>
      <c r="K27" s="19"/>
      <c r="L27" s="121">
        <f>'Dec Data'!L27</f>
        <v>0</v>
      </c>
      <c r="M27" s="22"/>
      <c r="N27" s="91"/>
      <c r="O27" s="22"/>
      <c r="P27" s="92"/>
      <c r="Q27" s="22"/>
      <c r="R27" s="91"/>
      <c r="S27" s="22"/>
      <c r="T27" s="92"/>
      <c r="U27" s="22"/>
      <c r="V27" s="91"/>
      <c r="W27" s="22"/>
      <c r="X27" s="92"/>
      <c r="Y27" s="22"/>
      <c r="Z27" s="9"/>
      <c r="AA27" s="9"/>
      <c r="AB27" s="9"/>
    </row>
    <row r="28" spans="1:28" s="31" customFormat="1" x14ac:dyDescent="0.25">
      <c r="A28" s="30">
        <f t="shared" si="3"/>
        <v>37247</v>
      </c>
      <c r="C28" s="32"/>
      <c r="D28" s="37"/>
      <c r="E28" s="36"/>
      <c r="F28" s="37"/>
      <c r="G28" s="32"/>
      <c r="H28" s="37"/>
      <c r="I28" s="32"/>
      <c r="J28" s="123"/>
      <c r="K28" s="33"/>
      <c r="L28" s="38">
        <f>'Dec Data'!L28</f>
        <v>0</v>
      </c>
      <c r="M28" s="35"/>
      <c r="N28" s="41"/>
      <c r="O28" s="35"/>
      <c r="P28" s="39"/>
      <c r="Q28" s="35"/>
      <c r="R28" s="41"/>
      <c r="S28" s="35"/>
      <c r="T28" s="39"/>
      <c r="U28" s="35"/>
      <c r="V28" s="41"/>
      <c r="W28" s="35"/>
      <c r="X28" s="39"/>
      <c r="Y28" s="35"/>
    </row>
    <row r="29" spans="1:28" s="31" customFormat="1" x14ac:dyDescent="0.25">
      <c r="A29" s="30">
        <f t="shared" si="3"/>
        <v>37248</v>
      </c>
      <c r="C29" s="36"/>
      <c r="D29" s="37"/>
      <c r="E29" s="32"/>
      <c r="F29" s="37"/>
      <c r="G29" s="32"/>
      <c r="H29" s="37"/>
      <c r="I29" s="32"/>
      <c r="J29" s="123"/>
      <c r="K29" s="33"/>
      <c r="L29" s="38">
        <f>'Dec Data'!L29</f>
        <v>0</v>
      </c>
      <c r="M29" s="35"/>
      <c r="N29" s="41"/>
      <c r="O29" s="35"/>
      <c r="P29" s="39"/>
      <c r="Q29" s="35"/>
      <c r="R29" s="41"/>
      <c r="S29" s="35"/>
      <c r="T29" s="39"/>
      <c r="U29" s="35"/>
      <c r="V29" s="41"/>
      <c r="W29" s="35"/>
      <c r="X29" s="39"/>
      <c r="Y29" s="35"/>
    </row>
    <row r="30" spans="1:28" x14ac:dyDescent="0.25">
      <c r="A30" s="11">
        <f t="shared" si="3"/>
        <v>37249</v>
      </c>
      <c r="C30" s="18"/>
      <c r="D30" s="107"/>
      <c r="E30" s="18"/>
      <c r="F30" s="107"/>
      <c r="G30" s="18"/>
      <c r="H30" s="107"/>
      <c r="I30" s="18"/>
      <c r="J30" s="122"/>
      <c r="K30" s="19"/>
      <c r="L30" s="121">
        <f>'Dec Data'!L30</f>
        <v>0</v>
      </c>
      <c r="M30" s="22"/>
      <c r="N30" s="91"/>
      <c r="O30" s="22"/>
      <c r="P30" s="92"/>
      <c r="Q30" s="22"/>
      <c r="R30" s="91"/>
      <c r="S30" s="22"/>
      <c r="T30" s="92"/>
      <c r="U30" s="22"/>
      <c r="V30" s="91"/>
      <c r="W30" s="22"/>
      <c r="X30" s="92"/>
      <c r="Y30" s="22"/>
    </row>
    <row r="31" spans="1:28" x14ac:dyDescent="0.25">
      <c r="A31" s="11">
        <f t="shared" si="3"/>
        <v>37250</v>
      </c>
      <c r="C31" s="18"/>
      <c r="D31" s="107"/>
      <c r="E31" s="18"/>
      <c r="F31" s="107"/>
      <c r="G31" s="18"/>
      <c r="H31" s="107"/>
      <c r="I31" s="18"/>
      <c r="J31" s="122"/>
      <c r="K31" s="19"/>
      <c r="L31" s="121">
        <f>'Dec Data'!L31</f>
        <v>0</v>
      </c>
      <c r="M31" s="22"/>
      <c r="N31" s="91"/>
      <c r="O31" s="22"/>
      <c r="P31" s="92"/>
      <c r="Q31" s="22"/>
      <c r="R31" s="91"/>
      <c r="S31" s="22"/>
      <c r="T31" s="92"/>
      <c r="U31" s="22"/>
      <c r="V31" s="91"/>
      <c r="W31" s="22"/>
      <c r="X31" s="92"/>
      <c r="Y31" s="22"/>
    </row>
    <row r="32" spans="1:28" x14ac:dyDescent="0.25">
      <c r="A32" s="11">
        <f t="shared" si="3"/>
        <v>37251</v>
      </c>
      <c r="C32" s="18"/>
      <c r="D32" s="107"/>
      <c r="E32" s="18"/>
      <c r="F32" s="107"/>
      <c r="G32" s="18"/>
      <c r="H32" s="107"/>
      <c r="I32" s="18"/>
      <c r="J32" s="18"/>
      <c r="K32" s="19"/>
      <c r="L32" s="121">
        <f>'Dec Data'!L32</f>
        <v>0</v>
      </c>
      <c r="M32" s="22"/>
      <c r="N32" s="91"/>
      <c r="O32" s="22"/>
      <c r="P32" s="92"/>
      <c r="Q32" s="22"/>
      <c r="R32" s="91"/>
      <c r="S32" s="22"/>
      <c r="T32" s="92"/>
      <c r="U32" s="22"/>
      <c r="V32" s="91"/>
      <c r="W32" s="22"/>
      <c r="X32" s="92"/>
      <c r="Y32" s="22"/>
    </row>
    <row r="33" spans="1:25" x14ac:dyDescent="0.25">
      <c r="A33" s="11">
        <f t="shared" si="3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121">
        <f>'Dec Data'!L33</f>
        <v>0</v>
      </c>
      <c r="M33" s="22"/>
      <c r="N33" s="91"/>
      <c r="O33" s="22"/>
      <c r="P33" s="92"/>
      <c r="Q33" s="22"/>
      <c r="R33" s="91"/>
      <c r="S33" s="22"/>
      <c r="T33" s="92"/>
      <c r="U33" s="22"/>
      <c r="V33" s="91"/>
      <c r="W33" s="22"/>
      <c r="X33" s="92"/>
      <c r="Y33" s="22"/>
    </row>
    <row r="34" spans="1:25" x14ac:dyDescent="0.25">
      <c r="A34" s="11">
        <f t="shared" si="3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121">
        <f>'Dec Data'!L34</f>
        <v>0</v>
      </c>
      <c r="M34" s="22"/>
      <c r="N34" s="91"/>
      <c r="O34" s="22"/>
      <c r="P34" s="92"/>
      <c r="Q34" s="22"/>
      <c r="R34" s="91"/>
      <c r="S34" s="22"/>
      <c r="T34" s="92"/>
      <c r="U34" s="22"/>
      <c r="V34" s="91"/>
      <c r="W34" s="22"/>
      <c r="X34" s="92"/>
      <c r="Y34" s="22"/>
    </row>
    <row r="35" spans="1:25" s="31" customFormat="1" x14ac:dyDescent="0.25">
      <c r="A35" s="30">
        <f t="shared" si="3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>
        <f>'Dec Data'!L35</f>
        <v>0</v>
      </c>
      <c r="M35" s="35"/>
      <c r="N35" s="41"/>
      <c r="O35" s="35"/>
      <c r="P35" s="39"/>
      <c r="Q35" s="35"/>
      <c r="R35" s="41"/>
      <c r="S35" s="35"/>
      <c r="T35" s="39"/>
      <c r="U35" s="35"/>
      <c r="V35" s="41"/>
      <c r="W35" s="35"/>
      <c r="X35" s="39"/>
      <c r="Y35" s="35"/>
    </row>
    <row r="36" spans="1:25" s="31" customFormat="1" x14ac:dyDescent="0.25">
      <c r="A36" s="30">
        <f t="shared" si="3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>
        <f>'Dec Data'!L36</f>
        <v>0</v>
      </c>
      <c r="M36" s="35"/>
      <c r="N36" s="41"/>
      <c r="O36" s="35"/>
      <c r="P36" s="39"/>
      <c r="Q36" s="35"/>
      <c r="R36" s="41"/>
      <c r="S36" s="35"/>
      <c r="T36" s="39"/>
      <c r="U36" s="35"/>
      <c r="V36" s="41"/>
      <c r="W36" s="35"/>
      <c r="X36" s="39"/>
      <c r="Y36" s="35"/>
    </row>
    <row r="37" spans="1:25" x14ac:dyDescent="0.25">
      <c r="A37" s="11">
        <f t="shared" si="3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121">
        <f>'Dec Data'!L37</f>
        <v>0</v>
      </c>
      <c r="M37" s="22"/>
      <c r="N37" s="91"/>
      <c r="O37" s="22"/>
      <c r="P37" s="92"/>
      <c r="Q37" s="22"/>
      <c r="R37" s="91"/>
      <c r="S37" s="22"/>
      <c r="T37" s="92"/>
      <c r="U37" s="22"/>
      <c r="V37" s="91"/>
      <c r="W37" s="22"/>
      <c r="X37" s="92"/>
      <c r="Y37" s="22"/>
    </row>
    <row r="38" spans="1:25" x14ac:dyDescent="0.25">
      <c r="A38" s="11">
        <f t="shared" si="3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121">
        <f>'Dec Data'!L38</f>
        <v>0</v>
      </c>
      <c r="M38" s="22"/>
      <c r="N38" s="22"/>
      <c r="O38" s="22"/>
      <c r="P38" s="92"/>
      <c r="Q38" s="22"/>
      <c r="R38" s="22"/>
      <c r="S38" s="22"/>
      <c r="T38" s="92"/>
      <c r="U38" s="22"/>
      <c r="V38" s="22"/>
      <c r="W38" s="22"/>
      <c r="X38" s="92"/>
      <c r="Y38" s="22"/>
    </row>
    <row r="39" spans="1:25" x14ac:dyDescent="0.25">
      <c r="A39" s="11">
        <f t="shared" si="3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121">
        <f>'Dec Data'!L39</f>
        <v>0</v>
      </c>
      <c r="M39" s="49"/>
      <c r="N39" s="49"/>
      <c r="O39" s="49"/>
      <c r="P39" s="92"/>
      <c r="Q39" s="49"/>
      <c r="R39" s="49"/>
      <c r="S39" s="49"/>
      <c r="T39" s="92"/>
      <c r="U39" s="49"/>
      <c r="V39" s="49"/>
      <c r="W39" s="49"/>
      <c r="X39" s="92"/>
      <c r="Y39" s="22"/>
    </row>
    <row r="40" spans="1:25" x14ac:dyDescent="0.25">
      <c r="A40" s="11">
        <f t="shared" si="3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121">
        <f>'Dec Data'!L40</f>
        <v>0</v>
      </c>
      <c r="M40" s="49"/>
      <c r="N40" s="49"/>
      <c r="O40" s="49"/>
      <c r="P40" s="92"/>
      <c r="Q40" s="49"/>
      <c r="R40" s="49"/>
      <c r="S40" s="49"/>
      <c r="T40" s="92"/>
      <c r="U40" s="49"/>
      <c r="V40" s="49"/>
      <c r="W40" s="49"/>
      <c r="X40" s="92"/>
      <c r="Y40" s="22"/>
    </row>
    <row r="41" spans="1:25" x14ac:dyDescent="0.25">
      <c r="A41" s="11">
        <f t="shared" si="3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121">
        <f>'Dec Data'!L41</f>
        <v>0</v>
      </c>
      <c r="M41" s="49"/>
      <c r="N41" s="95"/>
      <c r="O41" s="95"/>
      <c r="P41" s="117"/>
      <c r="Q41" s="95"/>
      <c r="R41" s="95"/>
      <c r="S41" s="95"/>
      <c r="T41" s="117"/>
      <c r="U41" s="95"/>
      <c r="V41" s="95"/>
      <c r="W41" s="95"/>
      <c r="X41" s="117"/>
      <c r="Y41" s="22"/>
    </row>
    <row r="42" spans="1:25" ht="13.8" thickBot="1" x14ac:dyDescent="0.3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5" x14ac:dyDescent="0.25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>
        <f>AVERAGE(L9:L13)</f>
        <v>19552.8</v>
      </c>
      <c r="M43" s="60"/>
      <c r="N43" s="115">
        <f>AVERAGE(N9:N13)</f>
        <v>860.8477871040127</v>
      </c>
      <c r="O43" s="115"/>
      <c r="P43" s="115">
        <f t="shared" ref="P43:X43" si="7">AVERAGE(P9:P13)</f>
        <v>22.713423084675384</v>
      </c>
      <c r="Q43" s="115"/>
      <c r="R43" s="115">
        <f t="shared" si="7"/>
        <v>733.29936817936414</v>
      </c>
      <c r="S43" s="115"/>
      <c r="T43" s="115">
        <f t="shared" si="7"/>
        <v>26.6641440705802</v>
      </c>
      <c r="U43" s="115"/>
      <c r="V43" s="115">
        <f t="shared" si="7"/>
        <v>688.62610251305296</v>
      </c>
      <c r="W43" s="115"/>
      <c r="X43" s="115">
        <f t="shared" si="7"/>
        <v>28.393928038226488</v>
      </c>
      <c r="Y43" s="22"/>
    </row>
    <row r="44" spans="1:25" x14ac:dyDescent="0.25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>
        <f>AVERAGE(L16:L20)</f>
        <v>20165.599999999999</v>
      </c>
      <c r="M44" s="50"/>
      <c r="N44" s="113"/>
      <c r="O44" s="51"/>
      <c r="P44" s="113"/>
      <c r="Q44" s="113"/>
      <c r="R44" s="113"/>
      <c r="S44" s="113"/>
      <c r="T44" s="113"/>
      <c r="U44" s="113"/>
      <c r="V44" s="113"/>
      <c r="W44" s="113"/>
      <c r="X44" s="112"/>
      <c r="Y44" s="22"/>
    </row>
    <row r="45" spans="1:25" x14ac:dyDescent="0.25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>
        <f>AVERAGE(L23:L27)</f>
        <v>0</v>
      </c>
      <c r="M45" s="50"/>
      <c r="N45" s="113"/>
      <c r="O45" s="51"/>
      <c r="P45" s="113"/>
      <c r="Q45" s="113"/>
      <c r="R45" s="113"/>
      <c r="S45" s="113"/>
      <c r="T45" s="113"/>
      <c r="U45" s="113"/>
      <c r="V45" s="113"/>
      <c r="W45" s="113"/>
      <c r="X45" s="112"/>
      <c r="Y45" s="22"/>
    </row>
    <row r="46" spans="1:25" x14ac:dyDescent="0.25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>
        <f>AVERAGE(L24:L28)</f>
        <v>0</v>
      </c>
      <c r="M46" s="51"/>
      <c r="N46" s="50"/>
      <c r="O46" s="51"/>
      <c r="P46" s="113"/>
      <c r="Q46" s="113"/>
      <c r="R46" s="50"/>
      <c r="S46" s="113"/>
      <c r="T46" s="113"/>
      <c r="U46" s="113"/>
      <c r="V46" s="50"/>
      <c r="W46" s="113"/>
      <c r="X46" s="112"/>
      <c r="Y46" s="22"/>
    </row>
    <row r="47" spans="1:25" ht="13.8" thickBot="1" x14ac:dyDescent="0.3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3"/>
      <c r="L47" s="84">
        <f>AVERAGE(L37:L41)</f>
        <v>0</v>
      </c>
      <c r="M47" s="84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22"/>
    </row>
    <row r="48" spans="1:25" ht="13.8" thickBot="1" x14ac:dyDescent="0.3">
      <c r="A48" s="71" t="s">
        <v>34</v>
      </c>
      <c r="B48" s="72"/>
      <c r="C48" s="73" t="e">
        <f t="shared" ref="C48:J48" si="8">AVERAGE(C43:C46)</f>
        <v>#DIV/0!</v>
      </c>
      <c r="D48" s="73" t="e">
        <f t="shared" si="8"/>
        <v>#DIV/0!</v>
      </c>
      <c r="E48" s="73" t="e">
        <f t="shared" si="8"/>
        <v>#DIV/0!</v>
      </c>
      <c r="F48" s="73" t="e">
        <f t="shared" si="8"/>
        <v>#DIV/0!</v>
      </c>
      <c r="G48" s="73" t="e">
        <f t="shared" si="8"/>
        <v>#DIV/0!</v>
      </c>
      <c r="H48" s="73" t="e">
        <f t="shared" si="8"/>
        <v>#DIV/0!</v>
      </c>
      <c r="I48" s="73" t="e">
        <f t="shared" si="8"/>
        <v>#DIV/0!</v>
      </c>
      <c r="J48" s="73" t="e">
        <f t="shared" si="8"/>
        <v>#DIV/0!</v>
      </c>
      <c r="K48" s="74"/>
      <c r="L48" s="75">
        <f>AVERAGE(L9:L39)</f>
        <v>7510.1290322580644</v>
      </c>
      <c r="M48" s="76"/>
      <c r="N48" s="119">
        <f>AVERAGE(N9:N39)</f>
        <v>860.8477871040127</v>
      </c>
      <c r="O48" s="94"/>
      <c r="P48" s="119">
        <f>AVERAGE(P9:P39)</f>
        <v>22.537278897973753</v>
      </c>
      <c r="Q48" s="119"/>
      <c r="R48" s="119">
        <f>AVERAGE(R9:R39)</f>
        <v>733.29936817936414</v>
      </c>
      <c r="S48" s="119"/>
      <c r="T48" s="119">
        <f>AVERAGE(T9:T39)</f>
        <v>26.457361765953635</v>
      </c>
      <c r="U48" s="119" t="e">
        <f>AVERAGE(U9:U39)</f>
        <v>#DIV/0!</v>
      </c>
      <c r="V48" s="119">
        <f>AVERAGE(V9:V39)</f>
        <v>688.62610251305296</v>
      </c>
      <c r="W48" s="119"/>
      <c r="X48" s="120">
        <f>AVERAGE(X9:X39)</f>
        <v>28.173731137789559</v>
      </c>
      <c r="Y48" s="22"/>
    </row>
    <row r="49" spans="1:24" ht="13.8" thickBot="1" x14ac:dyDescent="0.3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WE Prices</vt:lpstr>
      <vt:lpstr>Oct Data</vt:lpstr>
      <vt:lpstr>Nov Data</vt:lpstr>
      <vt:lpstr>Dec Data</vt:lpstr>
      <vt:lpstr>Oct DA</vt:lpstr>
      <vt:lpstr>Nov DA</vt:lpstr>
      <vt:lpstr>Dec DA</vt:lpstr>
      <vt:lpstr>'Dec DA'!Print_Area</vt:lpstr>
      <vt:lpstr>'Dec Data'!Print_Area</vt:lpstr>
      <vt:lpstr>'Nov DA'!Print_Area</vt:lpstr>
      <vt:lpstr>'Nov Data'!Print_Area</vt:lpstr>
      <vt:lpstr>'Oct DA'!Print_Area</vt:lpstr>
      <vt:lpstr>'Oct Data'!Print_Area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2001-11-30T13:13:13Z</cp:lastPrinted>
  <dcterms:created xsi:type="dcterms:W3CDTF">2001-09-16T20:37:22Z</dcterms:created>
  <dcterms:modified xsi:type="dcterms:W3CDTF">2023-09-10T11:55:27Z</dcterms:modified>
</cp:coreProperties>
</file>