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00" windowWidth="15156" windowHeight="4560" tabRatio="898" activeTab="3"/>
  </bookViews>
  <sheets>
    <sheet name="EOL LINKS" sheetId="1" r:id="rId1"/>
    <sheet name="ZONE A POSITIONS" sheetId="2" r:id="rId2"/>
    <sheet name="Zone A" sheetId="13" r:id="rId3"/>
    <sheet name="ZONE G POSITIONS" sheetId="9" r:id="rId4"/>
    <sheet name="Zone G" sheetId="14" r:id="rId5"/>
    <sheet name="ZONE J POSITIONS" sheetId="10" r:id="rId6"/>
    <sheet name="Zone J" sheetId="15" r:id="rId7"/>
    <sheet name="ZONE A OFFPEAK" sheetId="18" r:id="rId8"/>
    <sheet name="OffPeak" sheetId="17" state="hidden" r:id="rId9"/>
    <sheet name="ZONE G OFFPEAK" sheetId="19" r:id="rId10"/>
    <sheet name="ZONE J OFFPEAK" sheetId="20" r:id="rId11"/>
    <sheet name="ZONE A DAY AHEAD" sheetId="4" r:id="rId12"/>
    <sheet name="ZONE G DAY AHEAD" sheetId="11" r:id="rId13"/>
    <sheet name="ZONE J DAY AHEAD" sheetId="12" r:id="rId14"/>
    <sheet name="DATA" sheetId="5" r:id="rId15"/>
    <sheet name="SPREADS" sheetId="6" r:id="rId16"/>
    <sheet name="Marks" sheetId="7" r:id="rId17"/>
    <sheet name="Sum Positions" sheetId="8" r:id="rId18"/>
  </sheets>
  <externalReferences>
    <externalReference r:id="rId19"/>
    <externalReference r:id="rId20"/>
    <externalReference r:id="rId21"/>
  </externalReferences>
  <definedNames>
    <definedName name="DaysLeft">[2]DayCalc!$AA$48</definedName>
    <definedName name="NumProducts" localSheetId="14">DATA!$H$1</definedName>
    <definedName name="NumProducts" localSheetId="16">DATA!$H$1</definedName>
    <definedName name="NumProducts" localSheetId="15">DATA!$H$1</definedName>
    <definedName name="NumProducts">'EOL LINKS'!$G$1</definedName>
    <definedName name="_xlnm.Print_Area" localSheetId="7">'ZONE A OFFPEAK'!$A$1:$K$32</definedName>
    <definedName name="_xlnm.Print_Area" localSheetId="1">'ZONE A POSITIONS'!$A$1:$K$32</definedName>
    <definedName name="_xlnm.Print_Area" localSheetId="9">'ZONE G OFFPEAK'!$A$1:$K$32</definedName>
    <definedName name="_xlnm.Print_Area" localSheetId="3">'ZONE G POSITIONS'!$A$1:$K$32</definedName>
    <definedName name="_xlnm.Print_Area" localSheetId="10">'ZONE J OFFPEAK'!$A$1:$K$32</definedName>
    <definedName name="_xlnm.Print_Area" localSheetId="5">'ZONE J POSITIONS'!$A$1:$K$32</definedName>
  </definedNames>
  <calcPr calcId="92512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I6" i="1"/>
  <c r="I7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CJ19" i="17"/>
  <c r="CK19" i="17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C2" i="6"/>
  <c r="D2" i="6"/>
  <c r="F2" i="6"/>
  <c r="G2" i="6"/>
  <c r="H2" i="6"/>
  <c r="I2" i="6"/>
  <c r="J2" i="6"/>
  <c r="K2" i="6"/>
  <c r="M2" i="6"/>
  <c r="N2" i="6"/>
  <c r="O2" i="6"/>
  <c r="P2" i="6"/>
  <c r="Q2" i="6"/>
  <c r="R2" i="6"/>
  <c r="X2" i="6"/>
  <c r="Y2" i="6"/>
  <c r="Z2" i="6"/>
  <c r="AA2" i="6"/>
  <c r="AB2" i="6"/>
  <c r="AC2" i="6"/>
  <c r="AF2" i="6"/>
  <c r="AG2" i="6"/>
  <c r="AH2" i="6"/>
  <c r="AI2" i="6"/>
  <c r="AJ2" i="6"/>
  <c r="AK2" i="6"/>
  <c r="B3" i="6"/>
  <c r="C3" i="6"/>
  <c r="D3" i="6"/>
  <c r="F3" i="6"/>
  <c r="G3" i="6"/>
  <c r="H3" i="6"/>
  <c r="I3" i="6"/>
  <c r="J3" i="6"/>
  <c r="K3" i="6"/>
  <c r="M3" i="6"/>
  <c r="N3" i="6"/>
  <c r="X3" i="6"/>
  <c r="Y3" i="6"/>
  <c r="Z3" i="6"/>
  <c r="AA3" i="6"/>
  <c r="AB3" i="6"/>
  <c r="AC3" i="6"/>
  <c r="AF3" i="6"/>
  <c r="AG3" i="6"/>
  <c r="AH3" i="6"/>
  <c r="AI3" i="6"/>
  <c r="AJ3" i="6"/>
  <c r="AK3" i="6"/>
  <c r="B4" i="6"/>
  <c r="C4" i="6"/>
  <c r="D4" i="6"/>
  <c r="F4" i="6"/>
  <c r="G4" i="6"/>
  <c r="H4" i="6"/>
  <c r="I4" i="6"/>
  <c r="J4" i="6"/>
  <c r="K4" i="6"/>
  <c r="M4" i="6"/>
  <c r="N4" i="6"/>
  <c r="O4" i="6"/>
  <c r="P4" i="6"/>
  <c r="Q4" i="6"/>
  <c r="R4" i="6"/>
  <c r="X4" i="6"/>
  <c r="Y4" i="6"/>
  <c r="Z4" i="6"/>
  <c r="AA4" i="6"/>
  <c r="AB4" i="6"/>
  <c r="AC4" i="6"/>
  <c r="AF4" i="6"/>
  <c r="AG4" i="6"/>
  <c r="AH4" i="6"/>
  <c r="AI4" i="6"/>
  <c r="AJ4" i="6"/>
  <c r="AK4" i="6"/>
  <c r="B5" i="6"/>
  <c r="C5" i="6"/>
  <c r="D5" i="6"/>
  <c r="F5" i="6"/>
  <c r="G5" i="6"/>
  <c r="H5" i="6"/>
  <c r="I5" i="6"/>
  <c r="J5" i="6"/>
  <c r="K5" i="6"/>
  <c r="M5" i="6"/>
  <c r="N5" i="6"/>
  <c r="O5" i="6"/>
  <c r="P5" i="6"/>
  <c r="Q5" i="6"/>
  <c r="R5" i="6"/>
  <c r="X5" i="6"/>
  <c r="Y5" i="6"/>
  <c r="Z5" i="6"/>
  <c r="AA5" i="6"/>
  <c r="AB5" i="6"/>
  <c r="AC5" i="6"/>
  <c r="AF5" i="6"/>
  <c r="AG5" i="6"/>
  <c r="AH5" i="6"/>
  <c r="AI5" i="6"/>
  <c r="AJ5" i="6"/>
  <c r="AK5" i="6"/>
  <c r="B6" i="6"/>
  <c r="C6" i="6"/>
  <c r="D6" i="6"/>
  <c r="F6" i="6"/>
  <c r="G6" i="6"/>
  <c r="H6" i="6"/>
  <c r="I6" i="6"/>
  <c r="J6" i="6"/>
  <c r="K6" i="6"/>
  <c r="M6" i="6"/>
  <c r="N6" i="6"/>
  <c r="O6" i="6"/>
  <c r="P6" i="6"/>
  <c r="Q6" i="6"/>
  <c r="R6" i="6"/>
  <c r="X6" i="6"/>
  <c r="Y6" i="6"/>
  <c r="Z6" i="6"/>
  <c r="AA6" i="6"/>
  <c r="AB6" i="6"/>
  <c r="AC6" i="6"/>
  <c r="AF6" i="6"/>
  <c r="AG6" i="6"/>
  <c r="AH6" i="6"/>
  <c r="AI6" i="6"/>
  <c r="AJ6" i="6"/>
  <c r="AK6" i="6"/>
  <c r="B7" i="6"/>
  <c r="C7" i="6"/>
  <c r="D7" i="6"/>
  <c r="F7" i="6"/>
  <c r="G7" i="6"/>
  <c r="H7" i="6"/>
  <c r="I7" i="6"/>
  <c r="J7" i="6"/>
  <c r="K7" i="6"/>
  <c r="M7" i="6"/>
  <c r="N7" i="6"/>
  <c r="O7" i="6"/>
  <c r="P7" i="6"/>
  <c r="Q7" i="6"/>
  <c r="R7" i="6"/>
  <c r="X7" i="6"/>
  <c r="Y7" i="6"/>
  <c r="Z7" i="6"/>
  <c r="AA7" i="6"/>
  <c r="AB7" i="6"/>
  <c r="AC7" i="6"/>
  <c r="AF7" i="6"/>
  <c r="AG7" i="6"/>
  <c r="AH7" i="6"/>
  <c r="AI7" i="6"/>
  <c r="AJ7" i="6"/>
  <c r="AK7" i="6"/>
  <c r="B8" i="6"/>
  <c r="C8" i="6"/>
  <c r="D8" i="6"/>
  <c r="F8" i="6"/>
  <c r="G8" i="6"/>
  <c r="H8" i="6"/>
  <c r="I8" i="6"/>
  <c r="J8" i="6"/>
  <c r="K8" i="6"/>
  <c r="M8" i="6"/>
  <c r="N8" i="6"/>
  <c r="O8" i="6"/>
  <c r="P8" i="6"/>
  <c r="Q8" i="6"/>
  <c r="R8" i="6"/>
  <c r="X8" i="6"/>
  <c r="Y8" i="6"/>
  <c r="Z8" i="6"/>
  <c r="AA8" i="6"/>
  <c r="AB8" i="6"/>
  <c r="AC8" i="6"/>
  <c r="AF8" i="6"/>
  <c r="AG8" i="6"/>
  <c r="AH8" i="6"/>
  <c r="AI8" i="6"/>
  <c r="AJ8" i="6"/>
  <c r="AK8" i="6"/>
  <c r="B9" i="6"/>
  <c r="C9" i="6"/>
  <c r="D9" i="6"/>
  <c r="F9" i="6"/>
  <c r="G9" i="6"/>
  <c r="H9" i="6"/>
  <c r="I9" i="6"/>
  <c r="J9" i="6"/>
  <c r="K9" i="6"/>
  <c r="M9" i="6"/>
  <c r="N9" i="6"/>
  <c r="O9" i="6"/>
  <c r="P9" i="6"/>
  <c r="Q9" i="6"/>
  <c r="R9" i="6"/>
  <c r="X9" i="6"/>
  <c r="Y9" i="6"/>
  <c r="Z9" i="6"/>
  <c r="AA9" i="6"/>
  <c r="AB9" i="6"/>
  <c r="AC9" i="6"/>
  <c r="AF9" i="6"/>
  <c r="AG9" i="6"/>
  <c r="AH9" i="6"/>
  <c r="AI9" i="6"/>
  <c r="AJ9" i="6"/>
  <c r="AK9" i="6"/>
  <c r="B10" i="6"/>
  <c r="C10" i="6"/>
  <c r="D10" i="6"/>
  <c r="F10" i="6"/>
  <c r="G10" i="6"/>
  <c r="H10" i="6"/>
  <c r="I10" i="6"/>
  <c r="J10" i="6"/>
  <c r="K10" i="6"/>
  <c r="M10" i="6"/>
  <c r="N10" i="6"/>
  <c r="O10" i="6"/>
  <c r="P10" i="6"/>
  <c r="Q10" i="6"/>
  <c r="R10" i="6"/>
  <c r="X10" i="6"/>
  <c r="Y10" i="6"/>
  <c r="Z10" i="6"/>
  <c r="AA10" i="6"/>
  <c r="AB10" i="6"/>
  <c r="AC10" i="6"/>
  <c r="AF10" i="6"/>
  <c r="AG10" i="6"/>
  <c r="AH10" i="6"/>
  <c r="AI10" i="6"/>
  <c r="AJ10" i="6"/>
  <c r="AK10" i="6"/>
  <c r="B11" i="6"/>
  <c r="C11" i="6"/>
  <c r="D11" i="6"/>
  <c r="F11" i="6"/>
  <c r="G11" i="6"/>
  <c r="H11" i="6"/>
  <c r="I11" i="6"/>
  <c r="J11" i="6"/>
  <c r="K11" i="6"/>
  <c r="M11" i="6"/>
  <c r="N11" i="6"/>
  <c r="O11" i="6"/>
  <c r="P11" i="6"/>
  <c r="Q11" i="6"/>
  <c r="R11" i="6"/>
  <c r="X11" i="6"/>
  <c r="Y11" i="6"/>
  <c r="Z11" i="6"/>
  <c r="AA11" i="6"/>
  <c r="AB11" i="6"/>
  <c r="AC11" i="6"/>
  <c r="AF11" i="6"/>
  <c r="AG11" i="6"/>
  <c r="AH11" i="6"/>
  <c r="AI11" i="6"/>
  <c r="AJ11" i="6"/>
  <c r="AK11" i="6"/>
  <c r="B12" i="6"/>
  <c r="C12" i="6"/>
  <c r="D12" i="6"/>
  <c r="F12" i="6"/>
  <c r="G12" i="6"/>
  <c r="H12" i="6"/>
  <c r="I12" i="6"/>
  <c r="J12" i="6"/>
  <c r="K12" i="6"/>
  <c r="M12" i="6"/>
  <c r="N12" i="6"/>
  <c r="X12" i="6"/>
  <c r="Y12" i="6"/>
  <c r="Z12" i="6"/>
  <c r="AA12" i="6"/>
  <c r="AB12" i="6"/>
  <c r="AC12" i="6"/>
  <c r="AF12" i="6"/>
  <c r="AG12" i="6"/>
  <c r="AH12" i="6"/>
  <c r="AI12" i="6"/>
  <c r="AJ12" i="6"/>
  <c r="AK12" i="6"/>
  <c r="B13" i="6"/>
  <c r="C13" i="6"/>
  <c r="D13" i="6"/>
  <c r="F13" i="6"/>
  <c r="G13" i="6"/>
  <c r="H13" i="6"/>
  <c r="I13" i="6"/>
  <c r="J13" i="6"/>
  <c r="K13" i="6"/>
  <c r="X13" i="6"/>
  <c r="Y13" i="6"/>
  <c r="Z13" i="6"/>
  <c r="AA13" i="6"/>
  <c r="AB13" i="6"/>
  <c r="AC13" i="6"/>
  <c r="AF13" i="6"/>
  <c r="AG13" i="6"/>
  <c r="AH13" i="6"/>
  <c r="AI13" i="6"/>
  <c r="AJ13" i="6"/>
  <c r="AK13" i="6"/>
  <c r="B16" i="6"/>
  <c r="C16" i="6"/>
  <c r="D16" i="6"/>
  <c r="E16" i="6"/>
  <c r="F16" i="6"/>
  <c r="G16" i="6"/>
  <c r="I16" i="6"/>
  <c r="J16" i="6"/>
  <c r="K16" i="6"/>
  <c r="L16" i="6"/>
  <c r="M16" i="6"/>
  <c r="N16" i="6"/>
  <c r="P16" i="6"/>
  <c r="Q16" i="6"/>
  <c r="R16" i="6"/>
  <c r="S16" i="6"/>
  <c r="T16" i="6"/>
  <c r="U16" i="6"/>
  <c r="B17" i="6"/>
  <c r="C17" i="6"/>
  <c r="P17" i="6"/>
  <c r="Q17" i="6"/>
  <c r="B18" i="6"/>
  <c r="C18" i="6"/>
  <c r="D18" i="6"/>
  <c r="E18" i="6"/>
  <c r="F18" i="6"/>
  <c r="G18" i="6"/>
  <c r="I18" i="6"/>
  <c r="J18" i="6"/>
  <c r="K18" i="6"/>
  <c r="L18" i="6"/>
  <c r="M18" i="6"/>
  <c r="N18" i="6"/>
  <c r="P18" i="6"/>
  <c r="Q18" i="6"/>
  <c r="R18" i="6"/>
  <c r="S18" i="6"/>
  <c r="T18" i="6"/>
  <c r="U18" i="6"/>
  <c r="B19" i="6"/>
  <c r="C19" i="6"/>
  <c r="D19" i="6"/>
  <c r="E19" i="6"/>
  <c r="F19" i="6"/>
  <c r="G19" i="6"/>
  <c r="I19" i="6"/>
  <c r="J19" i="6"/>
  <c r="K19" i="6"/>
  <c r="L19" i="6"/>
  <c r="M19" i="6"/>
  <c r="N19" i="6"/>
  <c r="P19" i="6"/>
  <c r="Q19" i="6"/>
  <c r="B20" i="6"/>
  <c r="C20" i="6"/>
  <c r="D20" i="6"/>
  <c r="E20" i="6"/>
  <c r="F20" i="6"/>
  <c r="G20" i="6"/>
  <c r="I20" i="6"/>
  <c r="J20" i="6"/>
  <c r="P20" i="6"/>
  <c r="Q20" i="6"/>
  <c r="B21" i="6"/>
  <c r="C21" i="6"/>
  <c r="D21" i="6"/>
  <c r="E21" i="6"/>
  <c r="F21" i="6"/>
  <c r="G21" i="6"/>
  <c r="I21" i="6"/>
  <c r="J21" i="6"/>
  <c r="P21" i="6"/>
  <c r="Q21" i="6"/>
  <c r="B22" i="6"/>
  <c r="C22" i="6"/>
  <c r="D22" i="6"/>
  <c r="E22" i="6"/>
  <c r="F22" i="6"/>
  <c r="G22" i="6"/>
  <c r="I22" i="6"/>
  <c r="J22" i="6"/>
  <c r="K22" i="6"/>
  <c r="L22" i="6"/>
  <c r="M22" i="6"/>
  <c r="N22" i="6"/>
  <c r="P22" i="6"/>
  <c r="Q22" i="6"/>
  <c r="B23" i="6"/>
  <c r="C23" i="6"/>
  <c r="D23" i="6"/>
  <c r="E23" i="6"/>
  <c r="F23" i="6"/>
  <c r="G23" i="6"/>
  <c r="I23" i="6"/>
  <c r="J23" i="6"/>
  <c r="K23" i="6"/>
  <c r="L23" i="6"/>
  <c r="M23" i="6"/>
  <c r="N23" i="6"/>
  <c r="P23" i="6"/>
  <c r="Q23" i="6"/>
  <c r="R23" i="6"/>
  <c r="S23" i="6"/>
  <c r="T23" i="6"/>
  <c r="U23" i="6"/>
  <c r="B24" i="6"/>
  <c r="C24" i="6"/>
  <c r="D24" i="6"/>
  <c r="E24" i="6"/>
  <c r="F24" i="6"/>
  <c r="G24" i="6"/>
  <c r="I24" i="6"/>
  <c r="J24" i="6"/>
  <c r="P24" i="6"/>
  <c r="Q24" i="6"/>
  <c r="B25" i="6"/>
  <c r="C25" i="6"/>
  <c r="D25" i="6"/>
  <c r="E25" i="6"/>
  <c r="F25" i="6"/>
  <c r="G25" i="6"/>
  <c r="I25" i="6"/>
  <c r="J25" i="6"/>
  <c r="K25" i="6"/>
  <c r="L25" i="6"/>
  <c r="M25" i="6"/>
  <c r="N25" i="6"/>
  <c r="P25" i="6"/>
  <c r="Q25" i="6"/>
  <c r="B26" i="6"/>
  <c r="C26" i="6"/>
  <c r="D26" i="6"/>
  <c r="E26" i="6"/>
  <c r="F26" i="6"/>
  <c r="G26" i="6"/>
  <c r="I26" i="6"/>
  <c r="J26" i="6"/>
  <c r="K26" i="6"/>
  <c r="L26" i="6"/>
  <c r="M26" i="6"/>
  <c r="N26" i="6"/>
  <c r="B29" i="6"/>
  <c r="C29" i="6"/>
  <c r="D29" i="6"/>
  <c r="F29" i="6"/>
  <c r="G29" i="6"/>
  <c r="H29" i="6"/>
  <c r="J29" i="6"/>
  <c r="K29" i="6"/>
  <c r="L29" i="6"/>
  <c r="N29" i="6"/>
  <c r="O29" i="6"/>
  <c r="P29" i="6"/>
  <c r="B31" i="6"/>
  <c r="C31" i="6"/>
  <c r="D31" i="6"/>
  <c r="F31" i="6"/>
  <c r="G31" i="6"/>
  <c r="H31" i="6"/>
  <c r="J31" i="6"/>
  <c r="K31" i="6"/>
  <c r="L31" i="6"/>
  <c r="N31" i="6"/>
  <c r="O31" i="6"/>
  <c r="P31" i="6"/>
  <c r="B32" i="6"/>
  <c r="C32" i="6"/>
  <c r="D32" i="6"/>
  <c r="F32" i="6"/>
  <c r="G32" i="6"/>
  <c r="H32" i="6"/>
  <c r="N32" i="6"/>
  <c r="O32" i="6"/>
  <c r="P32" i="6"/>
  <c r="B33" i="6"/>
  <c r="C33" i="6"/>
  <c r="D33" i="6"/>
  <c r="B34" i="6"/>
  <c r="C34" i="6"/>
  <c r="D34" i="6"/>
  <c r="B35" i="6"/>
  <c r="C35" i="6"/>
  <c r="D35" i="6"/>
  <c r="F35" i="6"/>
  <c r="G35" i="6"/>
  <c r="H35" i="6"/>
  <c r="N35" i="6"/>
  <c r="O35" i="6"/>
  <c r="P35" i="6"/>
  <c r="B36" i="6"/>
  <c r="C36" i="6"/>
  <c r="D36" i="6"/>
  <c r="F36" i="6"/>
  <c r="G36" i="6"/>
  <c r="H36" i="6"/>
  <c r="J36" i="6"/>
  <c r="K36" i="6"/>
  <c r="L36" i="6"/>
  <c r="N36" i="6"/>
  <c r="O36" i="6"/>
  <c r="P36" i="6"/>
  <c r="B37" i="6"/>
  <c r="C37" i="6"/>
  <c r="D37" i="6"/>
  <c r="B38" i="6"/>
  <c r="C38" i="6"/>
  <c r="D38" i="6"/>
  <c r="F38" i="6"/>
  <c r="G38" i="6"/>
  <c r="H38" i="6"/>
  <c r="N38" i="6"/>
  <c r="O38" i="6"/>
  <c r="P38" i="6"/>
  <c r="B39" i="6"/>
  <c r="C39" i="6"/>
  <c r="D39" i="6"/>
  <c r="F39" i="6"/>
  <c r="G39" i="6"/>
  <c r="H39" i="6"/>
  <c r="A4" i="8"/>
  <c r="G4" i="8"/>
  <c r="H4" i="8"/>
  <c r="I4" i="8"/>
  <c r="K4" i="8"/>
  <c r="L4" i="8"/>
  <c r="O4" i="8"/>
  <c r="P4" i="8"/>
  <c r="Q4" i="8"/>
  <c r="A5" i="8"/>
  <c r="G5" i="8"/>
  <c r="H5" i="8"/>
  <c r="I5" i="8"/>
  <c r="K5" i="8"/>
  <c r="L5" i="8"/>
  <c r="O5" i="8"/>
  <c r="P5" i="8"/>
  <c r="Q5" i="8"/>
  <c r="A6" i="8"/>
  <c r="G6" i="8"/>
  <c r="H6" i="8"/>
  <c r="I6" i="8"/>
  <c r="K6" i="8"/>
  <c r="L6" i="8"/>
  <c r="O6" i="8"/>
  <c r="P6" i="8"/>
  <c r="Q6" i="8"/>
  <c r="R6" i="8"/>
  <c r="A7" i="8"/>
  <c r="B7" i="8"/>
  <c r="G7" i="8"/>
  <c r="H7" i="8"/>
  <c r="I7" i="8"/>
  <c r="K7" i="8"/>
  <c r="L7" i="8"/>
  <c r="M7" i="8"/>
  <c r="N7" i="8"/>
  <c r="O7" i="8"/>
  <c r="P7" i="8"/>
  <c r="Q7" i="8"/>
  <c r="R7" i="8"/>
  <c r="A8" i="8"/>
  <c r="B8" i="8"/>
  <c r="C8" i="8"/>
  <c r="D8" i="8"/>
  <c r="G8" i="8"/>
  <c r="H8" i="8"/>
  <c r="I8" i="8"/>
  <c r="K8" i="8"/>
  <c r="L8" i="8"/>
  <c r="M8" i="8"/>
  <c r="N8" i="8"/>
  <c r="O8" i="8"/>
  <c r="P8" i="8"/>
  <c r="Q8" i="8"/>
  <c r="R8" i="8"/>
  <c r="A9" i="8"/>
  <c r="B9" i="8"/>
  <c r="C9" i="8"/>
  <c r="D9" i="8"/>
  <c r="G9" i="8"/>
  <c r="H9" i="8"/>
  <c r="I9" i="8"/>
  <c r="K9" i="8"/>
  <c r="L9" i="8"/>
  <c r="M9" i="8"/>
  <c r="N9" i="8"/>
  <c r="O9" i="8"/>
  <c r="P9" i="8"/>
  <c r="Q9" i="8"/>
  <c r="R9" i="8"/>
  <c r="A10" i="8"/>
  <c r="B10" i="8"/>
  <c r="C10" i="8"/>
  <c r="D10" i="8"/>
  <c r="G10" i="8"/>
  <c r="H10" i="8"/>
  <c r="I10" i="8"/>
  <c r="K10" i="8"/>
  <c r="L10" i="8"/>
  <c r="M10" i="8"/>
  <c r="N10" i="8"/>
  <c r="O10" i="8"/>
  <c r="P10" i="8"/>
  <c r="Q10" i="8"/>
  <c r="R10" i="8"/>
  <c r="A11" i="8"/>
  <c r="B11" i="8"/>
  <c r="C11" i="8"/>
  <c r="D11" i="8"/>
  <c r="G11" i="8"/>
  <c r="H11" i="8"/>
  <c r="I11" i="8"/>
  <c r="K11" i="8"/>
  <c r="L11" i="8"/>
  <c r="M11" i="8"/>
  <c r="N11" i="8"/>
  <c r="O11" i="8"/>
  <c r="P11" i="8"/>
  <c r="Q11" i="8"/>
  <c r="R11" i="8"/>
  <c r="A12" i="8"/>
  <c r="B12" i="8"/>
  <c r="C12" i="8"/>
  <c r="D12" i="8"/>
  <c r="G12" i="8"/>
  <c r="H12" i="8"/>
  <c r="I12" i="8"/>
  <c r="K12" i="8"/>
  <c r="L12" i="8"/>
  <c r="M12" i="8"/>
  <c r="N12" i="8"/>
  <c r="O12" i="8"/>
  <c r="P12" i="8"/>
  <c r="Q12" i="8"/>
  <c r="A13" i="8"/>
  <c r="B13" i="8"/>
  <c r="C13" i="8"/>
  <c r="D13" i="8"/>
  <c r="G13" i="8"/>
  <c r="H13" i="8"/>
  <c r="I13" i="8"/>
  <c r="K13" i="8"/>
  <c r="L13" i="8"/>
  <c r="M13" i="8"/>
  <c r="N13" i="8"/>
  <c r="O13" i="8"/>
  <c r="P13" i="8"/>
  <c r="Q13" i="8"/>
  <c r="A14" i="8"/>
  <c r="B14" i="8"/>
  <c r="C14" i="8"/>
  <c r="D14" i="8"/>
  <c r="G14" i="8"/>
  <c r="H14" i="8"/>
  <c r="I14" i="8"/>
  <c r="K14" i="8"/>
  <c r="L14" i="8"/>
  <c r="M14" i="8"/>
  <c r="N14" i="8"/>
  <c r="O14" i="8"/>
  <c r="P14" i="8"/>
  <c r="Q14" i="8"/>
  <c r="A15" i="8"/>
  <c r="B15" i="8"/>
  <c r="C15" i="8"/>
  <c r="D15" i="8"/>
  <c r="G15" i="8"/>
  <c r="H15" i="8"/>
  <c r="I15" i="8"/>
  <c r="K15" i="8"/>
  <c r="L15" i="8"/>
  <c r="M15" i="8"/>
  <c r="N15" i="8"/>
  <c r="O15" i="8"/>
  <c r="P15" i="8"/>
  <c r="Q15" i="8"/>
  <c r="A16" i="8"/>
  <c r="B16" i="8"/>
  <c r="C16" i="8"/>
  <c r="D16" i="8"/>
  <c r="G16" i="8"/>
  <c r="H16" i="8"/>
  <c r="I16" i="8"/>
  <c r="K16" i="8"/>
  <c r="L16" i="8"/>
  <c r="M16" i="8"/>
  <c r="N16" i="8"/>
  <c r="O16" i="8"/>
  <c r="P16" i="8"/>
  <c r="Q16" i="8"/>
  <c r="A17" i="8"/>
  <c r="B17" i="8"/>
  <c r="C17" i="8"/>
  <c r="D17" i="8"/>
  <c r="G17" i="8"/>
  <c r="H17" i="8"/>
  <c r="I17" i="8"/>
  <c r="K17" i="8"/>
  <c r="L17" i="8"/>
  <c r="M17" i="8"/>
  <c r="N17" i="8"/>
  <c r="O17" i="8"/>
  <c r="P17" i="8"/>
  <c r="Q17" i="8"/>
  <c r="A18" i="8"/>
  <c r="B18" i="8"/>
  <c r="C18" i="8"/>
  <c r="D18" i="8"/>
  <c r="G18" i="8"/>
  <c r="H18" i="8"/>
  <c r="I18" i="8"/>
  <c r="K18" i="8"/>
  <c r="L18" i="8"/>
  <c r="M18" i="8"/>
  <c r="N18" i="8"/>
  <c r="O18" i="8"/>
  <c r="P18" i="8"/>
  <c r="Q18" i="8"/>
  <c r="A19" i="8"/>
  <c r="B19" i="8"/>
  <c r="C19" i="8"/>
  <c r="D19" i="8"/>
  <c r="G19" i="8"/>
  <c r="H19" i="8"/>
  <c r="I19" i="8"/>
  <c r="K19" i="8"/>
  <c r="L19" i="8"/>
  <c r="M19" i="8"/>
  <c r="N19" i="8"/>
  <c r="O19" i="8"/>
  <c r="P19" i="8"/>
  <c r="Q19" i="8"/>
  <c r="A20" i="8"/>
  <c r="B20" i="8"/>
  <c r="C20" i="8"/>
  <c r="D20" i="8"/>
  <c r="G20" i="8"/>
  <c r="H20" i="8"/>
  <c r="I20" i="8"/>
  <c r="K20" i="8"/>
  <c r="L20" i="8"/>
  <c r="M20" i="8"/>
  <c r="N20" i="8"/>
  <c r="O20" i="8"/>
  <c r="P20" i="8"/>
  <c r="Q20" i="8"/>
  <c r="A21" i="8"/>
  <c r="B21" i="8"/>
  <c r="C21" i="8"/>
  <c r="D21" i="8"/>
  <c r="G21" i="8"/>
  <c r="H21" i="8"/>
  <c r="I21" i="8"/>
  <c r="K21" i="8"/>
  <c r="L21" i="8"/>
  <c r="M21" i="8"/>
  <c r="N21" i="8"/>
  <c r="O21" i="8"/>
  <c r="P21" i="8"/>
  <c r="Q21" i="8"/>
  <c r="A22" i="8"/>
  <c r="B22" i="8"/>
  <c r="C22" i="8"/>
  <c r="D22" i="8"/>
  <c r="G22" i="8"/>
  <c r="H22" i="8"/>
  <c r="I22" i="8"/>
  <c r="K22" i="8"/>
  <c r="L22" i="8"/>
  <c r="M22" i="8"/>
  <c r="N22" i="8"/>
  <c r="O22" i="8"/>
  <c r="P22" i="8"/>
  <c r="Q22" i="8"/>
  <c r="A23" i="8"/>
  <c r="B23" i="8"/>
  <c r="C23" i="8"/>
  <c r="D23" i="8"/>
  <c r="G23" i="8"/>
  <c r="H23" i="8"/>
  <c r="I23" i="8"/>
  <c r="K23" i="8"/>
  <c r="L23" i="8"/>
  <c r="M23" i="8"/>
  <c r="N23" i="8"/>
  <c r="O23" i="8"/>
  <c r="P23" i="8"/>
  <c r="Q23" i="8"/>
  <c r="A24" i="8"/>
  <c r="B24" i="8"/>
  <c r="C24" i="8"/>
  <c r="D24" i="8"/>
  <c r="G24" i="8"/>
  <c r="H24" i="8"/>
  <c r="I24" i="8"/>
  <c r="K24" i="8"/>
  <c r="L24" i="8"/>
  <c r="M24" i="8"/>
  <c r="N24" i="8"/>
  <c r="O24" i="8"/>
  <c r="P24" i="8"/>
  <c r="Q24" i="8"/>
  <c r="A25" i="8"/>
  <c r="B25" i="8"/>
  <c r="C25" i="8"/>
  <c r="D25" i="8"/>
  <c r="G25" i="8"/>
  <c r="H25" i="8"/>
  <c r="I25" i="8"/>
  <c r="K25" i="8"/>
  <c r="L25" i="8"/>
  <c r="M25" i="8"/>
  <c r="N25" i="8"/>
  <c r="O25" i="8"/>
  <c r="P25" i="8"/>
  <c r="Q25" i="8"/>
  <c r="A26" i="8"/>
  <c r="B26" i="8"/>
  <c r="C26" i="8"/>
  <c r="D26" i="8"/>
  <c r="G26" i="8"/>
  <c r="H26" i="8"/>
  <c r="I26" i="8"/>
  <c r="K26" i="8"/>
  <c r="L26" i="8"/>
  <c r="M26" i="8"/>
  <c r="N26" i="8"/>
  <c r="O26" i="8"/>
  <c r="P26" i="8"/>
  <c r="Q26" i="8"/>
  <c r="A27" i="8"/>
  <c r="B27" i="8"/>
  <c r="C27" i="8"/>
  <c r="D27" i="8"/>
  <c r="G27" i="8"/>
  <c r="H27" i="8"/>
  <c r="I27" i="8"/>
  <c r="K27" i="8"/>
  <c r="L27" i="8"/>
  <c r="M27" i="8"/>
  <c r="N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N36" i="8"/>
  <c r="O36" i="8"/>
  <c r="P36" i="8"/>
  <c r="Q36" i="8"/>
  <c r="G37" i="8"/>
  <c r="H37" i="8"/>
  <c r="I37" i="8"/>
  <c r="K37" i="8"/>
  <c r="N37" i="8"/>
  <c r="O37" i="8"/>
  <c r="P37" i="8"/>
  <c r="Q37" i="8"/>
  <c r="G38" i="8"/>
  <c r="H38" i="8"/>
  <c r="I38" i="8"/>
  <c r="K38" i="8"/>
  <c r="N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G41" i="8"/>
  <c r="H41" i="8"/>
  <c r="I41" i="8"/>
  <c r="K41" i="8"/>
  <c r="N41" i="8"/>
  <c r="O41" i="8"/>
  <c r="P41" i="8"/>
  <c r="Q41" i="8"/>
  <c r="A42" i="8"/>
  <c r="G42" i="8"/>
  <c r="H42" i="8"/>
  <c r="I42" i="8"/>
  <c r="K42" i="8"/>
  <c r="N42" i="8"/>
  <c r="O42" i="8"/>
  <c r="P42" i="8"/>
  <c r="Q42" i="8"/>
  <c r="A43" i="8"/>
  <c r="G43" i="8"/>
  <c r="H43" i="8"/>
  <c r="I43" i="8"/>
  <c r="K43" i="8"/>
  <c r="N43" i="8"/>
  <c r="O43" i="8"/>
  <c r="P43" i="8"/>
  <c r="Q43" i="8"/>
  <c r="A44" i="8"/>
  <c r="G44" i="8"/>
  <c r="H44" i="8"/>
  <c r="I44" i="8"/>
  <c r="K44" i="8"/>
  <c r="N44" i="8"/>
  <c r="O44" i="8"/>
  <c r="P44" i="8"/>
  <c r="Q44" i="8"/>
  <c r="A45" i="8"/>
  <c r="G45" i="8"/>
  <c r="H45" i="8"/>
  <c r="I45" i="8"/>
  <c r="K45" i="8"/>
  <c r="N45" i="8"/>
  <c r="O45" i="8"/>
  <c r="P45" i="8"/>
  <c r="Q45" i="8"/>
  <c r="A46" i="8"/>
  <c r="G46" i="8"/>
  <c r="H46" i="8"/>
  <c r="I46" i="8"/>
  <c r="K46" i="8"/>
  <c r="N46" i="8"/>
  <c r="O46" i="8"/>
  <c r="P46" i="8"/>
  <c r="Q46" i="8"/>
  <c r="A47" i="8"/>
  <c r="G47" i="8"/>
  <c r="H47" i="8"/>
  <c r="I47" i="8"/>
  <c r="K47" i="8"/>
  <c r="N47" i="8"/>
  <c r="O47" i="8"/>
  <c r="P47" i="8"/>
  <c r="Q47" i="8"/>
  <c r="A48" i="8"/>
  <c r="G48" i="8"/>
  <c r="H48" i="8"/>
  <c r="I48" i="8"/>
  <c r="K48" i="8"/>
  <c r="N48" i="8"/>
  <c r="O48" i="8"/>
  <c r="P48" i="8"/>
  <c r="Q48" i="8"/>
  <c r="A49" i="8"/>
  <c r="G49" i="8"/>
  <c r="H49" i="8"/>
  <c r="I49" i="8"/>
  <c r="K49" i="8"/>
  <c r="M49" i="8"/>
  <c r="N49" i="8"/>
  <c r="O49" i="8"/>
  <c r="P49" i="8"/>
  <c r="Q49" i="8"/>
  <c r="CE4" i="13"/>
  <c r="CF4" i="13"/>
  <c r="CG4" i="13"/>
  <c r="CE5" i="13"/>
  <c r="CF5" i="13"/>
  <c r="CG5" i="13"/>
  <c r="CE6" i="13"/>
  <c r="CF6" i="13"/>
  <c r="CG6" i="13"/>
  <c r="CE7" i="13"/>
  <c r="CF7" i="13"/>
  <c r="CG7" i="13"/>
  <c r="CE8" i="13"/>
  <c r="CF8" i="13"/>
  <c r="CG8" i="13"/>
  <c r="CE9" i="13"/>
  <c r="CF9" i="13"/>
  <c r="CG9" i="13"/>
  <c r="CE10" i="13"/>
  <c r="CF10" i="13"/>
  <c r="CG10" i="13"/>
  <c r="CE11" i="13"/>
  <c r="CF11" i="13"/>
  <c r="CG11" i="13"/>
  <c r="CE12" i="13"/>
  <c r="CF12" i="13"/>
  <c r="CG12" i="13"/>
  <c r="CE13" i="13"/>
  <c r="CF13" i="13"/>
  <c r="CG13" i="13"/>
  <c r="CE14" i="13"/>
  <c r="CF14" i="13"/>
  <c r="CG14" i="13"/>
  <c r="CE15" i="13"/>
  <c r="CF15" i="13"/>
  <c r="CG15" i="13"/>
  <c r="CE16" i="13"/>
  <c r="CF16" i="13"/>
  <c r="CG16" i="13"/>
  <c r="CE17" i="13"/>
  <c r="CF17" i="13"/>
  <c r="CG17" i="13"/>
  <c r="CE18" i="13"/>
  <c r="CF18" i="13"/>
  <c r="CG18" i="13"/>
  <c r="CE19" i="13"/>
  <c r="CF19" i="13"/>
  <c r="CG19" i="13"/>
  <c r="CE20" i="13"/>
  <c r="CF20" i="13"/>
  <c r="CG20" i="13"/>
  <c r="CE21" i="13"/>
  <c r="CF21" i="13"/>
  <c r="CG21" i="13"/>
  <c r="CE22" i="13"/>
  <c r="CF22" i="13"/>
  <c r="CG22" i="13"/>
  <c r="CE23" i="13"/>
  <c r="CF23" i="13"/>
  <c r="CG23" i="13"/>
  <c r="CE24" i="13"/>
  <c r="CF24" i="13"/>
  <c r="CG24" i="13"/>
  <c r="CE25" i="13"/>
  <c r="CF25" i="13"/>
  <c r="CG25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N3" i="18"/>
  <c r="O3" i="18"/>
  <c r="P3" i="18"/>
  <c r="C4" i="18"/>
  <c r="D4" i="18"/>
  <c r="E4" i="18"/>
  <c r="G4" i="18"/>
  <c r="H4" i="18"/>
  <c r="K4" i="18"/>
  <c r="N4" i="18"/>
  <c r="O4" i="18"/>
  <c r="P4" i="18"/>
  <c r="B5" i="18"/>
  <c r="C5" i="18"/>
  <c r="D5" i="18"/>
  <c r="E5" i="18"/>
  <c r="G5" i="18"/>
  <c r="H5" i="18"/>
  <c r="K5" i="18"/>
  <c r="N5" i="18"/>
  <c r="O5" i="18"/>
  <c r="P5" i="18"/>
  <c r="S5" i="18"/>
  <c r="K6" i="18"/>
  <c r="N6" i="18"/>
  <c r="O6" i="18"/>
  <c r="P6" i="18"/>
  <c r="B7" i="18"/>
  <c r="C7" i="18"/>
  <c r="D7" i="18"/>
  <c r="E7" i="18"/>
  <c r="G7" i="18"/>
  <c r="H7" i="18"/>
  <c r="K7" i="18"/>
  <c r="N7" i="18"/>
  <c r="O7" i="18"/>
  <c r="P7" i="18"/>
  <c r="CX7" i="18"/>
  <c r="CY7" i="18"/>
  <c r="CZ7" i="18"/>
  <c r="B8" i="18"/>
  <c r="C8" i="18"/>
  <c r="D8" i="18"/>
  <c r="E8" i="18"/>
  <c r="G8" i="18"/>
  <c r="H8" i="18"/>
  <c r="K8" i="18"/>
  <c r="N8" i="18"/>
  <c r="O8" i="18"/>
  <c r="P8" i="18"/>
  <c r="R8" i="18"/>
  <c r="S8" i="18"/>
  <c r="CX8" i="18"/>
  <c r="CY8" i="18"/>
  <c r="CZ8" i="18"/>
  <c r="B9" i="18"/>
  <c r="C9" i="18"/>
  <c r="D9" i="18"/>
  <c r="E9" i="18"/>
  <c r="G9" i="18"/>
  <c r="H9" i="18"/>
  <c r="I9" i="18"/>
  <c r="J9" i="18"/>
  <c r="K9" i="18"/>
  <c r="N9" i="18"/>
  <c r="O9" i="18"/>
  <c r="P9" i="18"/>
  <c r="R9" i="18"/>
  <c r="S9" i="18"/>
  <c r="U9" i="18"/>
  <c r="CX9" i="18"/>
  <c r="CY9" i="18"/>
  <c r="CZ9" i="18"/>
  <c r="B10" i="18"/>
  <c r="C10" i="18"/>
  <c r="D10" i="18"/>
  <c r="E10" i="18"/>
  <c r="G10" i="18"/>
  <c r="H10" i="18"/>
  <c r="I10" i="18"/>
  <c r="J10" i="18"/>
  <c r="K10" i="18"/>
  <c r="N10" i="18"/>
  <c r="O10" i="18"/>
  <c r="P10" i="18"/>
  <c r="R10" i="18"/>
  <c r="S10" i="18"/>
  <c r="U10" i="18"/>
  <c r="CX10" i="18"/>
  <c r="CY10" i="18"/>
  <c r="CZ10" i="18"/>
  <c r="B11" i="18"/>
  <c r="C11" i="18"/>
  <c r="D11" i="18"/>
  <c r="E11" i="18"/>
  <c r="G11" i="18"/>
  <c r="H11" i="18"/>
  <c r="I11" i="18"/>
  <c r="J11" i="18"/>
  <c r="K11" i="18"/>
  <c r="N11" i="18"/>
  <c r="O11" i="18"/>
  <c r="P11" i="18"/>
  <c r="R11" i="18"/>
  <c r="S11" i="18"/>
  <c r="U11" i="18"/>
  <c r="CX11" i="18"/>
  <c r="CY11" i="18"/>
  <c r="CZ11" i="18"/>
  <c r="B12" i="18"/>
  <c r="C12" i="18"/>
  <c r="D12" i="18"/>
  <c r="E12" i="18"/>
  <c r="G12" i="18"/>
  <c r="H12" i="18"/>
  <c r="I12" i="18"/>
  <c r="J12" i="18"/>
  <c r="K12" i="18"/>
  <c r="N12" i="18"/>
  <c r="O12" i="18"/>
  <c r="P12" i="18"/>
  <c r="R12" i="18"/>
  <c r="S12" i="18"/>
  <c r="U12" i="18"/>
  <c r="CX12" i="18"/>
  <c r="CY12" i="18"/>
  <c r="CZ12" i="18"/>
  <c r="B13" i="18"/>
  <c r="C13" i="18"/>
  <c r="D13" i="18"/>
  <c r="E13" i="18"/>
  <c r="G13" i="18"/>
  <c r="H13" i="18"/>
  <c r="I13" i="18"/>
  <c r="J13" i="18"/>
  <c r="K13" i="18"/>
  <c r="N13" i="18"/>
  <c r="O13" i="18"/>
  <c r="P13" i="18"/>
  <c r="R13" i="18"/>
  <c r="S13" i="18"/>
  <c r="U13" i="18"/>
  <c r="CX13" i="18"/>
  <c r="CY13" i="18"/>
  <c r="CZ13" i="18"/>
  <c r="B14" i="18"/>
  <c r="C14" i="18"/>
  <c r="D14" i="18"/>
  <c r="E14" i="18"/>
  <c r="G14" i="18"/>
  <c r="H14" i="18"/>
  <c r="I14" i="18"/>
  <c r="J14" i="18"/>
  <c r="K14" i="18"/>
  <c r="N14" i="18"/>
  <c r="O14" i="18"/>
  <c r="P14" i="18"/>
  <c r="R14" i="18"/>
  <c r="S14" i="18"/>
  <c r="U14" i="18"/>
  <c r="CX14" i="18"/>
  <c r="CY14" i="18"/>
  <c r="CZ14" i="18"/>
  <c r="B15" i="18"/>
  <c r="C15" i="18"/>
  <c r="D15" i="18"/>
  <c r="E15" i="18"/>
  <c r="G15" i="18"/>
  <c r="H15" i="18"/>
  <c r="I15" i="18"/>
  <c r="J15" i="18"/>
  <c r="K15" i="18"/>
  <c r="N15" i="18"/>
  <c r="O15" i="18"/>
  <c r="P15" i="18"/>
  <c r="S15" i="18"/>
  <c r="U15" i="18"/>
  <c r="CX15" i="18"/>
  <c r="CY15" i="18"/>
  <c r="CZ15" i="18"/>
  <c r="B16" i="18"/>
  <c r="C16" i="18"/>
  <c r="D16" i="18"/>
  <c r="E16" i="18"/>
  <c r="G16" i="18"/>
  <c r="H16" i="18"/>
  <c r="I16" i="18"/>
  <c r="J16" i="18"/>
  <c r="K16" i="18"/>
  <c r="N16" i="18"/>
  <c r="O16" i="18"/>
  <c r="P16" i="18"/>
  <c r="S16" i="18"/>
  <c r="U16" i="18"/>
  <c r="CX16" i="18"/>
  <c r="CY16" i="18"/>
  <c r="CZ16" i="18"/>
  <c r="B17" i="18"/>
  <c r="C17" i="18"/>
  <c r="D17" i="18"/>
  <c r="E17" i="18"/>
  <c r="G17" i="18"/>
  <c r="H17" i="18"/>
  <c r="I17" i="18"/>
  <c r="J17" i="18"/>
  <c r="K17" i="18"/>
  <c r="N17" i="18"/>
  <c r="O17" i="18"/>
  <c r="P17" i="18"/>
  <c r="S17" i="18"/>
  <c r="U17" i="18"/>
  <c r="CX17" i="18"/>
  <c r="CY17" i="18"/>
  <c r="CZ17" i="18"/>
  <c r="B18" i="18"/>
  <c r="C18" i="18"/>
  <c r="D18" i="18"/>
  <c r="E18" i="18"/>
  <c r="G18" i="18"/>
  <c r="H18" i="18"/>
  <c r="I18" i="18"/>
  <c r="J18" i="18"/>
  <c r="K18" i="18"/>
  <c r="N18" i="18"/>
  <c r="O18" i="18"/>
  <c r="P18" i="18"/>
  <c r="R18" i="18"/>
  <c r="S18" i="18"/>
  <c r="U18" i="18"/>
  <c r="CX18" i="18"/>
  <c r="CY18" i="18"/>
  <c r="CZ18" i="18"/>
  <c r="B19" i="18"/>
  <c r="E19" i="18"/>
  <c r="G19" i="18"/>
  <c r="H19" i="18"/>
  <c r="I19" i="18"/>
  <c r="J19" i="18"/>
  <c r="K19" i="18"/>
  <c r="N19" i="18"/>
  <c r="O19" i="18"/>
  <c r="P19" i="18"/>
  <c r="S19" i="18"/>
  <c r="U19" i="18"/>
  <c r="CX19" i="18"/>
  <c r="CY19" i="18"/>
  <c r="CZ19" i="18"/>
  <c r="B20" i="18"/>
  <c r="C20" i="18"/>
  <c r="D20" i="18"/>
  <c r="E20" i="18"/>
  <c r="G20" i="18"/>
  <c r="H20" i="18"/>
  <c r="I20" i="18"/>
  <c r="J20" i="18"/>
  <c r="K20" i="18"/>
  <c r="P20" i="18"/>
  <c r="R20" i="18"/>
  <c r="S20" i="18"/>
  <c r="U20" i="18"/>
  <c r="CX20" i="18"/>
  <c r="CY20" i="18"/>
  <c r="CZ20" i="18"/>
  <c r="B21" i="18"/>
  <c r="C21" i="18"/>
  <c r="D21" i="18"/>
  <c r="E21" i="18"/>
  <c r="G21" i="18"/>
  <c r="H21" i="18"/>
  <c r="I21" i="18"/>
  <c r="J21" i="18"/>
  <c r="K21" i="18"/>
  <c r="R21" i="18"/>
  <c r="S21" i="18"/>
  <c r="U21" i="18"/>
  <c r="CX21" i="18"/>
  <c r="CY21" i="18"/>
  <c r="CZ21" i="18"/>
  <c r="B22" i="18"/>
  <c r="C22" i="18"/>
  <c r="D22" i="18"/>
  <c r="E22" i="18"/>
  <c r="G22" i="18"/>
  <c r="H22" i="18"/>
  <c r="I22" i="18"/>
  <c r="J22" i="18"/>
  <c r="K22" i="18"/>
  <c r="R22" i="18"/>
  <c r="S22" i="18"/>
  <c r="U22" i="18"/>
  <c r="CX22" i="18"/>
  <c r="CY22" i="18"/>
  <c r="CZ22" i="18"/>
  <c r="B23" i="18"/>
  <c r="C23" i="18"/>
  <c r="D23" i="18"/>
  <c r="E23" i="18"/>
  <c r="G23" i="18"/>
  <c r="H23" i="18"/>
  <c r="I23" i="18"/>
  <c r="J23" i="18"/>
  <c r="K23" i="18"/>
  <c r="S23" i="18"/>
  <c r="U23" i="18"/>
  <c r="CX23" i="18"/>
  <c r="CY23" i="18"/>
  <c r="CZ23" i="18"/>
  <c r="B24" i="18"/>
  <c r="C24" i="18"/>
  <c r="D24" i="18"/>
  <c r="E24" i="18"/>
  <c r="G24" i="18"/>
  <c r="H24" i="18"/>
  <c r="I24" i="18"/>
  <c r="J24" i="18"/>
  <c r="K24" i="18"/>
  <c r="S24" i="18"/>
  <c r="U24" i="18"/>
  <c r="CX24" i="18"/>
  <c r="CY24" i="18"/>
  <c r="CZ24" i="18"/>
  <c r="B25" i="18"/>
  <c r="C25" i="18"/>
  <c r="D25" i="18"/>
  <c r="E25" i="18"/>
  <c r="G25" i="18"/>
  <c r="H25" i="18"/>
  <c r="I25" i="18"/>
  <c r="J25" i="18"/>
  <c r="K25" i="18"/>
  <c r="S25" i="18"/>
  <c r="U25" i="18"/>
  <c r="CX25" i="18"/>
  <c r="CY25" i="18"/>
  <c r="CZ25" i="18"/>
  <c r="B26" i="18"/>
  <c r="C26" i="18"/>
  <c r="D26" i="18"/>
  <c r="E26" i="18"/>
  <c r="G26" i="18"/>
  <c r="H26" i="18"/>
  <c r="I26" i="18"/>
  <c r="J26" i="18"/>
  <c r="K26" i="18"/>
  <c r="S26" i="18"/>
  <c r="U26" i="18"/>
  <c r="CX26" i="18"/>
  <c r="CY26" i="18"/>
  <c r="CZ26" i="18"/>
  <c r="K27" i="18"/>
  <c r="S27" i="18"/>
  <c r="U27" i="18"/>
  <c r="CX27" i="18"/>
  <c r="CY27" i="18"/>
  <c r="CZ27" i="18"/>
  <c r="C28" i="18"/>
  <c r="D28" i="18"/>
  <c r="E28" i="18"/>
  <c r="F28" i="18"/>
  <c r="G28" i="18"/>
  <c r="H28" i="18"/>
  <c r="K28" i="18"/>
  <c r="S28" i="18"/>
  <c r="U28" i="18"/>
  <c r="CX28" i="18"/>
  <c r="CY28" i="18"/>
  <c r="CZ28" i="18"/>
  <c r="U29" i="18"/>
  <c r="N30" i="18"/>
  <c r="O30" i="18"/>
  <c r="U30" i="18"/>
  <c r="U31" i="18"/>
  <c r="K32" i="18"/>
  <c r="N3" i="2"/>
  <c r="O3" i="2"/>
  <c r="P3" i="2"/>
  <c r="H4" i="2"/>
  <c r="K4" i="2"/>
  <c r="N4" i="2"/>
  <c r="O4" i="2"/>
  <c r="P4" i="2"/>
  <c r="S4" i="2"/>
  <c r="H5" i="2"/>
  <c r="K5" i="2"/>
  <c r="N5" i="2"/>
  <c r="O5" i="2"/>
  <c r="P5" i="2"/>
  <c r="K6" i="2"/>
  <c r="N6" i="2"/>
  <c r="O6" i="2"/>
  <c r="P6" i="2"/>
  <c r="B7" i="2"/>
  <c r="C7" i="2"/>
  <c r="D7" i="2"/>
  <c r="E7" i="2"/>
  <c r="G7" i="2"/>
  <c r="H7" i="2"/>
  <c r="K7" i="2"/>
  <c r="N7" i="2"/>
  <c r="O7" i="2"/>
  <c r="P7" i="2"/>
  <c r="CX7" i="2"/>
  <c r="CY7" i="2"/>
  <c r="CZ7" i="2"/>
  <c r="B8" i="2"/>
  <c r="C8" i="2"/>
  <c r="D8" i="2"/>
  <c r="E8" i="2"/>
  <c r="G8" i="2"/>
  <c r="H8" i="2"/>
  <c r="K8" i="2"/>
  <c r="N8" i="2"/>
  <c r="O8" i="2"/>
  <c r="P8" i="2"/>
  <c r="R8" i="2"/>
  <c r="S8" i="2"/>
  <c r="CX8" i="2"/>
  <c r="CY8" i="2"/>
  <c r="CZ8" i="2"/>
  <c r="B9" i="2"/>
  <c r="C9" i="2"/>
  <c r="D9" i="2"/>
  <c r="E9" i="2"/>
  <c r="G9" i="2"/>
  <c r="H9" i="2"/>
  <c r="I9" i="2"/>
  <c r="J9" i="2"/>
  <c r="K9" i="2"/>
  <c r="N9" i="2"/>
  <c r="O9" i="2"/>
  <c r="P9" i="2"/>
  <c r="R9" i="2"/>
  <c r="S9" i="2"/>
  <c r="U9" i="2"/>
  <c r="CX9" i="2"/>
  <c r="CY9" i="2"/>
  <c r="CZ9" i="2"/>
  <c r="B10" i="2"/>
  <c r="C10" i="2"/>
  <c r="D10" i="2"/>
  <c r="E10" i="2"/>
  <c r="G10" i="2"/>
  <c r="H10" i="2"/>
  <c r="I10" i="2"/>
  <c r="J10" i="2"/>
  <c r="K10" i="2"/>
  <c r="N10" i="2"/>
  <c r="O10" i="2"/>
  <c r="P10" i="2"/>
  <c r="R10" i="2"/>
  <c r="S10" i="2"/>
  <c r="U10" i="2"/>
  <c r="CX10" i="2"/>
  <c r="CY10" i="2"/>
  <c r="CZ10" i="2"/>
  <c r="B11" i="2"/>
  <c r="C11" i="2"/>
  <c r="D11" i="2"/>
  <c r="E11" i="2"/>
  <c r="G11" i="2"/>
  <c r="H11" i="2"/>
  <c r="I11" i="2"/>
  <c r="J11" i="2"/>
  <c r="K11" i="2"/>
  <c r="N11" i="2"/>
  <c r="O11" i="2"/>
  <c r="P11" i="2"/>
  <c r="R11" i="2"/>
  <c r="S11" i="2"/>
  <c r="U11" i="2"/>
  <c r="CX11" i="2"/>
  <c r="CY11" i="2"/>
  <c r="CZ11" i="2"/>
  <c r="A12" i="2"/>
  <c r="B12" i="2"/>
  <c r="C12" i="2"/>
  <c r="D12" i="2"/>
  <c r="E12" i="2"/>
  <c r="G12" i="2"/>
  <c r="H12" i="2"/>
  <c r="I12" i="2"/>
  <c r="J12" i="2"/>
  <c r="K12" i="2"/>
  <c r="N12" i="2"/>
  <c r="O12" i="2"/>
  <c r="P12" i="2"/>
  <c r="R12" i="2"/>
  <c r="S12" i="2"/>
  <c r="U12" i="2"/>
  <c r="CX12" i="2"/>
  <c r="CY12" i="2"/>
  <c r="CZ12" i="2"/>
  <c r="A13" i="2"/>
  <c r="B13" i="2"/>
  <c r="C13" i="2"/>
  <c r="D13" i="2"/>
  <c r="E13" i="2"/>
  <c r="G13" i="2"/>
  <c r="H13" i="2"/>
  <c r="I13" i="2"/>
  <c r="J13" i="2"/>
  <c r="K13" i="2"/>
  <c r="N13" i="2"/>
  <c r="O13" i="2"/>
  <c r="P13" i="2"/>
  <c r="R13" i="2"/>
  <c r="S13" i="2"/>
  <c r="U13" i="2"/>
  <c r="CX13" i="2"/>
  <c r="CY13" i="2"/>
  <c r="CZ13" i="2"/>
  <c r="A14" i="2"/>
  <c r="B14" i="2"/>
  <c r="C14" i="2"/>
  <c r="D14" i="2"/>
  <c r="E14" i="2"/>
  <c r="G14" i="2"/>
  <c r="H14" i="2"/>
  <c r="I14" i="2"/>
  <c r="J14" i="2"/>
  <c r="K14" i="2"/>
  <c r="N14" i="2"/>
  <c r="O14" i="2"/>
  <c r="P14" i="2"/>
  <c r="S14" i="2"/>
  <c r="U14" i="2"/>
  <c r="CX14" i="2"/>
  <c r="CY14" i="2"/>
  <c r="CZ14" i="2"/>
  <c r="A15" i="2"/>
  <c r="B15" i="2"/>
  <c r="C15" i="2"/>
  <c r="D15" i="2"/>
  <c r="E15" i="2"/>
  <c r="G15" i="2"/>
  <c r="H15" i="2"/>
  <c r="I15" i="2"/>
  <c r="J15" i="2"/>
  <c r="K15" i="2"/>
  <c r="N15" i="2"/>
  <c r="O15" i="2"/>
  <c r="P15" i="2"/>
  <c r="S15" i="2"/>
  <c r="U15" i="2"/>
  <c r="CX15" i="2"/>
  <c r="CY15" i="2"/>
  <c r="CZ15" i="2"/>
  <c r="A16" i="2"/>
  <c r="B16" i="2"/>
  <c r="C16" i="2"/>
  <c r="D16" i="2"/>
  <c r="E16" i="2"/>
  <c r="G16" i="2"/>
  <c r="H16" i="2"/>
  <c r="I16" i="2"/>
  <c r="J16" i="2"/>
  <c r="K16" i="2"/>
  <c r="N16" i="2"/>
  <c r="O16" i="2"/>
  <c r="P16" i="2"/>
  <c r="R16" i="2"/>
  <c r="S16" i="2"/>
  <c r="U16" i="2"/>
  <c r="CX16" i="2"/>
  <c r="CY16" i="2"/>
  <c r="CZ16" i="2"/>
  <c r="B17" i="2"/>
  <c r="C17" i="2"/>
  <c r="D17" i="2"/>
  <c r="E17" i="2"/>
  <c r="G17" i="2"/>
  <c r="H17" i="2"/>
  <c r="I17" i="2"/>
  <c r="J17" i="2"/>
  <c r="K17" i="2"/>
  <c r="N17" i="2"/>
  <c r="O17" i="2"/>
  <c r="P17" i="2"/>
  <c r="S17" i="2"/>
  <c r="U17" i="2"/>
  <c r="CX17" i="2"/>
  <c r="CY17" i="2"/>
  <c r="CZ17" i="2"/>
  <c r="B18" i="2"/>
  <c r="C18" i="2"/>
  <c r="D18" i="2"/>
  <c r="E18" i="2"/>
  <c r="G18" i="2"/>
  <c r="H18" i="2"/>
  <c r="I18" i="2"/>
  <c r="J18" i="2"/>
  <c r="K18" i="2"/>
  <c r="N18" i="2"/>
  <c r="O18" i="2"/>
  <c r="P18" i="2"/>
  <c r="S18" i="2"/>
  <c r="U18" i="2"/>
  <c r="CX18" i="2"/>
  <c r="CY18" i="2"/>
  <c r="CZ18" i="2"/>
  <c r="B19" i="2"/>
  <c r="C19" i="2"/>
  <c r="D19" i="2"/>
  <c r="E19" i="2"/>
  <c r="G19" i="2"/>
  <c r="H19" i="2"/>
  <c r="I19" i="2"/>
  <c r="J19" i="2"/>
  <c r="K19" i="2"/>
  <c r="N19" i="2"/>
  <c r="O19" i="2"/>
  <c r="P19" i="2"/>
  <c r="S19" i="2"/>
  <c r="U19" i="2"/>
  <c r="CX19" i="2"/>
  <c r="CY19" i="2"/>
  <c r="CZ19" i="2"/>
  <c r="B20" i="2"/>
  <c r="C20" i="2"/>
  <c r="D20" i="2"/>
  <c r="E20" i="2"/>
  <c r="G20" i="2"/>
  <c r="H20" i="2"/>
  <c r="I20" i="2"/>
  <c r="J20" i="2"/>
  <c r="K20" i="2"/>
  <c r="P20" i="2"/>
  <c r="S20" i="2"/>
  <c r="U20" i="2"/>
  <c r="CX20" i="2"/>
  <c r="CY20" i="2"/>
  <c r="CZ20" i="2"/>
  <c r="B21" i="2"/>
  <c r="C21" i="2"/>
  <c r="D21" i="2"/>
  <c r="E21" i="2"/>
  <c r="G21" i="2"/>
  <c r="H21" i="2"/>
  <c r="I21" i="2"/>
  <c r="J21" i="2"/>
  <c r="K21" i="2"/>
  <c r="S21" i="2"/>
  <c r="U21" i="2"/>
  <c r="CX21" i="2"/>
  <c r="CY21" i="2"/>
  <c r="CZ21" i="2"/>
  <c r="B22" i="2"/>
  <c r="C22" i="2"/>
  <c r="D22" i="2"/>
  <c r="E22" i="2"/>
  <c r="G22" i="2"/>
  <c r="H22" i="2"/>
  <c r="I22" i="2"/>
  <c r="J22" i="2"/>
  <c r="K22" i="2"/>
  <c r="S22" i="2"/>
  <c r="U22" i="2"/>
  <c r="CX22" i="2"/>
  <c r="CY22" i="2"/>
  <c r="CZ22" i="2"/>
  <c r="B23" i="2"/>
  <c r="C23" i="2"/>
  <c r="D23" i="2"/>
  <c r="E23" i="2"/>
  <c r="G23" i="2"/>
  <c r="H23" i="2"/>
  <c r="I23" i="2"/>
  <c r="J23" i="2"/>
  <c r="K23" i="2"/>
  <c r="R23" i="2"/>
  <c r="S23" i="2"/>
  <c r="U23" i="2"/>
  <c r="CX23" i="2"/>
  <c r="CY23" i="2"/>
  <c r="CZ23" i="2"/>
  <c r="B24" i="2"/>
  <c r="C24" i="2"/>
  <c r="D24" i="2"/>
  <c r="E24" i="2"/>
  <c r="G24" i="2"/>
  <c r="H24" i="2"/>
  <c r="I24" i="2"/>
  <c r="J24" i="2"/>
  <c r="K24" i="2"/>
  <c r="S24" i="2"/>
  <c r="U24" i="2"/>
  <c r="CX24" i="2"/>
  <c r="CY24" i="2"/>
  <c r="CZ24" i="2"/>
  <c r="B25" i="2"/>
  <c r="C25" i="2"/>
  <c r="D25" i="2"/>
  <c r="E25" i="2"/>
  <c r="G25" i="2"/>
  <c r="H25" i="2"/>
  <c r="I25" i="2"/>
  <c r="J25" i="2"/>
  <c r="K25" i="2"/>
  <c r="S25" i="2"/>
  <c r="U25" i="2"/>
  <c r="CX25" i="2"/>
  <c r="CY25" i="2"/>
  <c r="CZ25" i="2"/>
  <c r="B26" i="2"/>
  <c r="C26" i="2"/>
  <c r="D26" i="2"/>
  <c r="E26" i="2"/>
  <c r="G26" i="2"/>
  <c r="H26" i="2"/>
  <c r="I26" i="2"/>
  <c r="J26" i="2"/>
  <c r="K26" i="2"/>
  <c r="R26" i="2"/>
  <c r="S26" i="2"/>
  <c r="U26" i="2"/>
  <c r="CX26" i="2"/>
  <c r="CY26" i="2"/>
  <c r="CZ26" i="2"/>
  <c r="K27" i="2"/>
  <c r="R27" i="2"/>
  <c r="S27" i="2"/>
  <c r="U27" i="2"/>
  <c r="CX27" i="2"/>
  <c r="CY27" i="2"/>
  <c r="CZ27" i="2"/>
  <c r="C28" i="2"/>
  <c r="D28" i="2"/>
  <c r="E28" i="2"/>
  <c r="F28" i="2"/>
  <c r="G28" i="2"/>
  <c r="H28" i="2"/>
  <c r="K28" i="2"/>
  <c r="R28" i="2"/>
  <c r="S28" i="2"/>
  <c r="U28" i="2"/>
  <c r="CX28" i="2"/>
  <c r="CY28" i="2"/>
  <c r="CZ28" i="2"/>
  <c r="CX29" i="2"/>
  <c r="CY29" i="2"/>
  <c r="CZ29" i="2"/>
  <c r="K30" i="2"/>
  <c r="N30" i="2"/>
  <c r="O30" i="2"/>
  <c r="CX30" i="2"/>
  <c r="CY30" i="2"/>
  <c r="CZ30" i="2"/>
  <c r="CE4" i="14"/>
  <c r="CF4" i="14"/>
  <c r="CG4" i="14"/>
  <c r="CE5" i="14"/>
  <c r="CF5" i="14"/>
  <c r="CG5" i="14"/>
  <c r="CE6" i="14"/>
  <c r="CF6" i="14"/>
  <c r="CG6" i="14"/>
  <c r="CE7" i="14"/>
  <c r="CF7" i="14"/>
  <c r="CG7" i="14"/>
  <c r="CE8" i="14"/>
  <c r="CF8" i="14"/>
  <c r="CG8" i="14"/>
  <c r="CE9" i="14"/>
  <c r="CF9" i="14"/>
  <c r="CG9" i="14"/>
  <c r="CE10" i="14"/>
  <c r="CF10" i="14"/>
  <c r="CG10" i="14"/>
  <c r="CE11" i="14"/>
  <c r="CF11" i="14"/>
  <c r="CG11" i="14"/>
  <c r="CE12" i="14"/>
  <c r="CF12" i="14"/>
  <c r="CG12" i="14"/>
  <c r="CE13" i="14"/>
  <c r="CF13" i="14"/>
  <c r="CG13" i="14"/>
  <c r="CE14" i="14"/>
  <c r="CF14" i="14"/>
  <c r="CG14" i="14"/>
  <c r="CE15" i="14"/>
  <c r="CF15" i="14"/>
  <c r="CG15" i="14"/>
  <c r="CE16" i="14"/>
  <c r="CF16" i="14"/>
  <c r="CG16" i="14"/>
  <c r="CE17" i="14"/>
  <c r="CF17" i="14"/>
  <c r="CG17" i="14"/>
  <c r="CE18" i="14"/>
  <c r="CF18" i="14"/>
  <c r="CG18" i="14"/>
  <c r="CE19" i="14"/>
  <c r="CF19" i="14"/>
  <c r="CG19" i="14"/>
  <c r="CE20" i="14"/>
  <c r="CF20" i="14"/>
  <c r="CG20" i="14"/>
  <c r="CE21" i="14"/>
  <c r="CF21" i="14"/>
  <c r="CG21" i="14"/>
  <c r="CE22" i="14"/>
  <c r="CF22" i="14"/>
  <c r="CG22" i="14"/>
  <c r="CE23" i="14"/>
  <c r="CF23" i="14"/>
  <c r="CG23" i="14"/>
  <c r="CE24" i="14"/>
  <c r="CF24" i="14"/>
  <c r="CG24" i="14"/>
  <c r="CE25" i="14"/>
  <c r="CF25" i="14"/>
  <c r="CG25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N3" i="19"/>
  <c r="O3" i="19"/>
  <c r="P3" i="19"/>
  <c r="C4" i="19"/>
  <c r="D4" i="19"/>
  <c r="E4" i="19"/>
  <c r="G4" i="19"/>
  <c r="H4" i="19"/>
  <c r="K4" i="19"/>
  <c r="N4" i="19"/>
  <c r="O4" i="19"/>
  <c r="P4" i="19"/>
  <c r="B5" i="19"/>
  <c r="C5" i="19"/>
  <c r="D5" i="19"/>
  <c r="E5" i="19"/>
  <c r="G5" i="19"/>
  <c r="H5" i="19"/>
  <c r="K5" i="19"/>
  <c r="N5" i="19"/>
  <c r="O5" i="19"/>
  <c r="P5" i="19"/>
  <c r="S5" i="19"/>
  <c r="K6" i="19"/>
  <c r="N6" i="19"/>
  <c r="O6" i="19"/>
  <c r="P6" i="19"/>
  <c r="B7" i="19"/>
  <c r="C7" i="19"/>
  <c r="D7" i="19"/>
  <c r="E7" i="19"/>
  <c r="G7" i="19"/>
  <c r="H7" i="19"/>
  <c r="K7" i="19"/>
  <c r="N7" i="19"/>
  <c r="O7" i="19"/>
  <c r="P7" i="19"/>
  <c r="CX7" i="19"/>
  <c r="CY7" i="19"/>
  <c r="CZ7" i="19"/>
  <c r="B8" i="19"/>
  <c r="C8" i="19"/>
  <c r="D8" i="19"/>
  <c r="E8" i="19"/>
  <c r="G8" i="19"/>
  <c r="H8" i="19"/>
  <c r="K8" i="19"/>
  <c r="N8" i="19"/>
  <c r="O8" i="19"/>
  <c r="P8" i="19"/>
  <c r="R8" i="19"/>
  <c r="S8" i="19"/>
  <c r="CX8" i="19"/>
  <c r="CY8" i="19"/>
  <c r="CZ8" i="19"/>
  <c r="B9" i="19"/>
  <c r="C9" i="19"/>
  <c r="D9" i="19"/>
  <c r="E9" i="19"/>
  <c r="G9" i="19"/>
  <c r="H9" i="19"/>
  <c r="I9" i="19"/>
  <c r="J9" i="19"/>
  <c r="K9" i="19"/>
  <c r="N9" i="19"/>
  <c r="O9" i="19"/>
  <c r="P9" i="19"/>
  <c r="R9" i="19"/>
  <c r="S9" i="19"/>
  <c r="U9" i="19"/>
  <c r="CX9" i="19"/>
  <c r="CY9" i="19"/>
  <c r="CZ9" i="19"/>
  <c r="B10" i="19"/>
  <c r="C10" i="19"/>
  <c r="D10" i="19"/>
  <c r="E10" i="19"/>
  <c r="G10" i="19"/>
  <c r="H10" i="19"/>
  <c r="I10" i="19"/>
  <c r="J10" i="19"/>
  <c r="K10" i="19"/>
  <c r="N10" i="19"/>
  <c r="O10" i="19"/>
  <c r="P10" i="19"/>
  <c r="R10" i="19"/>
  <c r="S10" i="19"/>
  <c r="U10" i="19"/>
  <c r="CX10" i="19"/>
  <c r="CY10" i="19"/>
  <c r="CZ10" i="19"/>
  <c r="B11" i="19"/>
  <c r="C11" i="19"/>
  <c r="D11" i="19"/>
  <c r="E11" i="19"/>
  <c r="G11" i="19"/>
  <c r="H11" i="19"/>
  <c r="I11" i="19"/>
  <c r="J11" i="19"/>
  <c r="K11" i="19"/>
  <c r="N11" i="19"/>
  <c r="O11" i="19"/>
  <c r="P11" i="19"/>
  <c r="R11" i="19"/>
  <c r="S11" i="19"/>
  <c r="U11" i="19"/>
  <c r="CX11" i="19"/>
  <c r="CY11" i="19"/>
  <c r="CZ11" i="19"/>
  <c r="B12" i="19"/>
  <c r="C12" i="19"/>
  <c r="D12" i="19"/>
  <c r="E12" i="19"/>
  <c r="G12" i="19"/>
  <c r="H12" i="19"/>
  <c r="I12" i="19"/>
  <c r="J12" i="19"/>
  <c r="K12" i="19"/>
  <c r="N12" i="19"/>
  <c r="O12" i="19"/>
  <c r="P12" i="19"/>
  <c r="R12" i="19"/>
  <c r="S12" i="19"/>
  <c r="U12" i="19"/>
  <c r="CX12" i="19"/>
  <c r="CY12" i="19"/>
  <c r="CZ12" i="19"/>
  <c r="B13" i="19"/>
  <c r="C13" i="19"/>
  <c r="D13" i="19"/>
  <c r="E13" i="19"/>
  <c r="G13" i="19"/>
  <c r="H13" i="19"/>
  <c r="I13" i="19"/>
  <c r="J13" i="19"/>
  <c r="K13" i="19"/>
  <c r="N13" i="19"/>
  <c r="O13" i="19"/>
  <c r="P13" i="19"/>
  <c r="R13" i="19"/>
  <c r="S13" i="19"/>
  <c r="U13" i="19"/>
  <c r="CX13" i="19"/>
  <c r="CY13" i="19"/>
  <c r="CZ13" i="19"/>
  <c r="B14" i="19"/>
  <c r="C14" i="19"/>
  <c r="D14" i="19"/>
  <c r="E14" i="19"/>
  <c r="G14" i="19"/>
  <c r="H14" i="19"/>
  <c r="I14" i="19"/>
  <c r="J14" i="19"/>
  <c r="K14" i="19"/>
  <c r="N14" i="19"/>
  <c r="O14" i="19"/>
  <c r="P14" i="19"/>
  <c r="R14" i="19"/>
  <c r="S14" i="19"/>
  <c r="U14" i="19"/>
  <c r="CX14" i="19"/>
  <c r="CY14" i="19"/>
  <c r="CZ14" i="19"/>
  <c r="B15" i="19"/>
  <c r="C15" i="19"/>
  <c r="D15" i="19"/>
  <c r="E15" i="19"/>
  <c r="G15" i="19"/>
  <c r="H15" i="19"/>
  <c r="I15" i="19"/>
  <c r="J15" i="19"/>
  <c r="K15" i="19"/>
  <c r="N15" i="19"/>
  <c r="O15" i="19"/>
  <c r="P15" i="19"/>
  <c r="S15" i="19"/>
  <c r="U15" i="19"/>
  <c r="CX15" i="19"/>
  <c r="CY15" i="19"/>
  <c r="CZ15" i="19"/>
  <c r="B16" i="19"/>
  <c r="C16" i="19"/>
  <c r="D16" i="19"/>
  <c r="E16" i="19"/>
  <c r="G16" i="19"/>
  <c r="H16" i="19"/>
  <c r="I16" i="19"/>
  <c r="J16" i="19"/>
  <c r="K16" i="19"/>
  <c r="N16" i="19"/>
  <c r="O16" i="19"/>
  <c r="P16" i="19"/>
  <c r="S16" i="19"/>
  <c r="U16" i="19"/>
  <c r="CX16" i="19"/>
  <c r="CY16" i="19"/>
  <c r="CZ16" i="19"/>
  <c r="B17" i="19"/>
  <c r="C17" i="19"/>
  <c r="D17" i="19"/>
  <c r="E17" i="19"/>
  <c r="G17" i="19"/>
  <c r="H17" i="19"/>
  <c r="I17" i="19"/>
  <c r="J17" i="19"/>
  <c r="K17" i="19"/>
  <c r="N17" i="19"/>
  <c r="O17" i="19"/>
  <c r="P17" i="19"/>
  <c r="S17" i="19"/>
  <c r="U17" i="19"/>
  <c r="CX17" i="19"/>
  <c r="CY17" i="19"/>
  <c r="CZ17" i="19"/>
  <c r="B18" i="19"/>
  <c r="C18" i="19"/>
  <c r="D18" i="19"/>
  <c r="E18" i="19"/>
  <c r="G18" i="19"/>
  <c r="H18" i="19"/>
  <c r="I18" i="19"/>
  <c r="J18" i="19"/>
  <c r="K18" i="19"/>
  <c r="N18" i="19"/>
  <c r="O18" i="19"/>
  <c r="P18" i="19"/>
  <c r="R18" i="19"/>
  <c r="S18" i="19"/>
  <c r="U18" i="19"/>
  <c r="CX18" i="19"/>
  <c r="CY18" i="19"/>
  <c r="CZ18" i="19"/>
  <c r="B19" i="19"/>
  <c r="E19" i="19"/>
  <c r="G19" i="19"/>
  <c r="H19" i="19"/>
  <c r="I19" i="19"/>
  <c r="J19" i="19"/>
  <c r="K19" i="19"/>
  <c r="N19" i="19"/>
  <c r="O19" i="19"/>
  <c r="P19" i="19"/>
  <c r="S19" i="19"/>
  <c r="U19" i="19"/>
  <c r="CX19" i="19"/>
  <c r="CY19" i="19"/>
  <c r="CZ19" i="19"/>
  <c r="B20" i="19"/>
  <c r="C20" i="19"/>
  <c r="D20" i="19"/>
  <c r="E20" i="19"/>
  <c r="G20" i="19"/>
  <c r="H20" i="19"/>
  <c r="I20" i="19"/>
  <c r="J20" i="19"/>
  <c r="K20" i="19"/>
  <c r="P20" i="19"/>
  <c r="S20" i="19"/>
  <c r="U20" i="19"/>
  <c r="CX20" i="19"/>
  <c r="CY20" i="19"/>
  <c r="CZ20" i="19"/>
  <c r="B21" i="19"/>
  <c r="C21" i="19"/>
  <c r="D21" i="19"/>
  <c r="E21" i="19"/>
  <c r="G21" i="19"/>
  <c r="H21" i="19"/>
  <c r="I21" i="19"/>
  <c r="J21" i="19"/>
  <c r="K21" i="19"/>
  <c r="S21" i="19"/>
  <c r="U21" i="19"/>
  <c r="CX21" i="19"/>
  <c r="CY21" i="19"/>
  <c r="CZ21" i="19"/>
  <c r="B22" i="19"/>
  <c r="C22" i="19"/>
  <c r="D22" i="19"/>
  <c r="E22" i="19"/>
  <c r="G22" i="19"/>
  <c r="H22" i="19"/>
  <c r="I22" i="19"/>
  <c r="J22" i="19"/>
  <c r="K22" i="19"/>
  <c r="S22" i="19"/>
  <c r="U22" i="19"/>
  <c r="CX22" i="19"/>
  <c r="CY22" i="19"/>
  <c r="CZ22" i="19"/>
  <c r="B23" i="19"/>
  <c r="C23" i="19"/>
  <c r="D23" i="19"/>
  <c r="E23" i="19"/>
  <c r="G23" i="19"/>
  <c r="H23" i="19"/>
  <c r="I23" i="19"/>
  <c r="J23" i="19"/>
  <c r="K23" i="19"/>
  <c r="S23" i="19"/>
  <c r="U23" i="19"/>
  <c r="CX23" i="19"/>
  <c r="CY23" i="19"/>
  <c r="CZ23" i="19"/>
  <c r="B24" i="19"/>
  <c r="C24" i="19"/>
  <c r="D24" i="19"/>
  <c r="E24" i="19"/>
  <c r="G24" i="19"/>
  <c r="H24" i="19"/>
  <c r="I24" i="19"/>
  <c r="J24" i="19"/>
  <c r="K24" i="19"/>
  <c r="S24" i="19"/>
  <c r="U24" i="19"/>
  <c r="CX24" i="19"/>
  <c r="CY24" i="19"/>
  <c r="CZ24" i="19"/>
  <c r="B25" i="19"/>
  <c r="C25" i="19"/>
  <c r="D25" i="19"/>
  <c r="E25" i="19"/>
  <c r="G25" i="19"/>
  <c r="H25" i="19"/>
  <c r="I25" i="19"/>
  <c r="J25" i="19"/>
  <c r="K25" i="19"/>
  <c r="S25" i="19"/>
  <c r="U25" i="19"/>
  <c r="CX25" i="19"/>
  <c r="CY25" i="19"/>
  <c r="CZ25" i="19"/>
  <c r="B26" i="19"/>
  <c r="C26" i="19"/>
  <c r="D26" i="19"/>
  <c r="E26" i="19"/>
  <c r="G26" i="19"/>
  <c r="H26" i="19"/>
  <c r="I26" i="19"/>
  <c r="J26" i="19"/>
  <c r="K26" i="19"/>
  <c r="S26" i="19"/>
  <c r="U26" i="19"/>
  <c r="CX26" i="19"/>
  <c r="CY26" i="19"/>
  <c r="CZ26" i="19"/>
  <c r="K27" i="19"/>
  <c r="S27" i="19"/>
  <c r="U27" i="19"/>
  <c r="CX27" i="19"/>
  <c r="CY27" i="19"/>
  <c r="CZ27" i="19"/>
  <c r="C28" i="19"/>
  <c r="D28" i="19"/>
  <c r="E28" i="19"/>
  <c r="F28" i="19"/>
  <c r="G28" i="19"/>
  <c r="H28" i="19"/>
  <c r="K28" i="19"/>
  <c r="S28" i="19"/>
  <c r="U28" i="19"/>
  <c r="CX28" i="19"/>
  <c r="CY28" i="19"/>
  <c r="CZ28" i="19"/>
  <c r="N30" i="19"/>
  <c r="O30" i="19"/>
  <c r="K32" i="19"/>
  <c r="N3" i="9"/>
  <c r="O3" i="9"/>
  <c r="P3" i="9"/>
  <c r="C4" i="9"/>
  <c r="D4" i="9"/>
  <c r="E4" i="9"/>
  <c r="G4" i="9"/>
  <c r="H4" i="9"/>
  <c r="K4" i="9"/>
  <c r="N4" i="9"/>
  <c r="O4" i="9"/>
  <c r="P4" i="9"/>
  <c r="B5" i="9"/>
  <c r="C5" i="9"/>
  <c r="D5" i="9"/>
  <c r="E5" i="9"/>
  <c r="G5" i="9"/>
  <c r="H5" i="9"/>
  <c r="K5" i="9"/>
  <c r="N5" i="9"/>
  <c r="O5" i="9"/>
  <c r="P5" i="9"/>
  <c r="S5" i="9"/>
  <c r="K6" i="9"/>
  <c r="N6" i="9"/>
  <c r="O6" i="9"/>
  <c r="P6" i="9"/>
  <c r="B7" i="9"/>
  <c r="C7" i="9"/>
  <c r="D7" i="9"/>
  <c r="E7" i="9"/>
  <c r="G7" i="9"/>
  <c r="H7" i="9"/>
  <c r="K7" i="9"/>
  <c r="N7" i="9"/>
  <c r="O7" i="9"/>
  <c r="P7" i="9"/>
  <c r="U7" i="9"/>
  <c r="CX7" i="9"/>
  <c r="CY7" i="9"/>
  <c r="CZ7" i="9"/>
  <c r="B8" i="9"/>
  <c r="C8" i="9"/>
  <c r="D8" i="9"/>
  <c r="E8" i="9"/>
  <c r="G8" i="9"/>
  <c r="H8" i="9"/>
  <c r="K8" i="9"/>
  <c r="N8" i="9"/>
  <c r="O8" i="9"/>
  <c r="P8" i="9"/>
  <c r="R8" i="9"/>
  <c r="S8" i="9"/>
  <c r="U8" i="9"/>
  <c r="CX8" i="9"/>
  <c r="CY8" i="9"/>
  <c r="CZ8" i="9"/>
  <c r="B9" i="9"/>
  <c r="C9" i="9"/>
  <c r="D9" i="9"/>
  <c r="E9" i="9"/>
  <c r="G9" i="9"/>
  <c r="H9" i="9"/>
  <c r="J9" i="9"/>
  <c r="K9" i="9"/>
  <c r="N9" i="9"/>
  <c r="O9" i="9"/>
  <c r="P9" i="9"/>
  <c r="R9" i="9"/>
  <c r="S9" i="9"/>
  <c r="U9" i="9"/>
  <c r="CX9" i="9"/>
  <c r="CY9" i="9"/>
  <c r="CZ9" i="9"/>
  <c r="B10" i="9"/>
  <c r="C10" i="9"/>
  <c r="D10" i="9"/>
  <c r="E10" i="9"/>
  <c r="G10" i="9"/>
  <c r="H10" i="9"/>
  <c r="I10" i="9"/>
  <c r="J10" i="9"/>
  <c r="K10" i="9"/>
  <c r="N10" i="9"/>
  <c r="O10" i="9"/>
  <c r="P10" i="9"/>
  <c r="R10" i="9"/>
  <c r="S10" i="9"/>
  <c r="U10" i="9"/>
  <c r="CX10" i="9"/>
  <c r="CY10" i="9"/>
  <c r="CZ10" i="9"/>
  <c r="B11" i="9"/>
  <c r="C11" i="9"/>
  <c r="D11" i="9"/>
  <c r="E11" i="9"/>
  <c r="G11" i="9"/>
  <c r="H11" i="9"/>
  <c r="I11" i="9"/>
  <c r="J11" i="9"/>
  <c r="K11" i="9"/>
  <c r="N11" i="9"/>
  <c r="O11" i="9"/>
  <c r="P11" i="9"/>
  <c r="R11" i="9"/>
  <c r="S11" i="9"/>
  <c r="U11" i="9"/>
  <c r="CX11" i="9"/>
  <c r="CY11" i="9"/>
  <c r="CZ11" i="9"/>
  <c r="B12" i="9"/>
  <c r="C12" i="9"/>
  <c r="D12" i="9"/>
  <c r="E12" i="9"/>
  <c r="G12" i="9"/>
  <c r="H12" i="9"/>
  <c r="I12" i="9"/>
  <c r="J12" i="9"/>
  <c r="K12" i="9"/>
  <c r="N12" i="9"/>
  <c r="O12" i="9"/>
  <c r="P12" i="9"/>
  <c r="R12" i="9"/>
  <c r="S12" i="9"/>
  <c r="U12" i="9"/>
  <c r="CX12" i="9"/>
  <c r="CY12" i="9"/>
  <c r="CZ12" i="9"/>
  <c r="B13" i="9"/>
  <c r="C13" i="9"/>
  <c r="D13" i="9"/>
  <c r="E13" i="9"/>
  <c r="G13" i="9"/>
  <c r="H13" i="9"/>
  <c r="I13" i="9"/>
  <c r="J13" i="9"/>
  <c r="K13" i="9"/>
  <c r="N13" i="9"/>
  <c r="O13" i="9"/>
  <c r="P13" i="9"/>
  <c r="S13" i="9"/>
  <c r="U13" i="9"/>
  <c r="CX13" i="9"/>
  <c r="CY13" i="9"/>
  <c r="CZ13" i="9"/>
  <c r="B14" i="9"/>
  <c r="C14" i="9"/>
  <c r="D14" i="9"/>
  <c r="E14" i="9"/>
  <c r="G14" i="9"/>
  <c r="H14" i="9"/>
  <c r="I14" i="9"/>
  <c r="J14" i="9"/>
  <c r="K14" i="9"/>
  <c r="N14" i="9"/>
  <c r="O14" i="9"/>
  <c r="P14" i="9"/>
  <c r="R14" i="9"/>
  <c r="S14" i="9"/>
  <c r="U14" i="9"/>
  <c r="CX14" i="9"/>
  <c r="CY14" i="9"/>
  <c r="CZ14" i="9"/>
  <c r="B15" i="9"/>
  <c r="C15" i="9"/>
  <c r="D15" i="9"/>
  <c r="E15" i="9"/>
  <c r="G15" i="9"/>
  <c r="H15" i="9"/>
  <c r="I15" i="9"/>
  <c r="J15" i="9"/>
  <c r="K15" i="9"/>
  <c r="N15" i="9"/>
  <c r="O15" i="9"/>
  <c r="P15" i="9"/>
  <c r="S15" i="9"/>
  <c r="U15" i="9"/>
  <c r="CX15" i="9"/>
  <c r="CY15" i="9"/>
  <c r="CZ15" i="9"/>
  <c r="B16" i="9"/>
  <c r="C16" i="9"/>
  <c r="D16" i="9"/>
  <c r="E16" i="9"/>
  <c r="G16" i="9"/>
  <c r="H16" i="9"/>
  <c r="I16" i="9"/>
  <c r="J16" i="9"/>
  <c r="K16" i="9"/>
  <c r="N16" i="9"/>
  <c r="O16" i="9"/>
  <c r="P16" i="9"/>
  <c r="S16" i="9"/>
  <c r="U16" i="9"/>
  <c r="CX16" i="9"/>
  <c r="CY16" i="9"/>
  <c r="CZ16" i="9"/>
  <c r="B17" i="9"/>
  <c r="C17" i="9"/>
  <c r="D17" i="9"/>
  <c r="E17" i="9"/>
  <c r="G17" i="9"/>
  <c r="H17" i="9"/>
  <c r="I17" i="9"/>
  <c r="J17" i="9"/>
  <c r="K17" i="9"/>
  <c r="N17" i="9"/>
  <c r="O17" i="9"/>
  <c r="P17" i="9"/>
  <c r="S17" i="9"/>
  <c r="U17" i="9"/>
  <c r="CX17" i="9"/>
  <c r="CY17" i="9"/>
  <c r="CZ17" i="9"/>
  <c r="B18" i="9"/>
  <c r="C18" i="9"/>
  <c r="D18" i="9"/>
  <c r="E18" i="9"/>
  <c r="G18" i="9"/>
  <c r="H18" i="9"/>
  <c r="I18" i="9"/>
  <c r="J18" i="9"/>
  <c r="K18" i="9"/>
  <c r="N18" i="9"/>
  <c r="O18" i="9"/>
  <c r="P18" i="9"/>
  <c r="S18" i="9"/>
  <c r="U18" i="9"/>
  <c r="CX18" i="9"/>
  <c r="CY18" i="9"/>
  <c r="CZ18" i="9"/>
  <c r="B19" i="9"/>
  <c r="C19" i="9"/>
  <c r="D19" i="9"/>
  <c r="E19" i="9"/>
  <c r="G19" i="9"/>
  <c r="H19" i="9"/>
  <c r="I19" i="9"/>
  <c r="J19" i="9"/>
  <c r="K19" i="9"/>
  <c r="N19" i="9"/>
  <c r="O19" i="9"/>
  <c r="P19" i="9"/>
  <c r="S19" i="9"/>
  <c r="U19" i="9"/>
  <c r="CX19" i="9"/>
  <c r="CY19" i="9"/>
  <c r="CZ19" i="9"/>
  <c r="B20" i="9"/>
  <c r="C20" i="9"/>
  <c r="D20" i="9"/>
  <c r="E20" i="9"/>
  <c r="G20" i="9"/>
  <c r="H20" i="9"/>
  <c r="I20" i="9"/>
  <c r="J20" i="9"/>
  <c r="K20" i="9"/>
  <c r="P20" i="9"/>
  <c r="S20" i="9"/>
  <c r="U20" i="9"/>
  <c r="CX20" i="9"/>
  <c r="CY20" i="9"/>
  <c r="CZ20" i="9"/>
  <c r="B21" i="9"/>
  <c r="C21" i="9"/>
  <c r="D21" i="9"/>
  <c r="E21" i="9"/>
  <c r="G21" i="9"/>
  <c r="H21" i="9"/>
  <c r="I21" i="9"/>
  <c r="J21" i="9"/>
  <c r="K21" i="9"/>
  <c r="S21" i="9"/>
  <c r="U21" i="9"/>
  <c r="CX21" i="9"/>
  <c r="CY21" i="9"/>
  <c r="CZ21" i="9"/>
  <c r="B22" i="9"/>
  <c r="C22" i="9"/>
  <c r="D22" i="9"/>
  <c r="E22" i="9"/>
  <c r="G22" i="9"/>
  <c r="H22" i="9"/>
  <c r="I22" i="9"/>
  <c r="J22" i="9"/>
  <c r="K22" i="9"/>
  <c r="S22" i="9"/>
  <c r="U22" i="9"/>
  <c r="CX22" i="9"/>
  <c r="CY22" i="9"/>
  <c r="CZ22" i="9"/>
  <c r="B23" i="9"/>
  <c r="C23" i="9"/>
  <c r="D23" i="9"/>
  <c r="E23" i="9"/>
  <c r="G23" i="9"/>
  <c r="H23" i="9"/>
  <c r="I23" i="9"/>
  <c r="J23" i="9"/>
  <c r="K23" i="9"/>
  <c r="S23" i="9"/>
  <c r="U23" i="9"/>
  <c r="CX23" i="9"/>
  <c r="CY23" i="9"/>
  <c r="CZ23" i="9"/>
  <c r="B24" i="9"/>
  <c r="C24" i="9"/>
  <c r="D24" i="9"/>
  <c r="E24" i="9"/>
  <c r="G24" i="9"/>
  <c r="H24" i="9"/>
  <c r="I24" i="9"/>
  <c r="J24" i="9"/>
  <c r="K24" i="9"/>
  <c r="S24" i="9"/>
  <c r="U24" i="9"/>
  <c r="CX24" i="9"/>
  <c r="CY24" i="9"/>
  <c r="CZ24" i="9"/>
  <c r="B25" i="9"/>
  <c r="C25" i="9"/>
  <c r="D25" i="9"/>
  <c r="E25" i="9"/>
  <c r="G25" i="9"/>
  <c r="H25" i="9"/>
  <c r="I25" i="9"/>
  <c r="J25" i="9"/>
  <c r="K25" i="9"/>
  <c r="S25" i="9"/>
  <c r="U25" i="9"/>
  <c r="CX25" i="9"/>
  <c r="CY25" i="9"/>
  <c r="CZ25" i="9"/>
  <c r="B26" i="9"/>
  <c r="C26" i="9"/>
  <c r="D26" i="9"/>
  <c r="E26" i="9"/>
  <c r="G26" i="9"/>
  <c r="H26" i="9"/>
  <c r="I26" i="9"/>
  <c r="J26" i="9"/>
  <c r="K26" i="9"/>
  <c r="R26" i="9"/>
  <c r="S26" i="9"/>
  <c r="U26" i="9"/>
  <c r="CX26" i="9"/>
  <c r="CY26" i="9"/>
  <c r="CZ26" i="9"/>
  <c r="B27" i="9"/>
  <c r="G27" i="9"/>
  <c r="H27" i="9"/>
  <c r="I27" i="9"/>
  <c r="K27" i="9"/>
  <c r="R27" i="9"/>
  <c r="S27" i="9"/>
  <c r="U27" i="9"/>
  <c r="CX27" i="9"/>
  <c r="CY27" i="9"/>
  <c r="CZ27" i="9"/>
  <c r="C28" i="9"/>
  <c r="D28" i="9"/>
  <c r="E28" i="9"/>
  <c r="F28" i="9"/>
  <c r="G28" i="9"/>
  <c r="H28" i="9"/>
  <c r="K28" i="9"/>
  <c r="R28" i="9"/>
  <c r="S28" i="9"/>
  <c r="U28" i="9"/>
  <c r="CX28" i="9"/>
  <c r="CY28" i="9"/>
  <c r="CZ28" i="9"/>
  <c r="C29" i="9"/>
  <c r="D29" i="9"/>
  <c r="E29" i="9"/>
  <c r="G29" i="9"/>
  <c r="H29" i="9"/>
  <c r="CX29" i="9"/>
  <c r="CY29" i="9"/>
  <c r="CZ29" i="9"/>
  <c r="N30" i="9"/>
  <c r="O30" i="9"/>
  <c r="CX30" i="9"/>
  <c r="CY30" i="9"/>
  <c r="CZ30" i="9"/>
  <c r="K32" i="9"/>
  <c r="CE4" i="15"/>
  <c r="CF4" i="15"/>
  <c r="CG4" i="15"/>
  <c r="CE5" i="15"/>
  <c r="CF5" i="15"/>
  <c r="CG5" i="15"/>
  <c r="CE6" i="15"/>
  <c r="CF6" i="15"/>
  <c r="CG6" i="15"/>
  <c r="CE7" i="15"/>
  <c r="CF7" i="15"/>
  <c r="CG7" i="15"/>
  <c r="CE8" i="15"/>
  <c r="CF8" i="15"/>
  <c r="CG8" i="15"/>
  <c r="CE9" i="15"/>
  <c r="CF9" i="15"/>
  <c r="CG9" i="15"/>
  <c r="CE10" i="15"/>
  <c r="CF10" i="15"/>
  <c r="CG10" i="15"/>
  <c r="CE11" i="15"/>
  <c r="CF11" i="15"/>
  <c r="CG11" i="15"/>
  <c r="CE12" i="15"/>
  <c r="CF12" i="15"/>
  <c r="CG12" i="15"/>
  <c r="CE13" i="15"/>
  <c r="CF13" i="15"/>
  <c r="CG13" i="15"/>
  <c r="CE14" i="15"/>
  <c r="CF14" i="15"/>
  <c r="CG14" i="15"/>
  <c r="CE15" i="15"/>
  <c r="CF15" i="15"/>
  <c r="CG15" i="15"/>
  <c r="CE16" i="15"/>
  <c r="CF16" i="15"/>
  <c r="CG16" i="15"/>
  <c r="CE17" i="15"/>
  <c r="CF17" i="15"/>
  <c r="CG17" i="15"/>
  <c r="CE18" i="15"/>
  <c r="CF18" i="15"/>
  <c r="CG18" i="15"/>
  <c r="CE19" i="15"/>
  <c r="CF19" i="15"/>
  <c r="CG19" i="15"/>
  <c r="CE20" i="15"/>
  <c r="CF20" i="15"/>
  <c r="CG20" i="15"/>
  <c r="CE21" i="15"/>
  <c r="CF21" i="15"/>
  <c r="CG21" i="15"/>
  <c r="CE22" i="15"/>
  <c r="CF22" i="15"/>
  <c r="CG22" i="15"/>
  <c r="CE23" i="15"/>
  <c r="CF23" i="15"/>
  <c r="CG23" i="15"/>
  <c r="CE24" i="15"/>
  <c r="CF24" i="15"/>
  <c r="CG24" i="15"/>
  <c r="CE25" i="15"/>
  <c r="CF25" i="15"/>
  <c r="CG25" i="15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N3" i="20"/>
  <c r="O3" i="20"/>
  <c r="P3" i="20"/>
  <c r="C4" i="20"/>
  <c r="D4" i="20"/>
  <c r="E4" i="20"/>
  <c r="G4" i="20"/>
  <c r="H4" i="20"/>
  <c r="K4" i="20"/>
  <c r="N4" i="20"/>
  <c r="O4" i="20"/>
  <c r="P4" i="20"/>
  <c r="B5" i="20"/>
  <c r="C5" i="20"/>
  <c r="D5" i="20"/>
  <c r="E5" i="20"/>
  <c r="G5" i="20"/>
  <c r="H5" i="20"/>
  <c r="K5" i="20"/>
  <c r="N5" i="20"/>
  <c r="O5" i="20"/>
  <c r="P5" i="20"/>
  <c r="S5" i="20"/>
  <c r="K6" i="20"/>
  <c r="N6" i="20"/>
  <c r="O6" i="20"/>
  <c r="P6" i="20"/>
  <c r="B7" i="20"/>
  <c r="C7" i="20"/>
  <c r="D7" i="20"/>
  <c r="E7" i="20"/>
  <c r="G7" i="20"/>
  <c r="H7" i="20"/>
  <c r="K7" i="20"/>
  <c r="N7" i="20"/>
  <c r="O7" i="20"/>
  <c r="P7" i="20"/>
  <c r="CX7" i="20"/>
  <c r="CY7" i="20"/>
  <c r="CZ7" i="20"/>
  <c r="B8" i="20"/>
  <c r="C8" i="20"/>
  <c r="D8" i="20"/>
  <c r="E8" i="20"/>
  <c r="G8" i="20"/>
  <c r="H8" i="20"/>
  <c r="K8" i="20"/>
  <c r="N8" i="20"/>
  <c r="O8" i="20"/>
  <c r="P8" i="20"/>
  <c r="R8" i="20"/>
  <c r="S8" i="20"/>
  <c r="CX8" i="20"/>
  <c r="CY8" i="20"/>
  <c r="CZ8" i="20"/>
  <c r="B9" i="20"/>
  <c r="C9" i="20"/>
  <c r="D9" i="20"/>
  <c r="E9" i="20"/>
  <c r="G9" i="20"/>
  <c r="H9" i="20"/>
  <c r="I9" i="20"/>
  <c r="J9" i="20"/>
  <c r="K9" i="20"/>
  <c r="N9" i="20"/>
  <c r="O9" i="20"/>
  <c r="P9" i="20"/>
  <c r="R9" i="20"/>
  <c r="S9" i="20"/>
  <c r="U9" i="20"/>
  <c r="CX9" i="20"/>
  <c r="CY9" i="20"/>
  <c r="CZ9" i="20"/>
  <c r="B10" i="20"/>
  <c r="C10" i="20"/>
  <c r="D10" i="20"/>
  <c r="E10" i="20"/>
  <c r="G10" i="20"/>
  <c r="H10" i="20"/>
  <c r="I10" i="20"/>
  <c r="J10" i="20"/>
  <c r="K10" i="20"/>
  <c r="N10" i="20"/>
  <c r="O10" i="20"/>
  <c r="P10" i="20"/>
  <c r="R10" i="20"/>
  <c r="S10" i="20"/>
  <c r="U10" i="20"/>
  <c r="CX10" i="20"/>
  <c r="CY10" i="20"/>
  <c r="CZ10" i="20"/>
  <c r="B11" i="20"/>
  <c r="C11" i="20"/>
  <c r="D11" i="20"/>
  <c r="E11" i="20"/>
  <c r="G11" i="20"/>
  <c r="H11" i="20"/>
  <c r="I11" i="20"/>
  <c r="J11" i="20"/>
  <c r="K11" i="20"/>
  <c r="N11" i="20"/>
  <c r="O11" i="20"/>
  <c r="P11" i="20"/>
  <c r="R11" i="20"/>
  <c r="S11" i="20"/>
  <c r="U11" i="20"/>
  <c r="CX11" i="20"/>
  <c r="CY11" i="20"/>
  <c r="CZ11" i="20"/>
  <c r="B12" i="20"/>
  <c r="C12" i="20"/>
  <c r="D12" i="20"/>
  <c r="E12" i="20"/>
  <c r="G12" i="20"/>
  <c r="H12" i="20"/>
  <c r="I12" i="20"/>
  <c r="J12" i="20"/>
  <c r="K12" i="20"/>
  <c r="N12" i="20"/>
  <c r="O12" i="20"/>
  <c r="P12" i="20"/>
  <c r="R12" i="20"/>
  <c r="S12" i="20"/>
  <c r="U12" i="20"/>
  <c r="CX12" i="20"/>
  <c r="CY12" i="20"/>
  <c r="CZ12" i="20"/>
  <c r="B13" i="20"/>
  <c r="C13" i="20"/>
  <c r="D13" i="20"/>
  <c r="E13" i="20"/>
  <c r="G13" i="20"/>
  <c r="H13" i="20"/>
  <c r="I13" i="20"/>
  <c r="J13" i="20"/>
  <c r="K13" i="20"/>
  <c r="N13" i="20"/>
  <c r="O13" i="20"/>
  <c r="P13" i="20"/>
  <c r="R13" i="20"/>
  <c r="S13" i="20"/>
  <c r="U13" i="20"/>
  <c r="CX13" i="20"/>
  <c r="CY13" i="20"/>
  <c r="CZ13" i="20"/>
  <c r="B14" i="20"/>
  <c r="C14" i="20"/>
  <c r="D14" i="20"/>
  <c r="E14" i="20"/>
  <c r="G14" i="20"/>
  <c r="H14" i="20"/>
  <c r="I14" i="20"/>
  <c r="J14" i="20"/>
  <c r="K14" i="20"/>
  <c r="N14" i="20"/>
  <c r="O14" i="20"/>
  <c r="P14" i="20"/>
  <c r="R14" i="20"/>
  <c r="S14" i="20"/>
  <c r="U14" i="20"/>
  <c r="CX14" i="20"/>
  <c r="CY14" i="20"/>
  <c r="CZ14" i="20"/>
  <c r="B15" i="20"/>
  <c r="C15" i="20"/>
  <c r="D15" i="20"/>
  <c r="E15" i="20"/>
  <c r="G15" i="20"/>
  <c r="H15" i="20"/>
  <c r="I15" i="20"/>
  <c r="J15" i="20"/>
  <c r="K15" i="20"/>
  <c r="N15" i="20"/>
  <c r="O15" i="20"/>
  <c r="P15" i="20"/>
  <c r="S15" i="20"/>
  <c r="U15" i="20"/>
  <c r="CX15" i="20"/>
  <c r="CY15" i="20"/>
  <c r="CZ15" i="20"/>
  <c r="B16" i="20"/>
  <c r="C16" i="20"/>
  <c r="D16" i="20"/>
  <c r="E16" i="20"/>
  <c r="G16" i="20"/>
  <c r="H16" i="20"/>
  <c r="I16" i="20"/>
  <c r="J16" i="20"/>
  <c r="K16" i="20"/>
  <c r="N16" i="20"/>
  <c r="O16" i="20"/>
  <c r="P16" i="20"/>
  <c r="S16" i="20"/>
  <c r="U16" i="20"/>
  <c r="CX16" i="20"/>
  <c r="CY16" i="20"/>
  <c r="CZ16" i="20"/>
  <c r="B17" i="20"/>
  <c r="C17" i="20"/>
  <c r="D17" i="20"/>
  <c r="E17" i="20"/>
  <c r="G17" i="20"/>
  <c r="H17" i="20"/>
  <c r="I17" i="20"/>
  <c r="J17" i="20"/>
  <c r="K17" i="20"/>
  <c r="N17" i="20"/>
  <c r="O17" i="20"/>
  <c r="P17" i="20"/>
  <c r="S17" i="20"/>
  <c r="U17" i="20"/>
  <c r="CX17" i="20"/>
  <c r="CY17" i="20"/>
  <c r="CZ17" i="20"/>
  <c r="B18" i="20"/>
  <c r="C18" i="20"/>
  <c r="D18" i="20"/>
  <c r="E18" i="20"/>
  <c r="G18" i="20"/>
  <c r="H18" i="20"/>
  <c r="I18" i="20"/>
  <c r="J18" i="20"/>
  <c r="K18" i="20"/>
  <c r="N18" i="20"/>
  <c r="O18" i="20"/>
  <c r="P18" i="20"/>
  <c r="R18" i="20"/>
  <c r="S18" i="20"/>
  <c r="U18" i="20"/>
  <c r="CX18" i="20"/>
  <c r="CY18" i="20"/>
  <c r="CZ18" i="20"/>
  <c r="B19" i="20"/>
  <c r="E19" i="20"/>
  <c r="G19" i="20"/>
  <c r="H19" i="20"/>
  <c r="I19" i="20"/>
  <c r="J19" i="20"/>
  <c r="K19" i="20"/>
  <c r="N19" i="20"/>
  <c r="O19" i="20"/>
  <c r="P19" i="20"/>
  <c r="S19" i="20"/>
  <c r="U19" i="20"/>
  <c r="CX19" i="20"/>
  <c r="CY19" i="20"/>
  <c r="CZ19" i="20"/>
  <c r="B20" i="20"/>
  <c r="C20" i="20"/>
  <c r="D20" i="20"/>
  <c r="E20" i="20"/>
  <c r="G20" i="20"/>
  <c r="H20" i="20"/>
  <c r="I20" i="20"/>
  <c r="J20" i="20"/>
  <c r="K20" i="20"/>
  <c r="P20" i="20"/>
  <c r="S20" i="20"/>
  <c r="U20" i="20"/>
  <c r="CX20" i="20"/>
  <c r="CY20" i="20"/>
  <c r="CZ20" i="20"/>
  <c r="B21" i="20"/>
  <c r="C21" i="20"/>
  <c r="D21" i="20"/>
  <c r="E21" i="20"/>
  <c r="G21" i="20"/>
  <c r="H21" i="20"/>
  <c r="I21" i="20"/>
  <c r="J21" i="20"/>
  <c r="K21" i="20"/>
  <c r="S21" i="20"/>
  <c r="U21" i="20"/>
  <c r="CX21" i="20"/>
  <c r="CY21" i="20"/>
  <c r="CZ21" i="20"/>
  <c r="B22" i="20"/>
  <c r="C22" i="20"/>
  <c r="D22" i="20"/>
  <c r="E22" i="20"/>
  <c r="G22" i="20"/>
  <c r="H22" i="20"/>
  <c r="I22" i="20"/>
  <c r="J22" i="20"/>
  <c r="K22" i="20"/>
  <c r="S22" i="20"/>
  <c r="U22" i="20"/>
  <c r="CX22" i="20"/>
  <c r="CY22" i="20"/>
  <c r="CZ22" i="20"/>
  <c r="B23" i="20"/>
  <c r="C23" i="20"/>
  <c r="D23" i="20"/>
  <c r="E23" i="20"/>
  <c r="G23" i="20"/>
  <c r="H23" i="20"/>
  <c r="I23" i="20"/>
  <c r="J23" i="20"/>
  <c r="K23" i="20"/>
  <c r="S23" i="20"/>
  <c r="U23" i="20"/>
  <c r="CX23" i="20"/>
  <c r="CY23" i="20"/>
  <c r="CZ23" i="20"/>
  <c r="B24" i="20"/>
  <c r="C24" i="20"/>
  <c r="D24" i="20"/>
  <c r="E24" i="20"/>
  <c r="G24" i="20"/>
  <c r="H24" i="20"/>
  <c r="I24" i="20"/>
  <c r="J24" i="20"/>
  <c r="K24" i="20"/>
  <c r="S24" i="20"/>
  <c r="U24" i="20"/>
  <c r="CX24" i="20"/>
  <c r="CY24" i="20"/>
  <c r="CZ24" i="20"/>
  <c r="B25" i="20"/>
  <c r="C25" i="20"/>
  <c r="D25" i="20"/>
  <c r="E25" i="20"/>
  <c r="G25" i="20"/>
  <c r="H25" i="20"/>
  <c r="I25" i="20"/>
  <c r="J25" i="20"/>
  <c r="K25" i="20"/>
  <c r="S25" i="20"/>
  <c r="U25" i="20"/>
  <c r="CX25" i="20"/>
  <c r="CY25" i="20"/>
  <c r="CZ25" i="20"/>
  <c r="B26" i="20"/>
  <c r="C26" i="20"/>
  <c r="D26" i="20"/>
  <c r="E26" i="20"/>
  <c r="G26" i="20"/>
  <c r="H26" i="20"/>
  <c r="I26" i="20"/>
  <c r="J26" i="20"/>
  <c r="K26" i="20"/>
  <c r="S26" i="20"/>
  <c r="U26" i="20"/>
  <c r="CX26" i="20"/>
  <c r="CY26" i="20"/>
  <c r="CZ26" i="20"/>
  <c r="K27" i="20"/>
  <c r="S27" i="20"/>
  <c r="U27" i="20"/>
  <c r="CX27" i="20"/>
  <c r="CY27" i="20"/>
  <c r="CZ27" i="20"/>
  <c r="C28" i="20"/>
  <c r="D28" i="20"/>
  <c r="E28" i="20"/>
  <c r="F28" i="20"/>
  <c r="G28" i="20"/>
  <c r="H28" i="20"/>
  <c r="K28" i="20"/>
  <c r="S28" i="20"/>
  <c r="U28" i="20"/>
  <c r="CX28" i="20"/>
  <c r="CY28" i="20"/>
  <c r="CZ28" i="20"/>
  <c r="N30" i="20"/>
  <c r="O30" i="20"/>
  <c r="K32" i="20"/>
  <c r="N3" i="10"/>
  <c r="O3" i="10"/>
  <c r="P3" i="10"/>
  <c r="C4" i="10"/>
  <c r="D4" i="10"/>
  <c r="E4" i="10"/>
  <c r="G4" i="10"/>
  <c r="H4" i="10"/>
  <c r="K4" i="10"/>
  <c r="N4" i="10"/>
  <c r="O4" i="10"/>
  <c r="P4" i="10"/>
  <c r="B5" i="10"/>
  <c r="C5" i="10"/>
  <c r="D5" i="10"/>
  <c r="E5" i="10"/>
  <c r="G5" i="10"/>
  <c r="H5" i="10"/>
  <c r="K5" i="10"/>
  <c r="N5" i="10"/>
  <c r="O5" i="10"/>
  <c r="P5" i="10"/>
  <c r="S5" i="10"/>
  <c r="K6" i="10"/>
  <c r="N6" i="10"/>
  <c r="O6" i="10"/>
  <c r="P6" i="10"/>
  <c r="B7" i="10"/>
  <c r="C7" i="10"/>
  <c r="D7" i="10"/>
  <c r="E7" i="10"/>
  <c r="G7" i="10"/>
  <c r="H7" i="10"/>
  <c r="K7" i="10"/>
  <c r="N7" i="10"/>
  <c r="O7" i="10"/>
  <c r="P7" i="10"/>
  <c r="U7" i="10"/>
  <c r="CX7" i="10"/>
  <c r="CY7" i="10"/>
  <c r="CZ7" i="10"/>
  <c r="B8" i="10"/>
  <c r="C8" i="10"/>
  <c r="D8" i="10"/>
  <c r="E8" i="10"/>
  <c r="G8" i="10"/>
  <c r="H8" i="10"/>
  <c r="K8" i="10"/>
  <c r="N8" i="10"/>
  <c r="O8" i="10"/>
  <c r="P8" i="10"/>
  <c r="R8" i="10"/>
  <c r="S8" i="10"/>
  <c r="U8" i="10"/>
  <c r="CX8" i="10"/>
  <c r="CY8" i="10"/>
  <c r="CZ8" i="10"/>
  <c r="B9" i="10"/>
  <c r="C9" i="10"/>
  <c r="D9" i="10"/>
  <c r="E9" i="10"/>
  <c r="G9" i="10"/>
  <c r="H9" i="10"/>
  <c r="I9" i="10"/>
  <c r="J9" i="10"/>
  <c r="K9" i="10"/>
  <c r="N9" i="10"/>
  <c r="O9" i="10"/>
  <c r="P9" i="10"/>
  <c r="R9" i="10"/>
  <c r="S9" i="10"/>
  <c r="U9" i="10"/>
  <c r="CX9" i="10"/>
  <c r="CY9" i="10"/>
  <c r="CZ9" i="10"/>
  <c r="B10" i="10"/>
  <c r="C10" i="10"/>
  <c r="D10" i="10"/>
  <c r="E10" i="10"/>
  <c r="G10" i="10"/>
  <c r="H10" i="10"/>
  <c r="I10" i="10"/>
  <c r="J10" i="10"/>
  <c r="K10" i="10"/>
  <c r="N10" i="10"/>
  <c r="O10" i="10"/>
  <c r="P10" i="10"/>
  <c r="R10" i="10"/>
  <c r="S10" i="10"/>
  <c r="U10" i="10"/>
  <c r="CX10" i="10"/>
  <c r="CY10" i="10"/>
  <c r="CZ10" i="10"/>
  <c r="B11" i="10"/>
  <c r="C11" i="10"/>
  <c r="D11" i="10"/>
  <c r="E11" i="10"/>
  <c r="G11" i="10"/>
  <c r="H11" i="10"/>
  <c r="I11" i="10"/>
  <c r="J11" i="10"/>
  <c r="K11" i="10"/>
  <c r="N11" i="10"/>
  <c r="O11" i="10"/>
  <c r="P11" i="10"/>
  <c r="R11" i="10"/>
  <c r="S11" i="10"/>
  <c r="U11" i="10"/>
  <c r="CX11" i="10"/>
  <c r="CY11" i="10"/>
  <c r="CZ11" i="10"/>
  <c r="B12" i="10"/>
  <c r="C12" i="10"/>
  <c r="D12" i="10"/>
  <c r="E12" i="10"/>
  <c r="G12" i="10"/>
  <c r="H12" i="10"/>
  <c r="I12" i="10"/>
  <c r="J12" i="10"/>
  <c r="K12" i="10"/>
  <c r="N12" i="10"/>
  <c r="O12" i="10"/>
  <c r="P12" i="10"/>
  <c r="R12" i="10"/>
  <c r="S12" i="10"/>
  <c r="U12" i="10"/>
  <c r="CX12" i="10"/>
  <c r="CY12" i="10"/>
  <c r="CZ12" i="10"/>
  <c r="B13" i="10"/>
  <c r="C13" i="10"/>
  <c r="D13" i="10"/>
  <c r="E13" i="10"/>
  <c r="G13" i="10"/>
  <c r="H13" i="10"/>
  <c r="I13" i="10"/>
  <c r="J13" i="10"/>
  <c r="K13" i="10"/>
  <c r="N13" i="10"/>
  <c r="O13" i="10"/>
  <c r="P13" i="10"/>
  <c r="R13" i="10"/>
  <c r="S13" i="10"/>
  <c r="U13" i="10"/>
  <c r="CX13" i="10"/>
  <c r="CY13" i="10"/>
  <c r="CZ13" i="10"/>
  <c r="B14" i="10"/>
  <c r="C14" i="10"/>
  <c r="D14" i="10"/>
  <c r="E14" i="10"/>
  <c r="G14" i="10"/>
  <c r="H14" i="10"/>
  <c r="I14" i="10"/>
  <c r="J14" i="10"/>
  <c r="K14" i="10"/>
  <c r="N14" i="10"/>
  <c r="O14" i="10"/>
  <c r="P14" i="10"/>
  <c r="R14" i="10"/>
  <c r="S14" i="10"/>
  <c r="U14" i="10"/>
  <c r="CX14" i="10"/>
  <c r="CY14" i="10"/>
  <c r="CZ14" i="10"/>
  <c r="B15" i="10"/>
  <c r="C15" i="10"/>
  <c r="D15" i="10"/>
  <c r="E15" i="10"/>
  <c r="G15" i="10"/>
  <c r="H15" i="10"/>
  <c r="I15" i="10"/>
  <c r="J15" i="10"/>
  <c r="K15" i="10"/>
  <c r="N15" i="10"/>
  <c r="O15" i="10"/>
  <c r="P15" i="10"/>
  <c r="S15" i="10"/>
  <c r="U15" i="10"/>
  <c r="CX15" i="10"/>
  <c r="CY15" i="10"/>
  <c r="CZ15" i="10"/>
  <c r="B16" i="10"/>
  <c r="C16" i="10"/>
  <c r="D16" i="10"/>
  <c r="E16" i="10"/>
  <c r="G16" i="10"/>
  <c r="H16" i="10"/>
  <c r="I16" i="10"/>
  <c r="J16" i="10"/>
  <c r="K16" i="10"/>
  <c r="N16" i="10"/>
  <c r="O16" i="10"/>
  <c r="P16" i="10"/>
  <c r="S16" i="10"/>
  <c r="U16" i="10"/>
  <c r="CX16" i="10"/>
  <c r="CY16" i="10"/>
  <c r="CZ16" i="10"/>
  <c r="B17" i="10"/>
  <c r="C17" i="10"/>
  <c r="D17" i="10"/>
  <c r="E17" i="10"/>
  <c r="G17" i="10"/>
  <c r="H17" i="10"/>
  <c r="I17" i="10"/>
  <c r="J17" i="10"/>
  <c r="K17" i="10"/>
  <c r="N17" i="10"/>
  <c r="O17" i="10"/>
  <c r="P17" i="10"/>
  <c r="S17" i="10"/>
  <c r="U17" i="10"/>
  <c r="CX17" i="10"/>
  <c r="CY17" i="10"/>
  <c r="CZ17" i="10"/>
  <c r="B18" i="10"/>
  <c r="C18" i="10"/>
  <c r="D18" i="10"/>
  <c r="E18" i="10"/>
  <c r="G18" i="10"/>
  <c r="H18" i="10"/>
  <c r="I18" i="10"/>
  <c r="J18" i="10"/>
  <c r="K18" i="10"/>
  <c r="N18" i="10"/>
  <c r="O18" i="10"/>
  <c r="P18" i="10"/>
  <c r="R18" i="10"/>
  <c r="S18" i="10"/>
  <c r="U18" i="10"/>
  <c r="CX18" i="10"/>
  <c r="CY18" i="10"/>
  <c r="CZ18" i="10"/>
  <c r="B19" i="10"/>
  <c r="C19" i="10"/>
  <c r="D19" i="10"/>
  <c r="E19" i="10"/>
  <c r="G19" i="10"/>
  <c r="H19" i="10"/>
  <c r="I19" i="10"/>
  <c r="J19" i="10"/>
  <c r="K19" i="10"/>
  <c r="N19" i="10"/>
  <c r="O19" i="10"/>
  <c r="P19" i="10"/>
  <c r="S19" i="10"/>
  <c r="U19" i="10"/>
  <c r="CX19" i="10"/>
  <c r="CY19" i="10"/>
  <c r="CZ19" i="10"/>
  <c r="B20" i="10"/>
  <c r="C20" i="10"/>
  <c r="D20" i="10"/>
  <c r="E20" i="10"/>
  <c r="G20" i="10"/>
  <c r="H20" i="10"/>
  <c r="I20" i="10"/>
  <c r="J20" i="10"/>
  <c r="K20" i="10"/>
  <c r="P20" i="10"/>
  <c r="S20" i="10"/>
  <c r="U20" i="10"/>
  <c r="CX20" i="10"/>
  <c r="CY20" i="10"/>
  <c r="CZ20" i="10"/>
  <c r="B21" i="10"/>
  <c r="C21" i="10"/>
  <c r="D21" i="10"/>
  <c r="E21" i="10"/>
  <c r="G21" i="10"/>
  <c r="H21" i="10"/>
  <c r="I21" i="10"/>
  <c r="J21" i="10"/>
  <c r="K21" i="10"/>
  <c r="S21" i="10"/>
  <c r="U21" i="10"/>
  <c r="CX21" i="10"/>
  <c r="CY21" i="10"/>
  <c r="CZ21" i="10"/>
  <c r="B22" i="10"/>
  <c r="C22" i="10"/>
  <c r="D22" i="10"/>
  <c r="E22" i="10"/>
  <c r="G22" i="10"/>
  <c r="H22" i="10"/>
  <c r="I22" i="10"/>
  <c r="J22" i="10"/>
  <c r="K22" i="10"/>
  <c r="S22" i="10"/>
  <c r="U22" i="10"/>
  <c r="CX22" i="10"/>
  <c r="CY22" i="10"/>
  <c r="CZ22" i="10"/>
  <c r="B23" i="10"/>
  <c r="C23" i="10"/>
  <c r="D23" i="10"/>
  <c r="E23" i="10"/>
  <c r="G23" i="10"/>
  <c r="H23" i="10"/>
  <c r="I23" i="10"/>
  <c r="J23" i="10"/>
  <c r="K23" i="10"/>
  <c r="S23" i="10"/>
  <c r="U23" i="10"/>
  <c r="CX23" i="10"/>
  <c r="CY23" i="10"/>
  <c r="CZ23" i="10"/>
  <c r="B24" i="10"/>
  <c r="C24" i="10"/>
  <c r="D24" i="10"/>
  <c r="E24" i="10"/>
  <c r="G24" i="10"/>
  <c r="H24" i="10"/>
  <c r="I24" i="10"/>
  <c r="J24" i="10"/>
  <c r="K24" i="10"/>
  <c r="S24" i="10"/>
  <c r="U24" i="10"/>
  <c r="CX24" i="10"/>
  <c r="CY24" i="10"/>
  <c r="CZ24" i="10"/>
  <c r="B25" i="10"/>
  <c r="C25" i="10"/>
  <c r="D25" i="10"/>
  <c r="E25" i="10"/>
  <c r="G25" i="10"/>
  <c r="H25" i="10"/>
  <c r="I25" i="10"/>
  <c r="J25" i="10"/>
  <c r="K25" i="10"/>
  <c r="S25" i="10"/>
  <c r="U25" i="10"/>
  <c r="CX25" i="10"/>
  <c r="CY25" i="10"/>
  <c r="CZ25" i="10"/>
  <c r="B26" i="10"/>
  <c r="C26" i="10"/>
  <c r="D26" i="10"/>
  <c r="E26" i="10"/>
  <c r="G26" i="10"/>
  <c r="H26" i="10"/>
  <c r="I26" i="10"/>
  <c r="J26" i="10"/>
  <c r="K26" i="10"/>
  <c r="R26" i="10"/>
  <c r="S26" i="10"/>
  <c r="U26" i="10"/>
  <c r="CX26" i="10"/>
  <c r="CY26" i="10"/>
  <c r="CZ26" i="10"/>
  <c r="K27" i="10"/>
  <c r="R27" i="10"/>
  <c r="S27" i="10"/>
  <c r="U27" i="10"/>
  <c r="CX27" i="10"/>
  <c r="CY27" i="10"/>
  <c r="CZ27" i="10"/>
  <c r="C28" i="10"/>
  <c r="D28" i="10"/>
  <c r="E28" i="10"/>
  <c r="F28" i="10"/>
  <c r="G28" i="10"/>
  <c r="H28" i="10"/>
  <c r="K28" i="10"/>
  <c r="R28" i="10"/>
  <c r="S28" i="10"/>
  <c r="U28" i="10"/>
  <c r="CX28" i="10"/>
  <c r="CY28" i="10"/>
  <c r="CZ28" i="10"/>
  <c r="N30" i="10"/>
  <c r="O30" i="10"/>
  <c r="K32" i="10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<sst xmlns="http://schemas.openxmlformats.org/spreadsheetml/2006/main" count="1787" uniqueCount="319">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</sst>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1" formatCode="_(&quot;$&quot;* #,##0.000_);_(&quot;$&quot;* \(#,##0.000\);_(&quot;$&quot;* &quot;-&quot;??_);_(@_)"/>
    <numFmt numFmtId="183" formatCode="0.000"/>
    <numFmt numFmtId="188" formatCode="d\-mmm\,ddd"/>
    <numFmt numFmtId="205" formatCode="#,##0.0_);[Red]\(#,##0.0\)"/>
  </numFmts>
  <fonts count="22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523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0" fillId="8" borderId="0" xfId="0" applyNumberFormat="1" applyFill="1" applyBorder="1"/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181" fontId="0" fillId="0" borderId="0" xfId="2" applyNumberFormat="1" applyFont="1"/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1" fontId="15" fillId="5" borderId="0" xfId="0" applyNumberFormat="1" applyFont="1" applyFill="1" applyBorder="1" applyAlignment="1" applyProtection="1">
      <alignment horizontal="center"/>
      <protection locked="0"/>
    </xf>
    <xf numFmtId="44" fontId="15" fillId="5" borderId="0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73" fontId="4" fillId="7" borderId="13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2" fontId="4" fillId="8" borderId="15" xfId="0" applyNumberFormat="1" applyFont="1" applyFill="1" applyBorder="1" applyAlignment="1">
      <alignment horizontal="center"/>
    </xf>
    <xf numFmtId="173" fontId="4" fillId="5" borderId="55" xfId="0" applyNumberFormat="1" applyFont="1" applyFill="1" applyBorder="1" applyAlignment="1">
      <alignment horizontal="center"/>
    </xf>
    <xf numFmtId="174" fontId="4" fillId="8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2" fontId="4" fillId="2" borderId="72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6" fontId="4" fillId="2" borderId="54" xfId="0" applyNumberFormat="1" applyFont="1" applyFill="1" applyBorder="1" applyAlignment="1">
      <alignment horizontal="center"/>
    </xf>
    <xf numFmtId="2" fontId="4" fillId="2" borderId="55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16" fontId="4" fillId="8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19" xfId="2" applyFont="1" applyFill="1" applyBorder="1" applyAlignment="1">
      <alignment horizontal="center"/>
    </xf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44" fontId="4" fillId="0" borderId="46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44" fontId="4" fillId="7" borderId="0" xfId="2" applyFont="1" applyFill="1" applyBorder="1" applyAlignment="1">
      <alignment horizontal="center"/>
    </xf>
    <xf numFmtId="14" fontId="4" fillId="7" borderId="0" xfId="2" applyNumberFormat="1" applyFont="1" applyFill="1" applyBorder="1" applyAlignment="1">
      <alignment horizontal="center"/>
    </xf>
    <xf numFmtId="172" fontId="3" fillId="0" borderId="46" xfId="2" applyNumberFormat="1" applyFont="1" applyFill="1" applyBorder="1" applyAlignment="1">
      <alignment horizontal="center"/>
    </xf>
    <xf numFmtId="172" fontId="3" fillId="0" borderId="22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2" fontId="3" fillId="7" borderId="57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8" borderId="9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4" fontId="15" fillId="0" borderId="41" xfId="2" applyFont="1" applyFill="1" applyBorder="1" applyAlignment="1" applyProtection="1">
      <alignment horizontal="right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8" fontId="15" fillId="8" borderId="41" xfId="2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0" fontId="16" fillId="12" borderId="53" xfId="0" applyFont="1" applyFill="1" applyBorder="1" applyAlignment="1" applyProtection="1">
      <alignment horizontal="center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8" fontId="15" fillId="8" borderId="41" xfId="2" applyNumberFormat="1" applyFont="1" applyFill="1" applyBorder="1" applyAlignment="1" applyProtection="1">
      <alignment horizontal="right"/>
      <protection locked="0"/>
    </xf>
    <xf numFmtId="172" fontId="4" fillId="0" borderId="22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2" fontId="4" fillId="2" borderId="56" xfId="0" applyNumberFormat="1" applyFont="1" applyFill="1" applyBorder="1" applyAlignment="1">
      <alignment horizontal="center"/>
    </xf>
    <xf numFmtId="172" fontId="4" fillId="2" borderId="15" xfId="0" applyNumberFormat="1" applyFont="1" applyFill="1" applyBorder="1" applyAlignment="1">
      <alignment horizontal="center"/>
    </xf>
    <xf numFmtId="173" fontId="4" fillId="2" borderId="18" xfId="0" applyNumberFormat="1" applyFont="1" applyFill="1" applyBorder="1" applyAlignment="1">
      <alignment horizontal="center"/>
    </xf>
    <xf numFmtId="173" fontId="4" fillId="2" borderId="5" xfId="0" applyNumberFormat="1" applyFont="1" applyFill="1" applyBorder="1" applyAlignment="1">
      <alignment horizontal="center"/>
    </xf>
    <xf numFmtId="174" fontId="4" fillId="2" borderId="55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73" fontId="4" fillId="7" borderId="55" xfId="0" applyNumberFormat="1" applyFont="1" applyFill="1" applyBorder="1" applyAlignment="1">
      <alignment horizontal="center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/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5">
          <cell r="U5">
            <v>37135</v>
          </cell>
        </row>
        <row r="6">
          <cell r="U6">
            <v>37136</v>
          </cell>
        </row>
        <row r="7">
          <cell r="U7">
            <v>37137</v>
          </cell>
        </row>
        <row r="8">
          <cell r="U8">
            <v>37138</v>
          </cell>
        </row>
        <row r="9">
          <cell r="U9">
            <v>37139</v>
          </cell>
        </row>
        <row r="10">
          <cell r="U10">
            <v>37140</v>
          </cell>
        </row>
        <row r="11">
          <cell r="U11">
            <v>37141</v>
          </cell>
        </row>
        <row r="14">
          <cell r="U14">
            <v>37144</v>
          </cell>
        </row>
        <row r="15">
          <cell r="U15">
            <v>37145</v>
          </cell>
        </row>
        <row r="16">
          <cell r="U16">
            <v>37146</v>
          </cell>
        </row>
        <row r="17">
          <cell r="U17">
            <v>37147</v>
          </cell>
        </row>
        <row r="18">
          <cell r="U18">
            <v>37148</v>
          </cell>
        </row>
        <row r="21">
          <cell r="U21">
            <v>37151</v>
          </cell>
        </row>
        <row r="22">
          <cell r="U22">
            <v>37152</v>
          </cell>
        </row>
        <row r="23">
          <cell r="U23">
            <v>37153</v>
          </cell>
        </row>
        <row r="24">
          <cell r="U24">
            <v>37154</v>
          </cell>
        </row>
        <row r="25">
          <cell r="U25">
            <v>37155</v>
          </cell>
        </row>
        <row r="28">
          <cell r="U28">
            <v>37158</v>
          </cell>
        </row>
        <row r="29">
          <cell r="U29">
            <v>37159</v>
          </cell>
        </row>
        <row r="30">
          <cell r="U30">
            <v>37160</v>
          </cell>
        </row>
        <row r="31">
          <cell r="U31">
            <v>37161</v>
          </cell>
        </row>
        <row r="32">
          <cell r="U32">
            <v>37162</v>
          </cell>
        </row>
        <row r="33">
          <cell r="U33">
            <v>37163</v>
          </cell>
        </row>
        <row r="34">
          <cell r="U34">
            <v>37164</v>
          </cell>
        </row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workbookViewId="0">
      <selection activeCell="A16" sqref="A16"/>
    </sheetView>
  </sheetViews>
  <sheetFormatPr defaultRowHeight="13.2" x14ac:dyDescent="0.25"/>
  <cols>
    <col min="1" max="1" width="9.6640625" bestFit="1" customWidth="1"/>
    <col min="2" max="2" width="8.6640625" bestFit="1" customWidth="1"/>
    <col min="3" max="3" width="9.6640625" bestFit="1" customWidth="1"/>
    <col min="4" max="4" width="2.88671875" style="13" hidden="1" customWidth="1"/>
    <col min="5" max="5" width="16.33203125" style="3" bestFit="1" customWidth="1"/>
    <col min="6" max="6" width="33.6640625" customWidth="1"/>
    <col min="7" max="7" width="4" customWidth="1"/>
    <col min="8" max="8" width="22.33203125" bestFit="1" customWidth="1"/>
    <col min="9" max="9" width="10" customWidth="1"/>
    <col min="12" max="12" width="11.44140625" bestFit="1" customWidth="1"/>
    <col min="13" max="13" width="9" bestFit="1" customWidth="1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15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8" thickBot="1" x14ac:dyDescent="0.3">
      <c r="A2" s="9">
        <v>30594</v>
      </c>
      <c r="B2" s="99">
        <v>32.200000000000003</v>
      </c>
      <c r="C2" s="99">
        <v>32.299999999999997</v>
      </c>
      <c r="D2" s="13">
        <v>988116575035</v>
      </c>
      <c r="E2" s="5">
        <v>37158.339247685188</v>
      </c>
      <c r="F2" s="220" t="s">
        <v>246</v>
      </c>
      <c r="H2" s="6" t="s">
        <v>8</v>
      </c>
      <c r="I2" s="8">
        <f>+(C3+B3)/(C7+B7)*1000</f>
        <v>878.810408921933</v>
      </c>
      <c r="J2">
        <v>9731</v>
      </c>
      <c r="K2">
        <v>9731</v>
      </c>
      <c r="L2">
        <v>5</v>
      </c>
      <c r="M2">
        <v>6</v>
      </c>
    </row>
    <row r="3" spans="1:13" ht="13.8" thickBot="1" x14ac:dyDescent="0.3">
      <c r="A3" s="9">
        <v>30595</v>
      </c>
      <c r="B3" s="99">
        <v>29.4</v>
      </c>
      <c r="C3" s="99">
        <v>29.7</v>
      </c>
      <c r="D3" s="13">
        <v>988040938678</v>
      </c>
      <c r="E3" s="5">
        <v>37158.369988425926</v>
      </c>
      <c r="F3" s="221" t="s">
        <v>247</v>
      </c>
      <c r="H3" s="6" t="s">
        <v>6</v>
      </c>
      <c r="I3" s="8">
        <f>+(C14+B14)/(C6+B6)*1000</f>
        <v>716.41791044776119</v>
      </c>
      <c r="J3">
        <v>8739</v>
      </c>
      <c r="K3">
        <v>8739</v>
      </c>
      <c r="L3">
        <v>3</v>
      </c>
      <c r="M3">
        <v>6</v>
      </c>
    </row>
    <row r="4" spans="1:13" ht="13.8" thickBot="1" x14ac:dyDescent="0.3">
      <c r="A4" s="9">
        <v>30598</v>
      </c>
      <c r="B4" s="164">
        <v>29.4</v>
      </c>
      <c r="C4" s="164">
        <v>29.7</v>
      </c>
      <c r="D4" s="13">
        <v>988117645653</v>
      </c>
      <c r="E4" s="5">
        <v>37158.381655092591</v>
      </c>
      <c r="F4" s="220" t="s">
        <v>307</v>
      </c>
      <c r="H4" s="6" t="s">
        <v>7</v>
      </c>
      <c r="I4" s="8">
        <f>+(C5+B5)/(C4+B4)*1000</f>
        <v>1260.5752961082912</v>
      </c>
      <c r="J4">
        <v>9134</v>
      </c>
      <c r="K4">
        <v>9354</v>
      </c>
      <c r="L4">
        <v>2</v>
      </c>
      <c r="M4">
        <v>4</v>
      </c>
    </row>
    <row r="5" spans="1:13" ht="13.8" thickBot="1" x14ac:dyDescent="0.3">
      <c r="A5" s="9">
        <v>32198</v>
      </c>
      <c r="B5" s="99">
        <v>37</v>
      </c>
      <c r="C5" s="99">
        <v>37.5</v>
      </c>
      <c r="E5" s="5">
        <v>37158.336967592593</v>
      </c>
      <c r="F5" s="220" t="s">
        <v>248</v>
      </c>
      <c r="H5" s="214" t="s">
        <v>52</v>
      </c>
      <c r="I5" s="8">
        <f>+(C12+B12)/(C4+B4)*1000</f>
        <v>1184.4331641285958</v>
      </c>
      <c r="J5">
        <v>8739</v>
      </c>
      <c r="K5">
        <v>8739</v>
      </c>
    </row>
    <row r="6" spans="1:13" ht="13.8" thickBot="1" x14ac:dyDescent="0.3">
      <c r="A6" s="9">
        <v>32199</v>
      </c>
      <c r="B6" s="426">
        <v>33.25</v>
      </c>
      <c r="C6" s="426">
        <v>33.75</v>
      </c>
      <c r="D6" s="13">
        <v>988054237081</v>
      </c>
      <c r="E6" s="5">
        <v>37158.361689814818</v>
      </c>
      <c r="F6" s="220" t="s">
        <v>249</v>
      </c>
      <c r="H6" s="158" t="s">
        <v>51</v>
      </c>
      <c r="I6" s="8">
        <f>+(C2+B2)/(C6+B6)*1000</f>
        <v>962.68656716417911</v>
      </c>
      <c r="J6">
        <v>8739</v>
      </c>
      <c r="K6">
        <v>8739</v>
      </c>
    </row>
    <row r="7" spans="1:13" ht="13.8" thickBot="1" x14ac:dyDescent="0.3">
      <c r="A7" s="9">
        <v>32203</v>
      </c>
      <c r="B7" s="99">
        <v>33.5</v>
      </c>
      <c r="C7" s="99">
        <v>33.75</v>
      </c>
      <c r="D7" s="13">
        <v>988117673560</v>
      </c>
      <c r="E7" s="5">
        <v>37158.387118055558</v>
      </c>
      <c r="F7" s="220" t="s">
        <v>308</v>
      </c>
      <c r="H7" s="215">
        <v>37043</v>
      </c>
      <c r="I7" s="8">
        <f>+(C2+B2)/(C4+B4)*1000</f>
        <v>1091.3705583756346</v>
      </c>
    </row>
    <row r="8" spans="1:13" x14ac:dyDescent="0.25">
      <c r="A8" s="9">
        <v>32227</v>
      </c>
      <c r="B8" s="99">
        <v>38.5</v>
      </c>
      <c r="C8" s="99">
        <v>39</v>
      </c>
      <c r="D8" s="13">
        <v>988117189925</v>
      </c>
      <c r="E8" s="5">
        <v>37158.320185185185</v>
      </c>
      <c r="F8" s="220" t="s">
        <v>250</v>
      </c>
    </row>
    <row r="9" spans="1:13" x14ac:dyDescent="0.25">
      <c r="A9" s="9">
        <v>32228</v>
      </c>
      <c r="B9" s="99">
        <v>35.5</v>
      </c>
      <c r="C9" s="99">
        <v>36</v>
      </c>
      <c r="D9" s="13">
        <v>988116717414</v>
      </c>
      <c r="E9" s="5">
        <v>37158.368750000001</v>
      </c>
      <c r="F9" s="220" t="s">
        <v>251</v>
      </c>
    </row>
    <row r="10" spans="1:13" x14ac:dyDescent="0.25">
      <c r="A10" s="9">
        <v>32232</v>
      </c>
      <c r="B10" s="99">
        <v>35.75</v>
      </c>
      <c r="C10" s="99">
        <v>36.25</v>
      </c>
      <c r="D10" s="13">
        <v>988117635766</v>
      </c>
      <c r="E10" s="5">
        <v>37158.351712962962</v>
      </c>
      <c r="F10" s="220" t="s">
        <v>309</v>
      </c>
    </row>
    <row r="11" spans="1:13" x14ac:dyDescent="0.25">
      <c r="A11" s="9">
        <v>40515</v>
      </c>
      <c r="B11" s="99">
        <v>30.25</v>
      </c>
      <c r="C11" s="99">
        <v>30.75</v>
      </c>
      <c r="D11" s="13">
        <v>988117122150</v>
      </c>
      <c r="E11" s="5">
        <v>37158.465613425928</v>
      </c>
      <c r="F11" s="220" t="s">
        <v>271</v>
      </c>
    </row>
    <row r="12" spans="1:13" x14ac:dyDescent="0.25">
      <c r="A12" s="9">
        <v>40517</v>
      </c>
      <c r="B12">
        <v>34.5</v>
      </c>
      <c r="C12">
        <v>35.5</v>
      </c>
      <c r="E12" s="5">
        <v>37158.437511574077</v>
      </c>
      <c r="F12" s="220" t="s">
        <v>272</v>
      </c>
    </row>
    <row r="13" spans="1:13" x14ac:dyDescent="0.25">
      <c r="A13" s="9">
        <v>40519</v>
      </c>
      <c r="B13">
        <v>37.75</v>
      </c>
      <c r="C13">
        <v>38.75</v>
      </c>
      <c r="E13" s="5">
        <v>37158.366643518515</v>
      </c>
      <c r="F13" s="220" t="s">
        <v>273</v>
      </c>
    </row>
    <row r="14" spans="1:13" x14ac:dyDescent="0.25">
      <c r="A14" s="9">
        <v>39268</v>
      </c>
      <c r="B14">
        <v>23.5</v>
      </c>
      <c r="C14">
        <v>24.5</v>
      </c>
      <c r="E14" s="5">
        <v>37158.282141203701</v>
      </c>
      <c r="F14" s="220" t="s">
        <v>299</v>
      </c>
    </row>
    <row r="15" spans="1:13" x14ac:dyDescent="0.25">
      <c r="A15" s="9">
        <v>61079</v>
      </c>
      <c r="B15">
        <v>24.5</v>
      </c>
      <c r="C15">
        <v>25.5</v>
      </c>
      <c r="E15" s="3">
        <v>37158.469837962963</v>
      </c>
      <c r="F15" s="220" t="s">
        <v>317</v>
      </c>
    </row>
    <row r="16" spans="1:13" x14ac:dyDescent="0.25">
      <c r="A16" s="9">
        <v>61081</v>
      </c>
      <c r="B16">
        <v>27</v>
      </c>
      <c r="C16">
        <v>28</v>
      </c>
      <c r="E16" s="3">
        <v>37158.47284722222</v>
      </c>
      <c r="F16" s="220" t="s">
        <v>318</v>
      </c>
    </row>
    <row r="17" spans="1:1" x14ac:dyDescent="0.25">
      <c r="A17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49"/>
  <sheetViews>
    <sheetView topLeftCell="A11" workbookViewId="0">
      <selection activeCell="U29" sqref="U2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customWidth="1"/>
    <col min="20" max="20" width="7.109375" customWidth="1"/>
    <col min="21" max="21" width="14" customWidth="1"/>
    <col min="25" max="25" width="10" bestFit="1" customWidth="1"/>
    <col min="104" max="104" width="12.5546875" customWidth="1"/>
  </cols>
  <sheetData>
    <row r="1" spans="1:104" ht="27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8" thickBot="1" x14ac:dyDescent="0.3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8" thickBot="1" x14ac:dyDescent="0.3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8" thickBot="1" x14ac:dyDescent="0.3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8" thickBot="1" x14ac:dyDescent="0.3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2" thickBot="1" x14ac:dyDescent="0.35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2" thickBot="1" x14ac:dyDescent="0.35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2" thickBot="1" x14ac:dyDescent="0.35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2" thickBot="1" x14ac:dyDescent="0.35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2" thickBot="1" x14ac:dyDescent="0.35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2" thickBot="1" x14ac:dyDescent="0.35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2" thickBot="1" x14ac:dyDescent="0.35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2" thickBot="1" x14ac:dyDescent="0.35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2" thickBot="1" x14ac:dyDescent="0.35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2" thickBot="1" x14ac:dyDescent="0.35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2" thickBot="1" x14ac:dyDescent="0.35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2" thickBot="1" x14ac:dyDescent="0.35">
      <c r="A19" s="194" t="s">
        <v>243</v>
      </c>
      <c r="B19" s="194">
        <f>B18+1</f>
        <v>37153</v>
      </c>
      <c r="C19" s="507">
        <v>25.75</v>
      </c>
      <c r="D19" s="507">
        <v>26.75</v>
      </c>
      <c r="E19" s="70">
        <f t="shared" si="1"/>
        <v>26.25</v>
      </c>
      <c r="F19" s="398"/>
      <c r="G19" s="72">
        <f t="shared" si="2"/>
        <v>26.25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2" thickBot="1" x14ac:dyDescent="0.35">
      <c r="A20" s="194" t="s">
        <v>244</v>
      </c>
      <c r="B20" s="194">
        <f>B19+1</f>
        <v>37154</v>
      </c>
      <c r="C20" s="61">
        <f>C19</f>
        <v>25.75</v>
      </c>
      <c r="D20" s="61">
        <f>D19</f>
        <v>26.75</v>
      </c>
      <c r="E20" s="70">
        <f t="shared" si="1"/>
        <v>26.25</v>
      </c>
      <c r="F20" s="398"/>
      <c r="G20" s="72">
        <f t="shared" si="2"/>
        <v>26.25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2" thickBot="1" x14ac:dyDescent="0.35">
      <c r="A21" s="205" t="s">
        <v>245</v>
      </c>
      <c r="B21" s="205">
        <f>B20+1</f>
        <v>37155</v>
      </c>
      <c r="C21" s="32">
        <f>C20</f>
        <v>25.75</v>
      </c>
      <c r="D21" s="32">
        <f>D20</f>
        <v>26.75</v>
      </c>
      <c r="E21" s="78">
        <f t="shared" si="1"/>
        <v>26.25</v>
      </c>
      <c r="F21" s="398"/>
      <c r="G21" s="177">
        <f t="shared" si="2"/>
        <v>26.25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-50</v>
      </c>
      <c r="W21" s="346">
        <v>26.25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-50</v>
      </c>
      <c r="CY21" s="369">
        <f>(AA21)</f>
        <v>0</v>
      </c>
      <c r="CZ21" s="368">
        <f t="shared" si="5"/>
        <v>37153</v>
      </c>
    </row>
    <row r="22" spans="1:104" ht="16.2" thickBot="1" x14ac:dyDescent="0.35">
      <c r="A22" s="399" t="s">
        <v>241</v>
      </c>
      <c r="B22" s="399">
        <f>B21+3</f>
        <v>37158</v>
      </c>
      <c r="C22" s="398">
        <f>C19</f>
        <v>25.75</v>
      </c>
      <c r="D22" s="398">
        <f>D19</f>
        <v>26.75</v>
      </c>
      <c r="E22" s="387">
        <f t="shared" si="1"/>
        <v>26.25</v>
      </c>
      <c r="F22" s="398"/>
      <c r="G22" s="406">
        <f t="shared" si="2"/>
        <v>26.25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-50</v>
      </c>
      <c r="W22" s="346">
        <v>26.25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-50</v>
      </c>
      <c r="CY22" s="369">
        <f>(AA22)</f>
        <v>0</v>
      </c>
      <c r="CZ22" s="368">
        <f t="shared" si="5"/>
        <v>37154</v>
      </c>
    </row>
    <row r="23" spans="1:104" ht="16.2" thickBot="1" x14ac:dyDescent="0.35">
      <c r="A23" s="324" t="s">
        <v>242</v>
      </c>
      <c r="B23" s="324">
        <f>B22+1</f>
        <v>37159</v>
      </c>
      <c r="C23" s="328">
        <f t="shared" ref="C23:D26" si="11">C22</f>
        <v>25.75</v>
      </c>
      <c r="D23" s="328">
        <f t="shared" si="11"/>
        <v>26.75</v>
      </c>
      <c r="E23" s="372">
        <f t="shared" si="1"/>
        <v>26.25</v>
      </c>
      <c r="F23" s="398"/>
      <c r="G23" s="407">
        <f t="shared" si="2"/>
        <v>26.25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-50</v>
      </c>
      <c r="W23" s="346">
        <v>26.25</v>
      </c>
      <c r="X23" s="345">
        <v>-50</v>
      </c>
      <c r="Y23" s="344">
        <v>25.25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-100</v>
      </c>
      <c r="CY23" s="369">
        <f>(AA23)</f>
        <v>0</v>
      </c>
      <c r="CZ23" s="368">
        <f t="shared" si="5"/>
        <v>37155</v>
      </c>
    </row>
    <row r="24" spans="1:104" ht="16.2" thickBot="1" x14ac:dyDescent="0.35">
      <c r="A24" s="325" t="s">
        <v>243</v>
      </c>
      <c r="B24" s="324">
        <f>B23+1</f>
        <v>37160</v>
      </c>
      <c r="C24" s="327">
        <f t="shared" si="11"/>
        <v>25.75</v>
      </c>
      <c r="D24" s="327">
        <f t="shared" si="11"/>
        <v>26.75</v>
      </c>
      <c r="E24" s="373">
        <f t="shared" si="1"/>
        <v>26.25</v>
      </c>
      <c r="F24" s="398"/>
      <c r="G24" s="408">
        <f t="shared" si="2"/>
        <v>26.25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-50</v>
      </c>
      <c r="W24" s="346">
        <v>26.25</v>
      </c>
      <c r="X24" s="345">
        <v>-50</v>
      </c>
      <c r="Y24" s="344">
        <v>25.25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-100</v>
      </c>
      <c r="CY24" s="352">
        <f>(W24+Y24+AA24)/3</f>
        <v>17.166666666666668</v>
      </c>
      <c r="CZ24" s="368">
        <f t="shared" si="5"/>
        <v>37158</v>
      </c>
    </row>
    <row r="25" spans="1:104" ht="16.2" thickBot="1" x14ac:dyDescent="0.35">
      <c r="A25" s="325" t="s">
        <v>244</v>
      </c>
      <c r="B25" s="324">
        <f>B24+1</f>
        <v>37161</v>
      </c>
      <c r="C25" s="327">
        <f t="shared" si="11"/>
        <v>25.75</v>
      </c>
      <c r="D25" s="327">
        <f t="shared" si="11"/>
        <v>26.75</v>
      </c>
      <c r="E25" s="373">
        <f t="shared" si="1"/>
        <v>26.25</v>
      </c>
      <c r="F25" s="398"/>
      <c r="G25" s="408">
        <f t="shared" si="2"/>
        <v>26.25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-50</v>
      </c>
      <c r="W25" s="346">
        <v>26.25</v>
      </c>
      <c r="X25" s="345">
        <v>-50</v>
      </c>
      <c r="Y25" s="344">
        <v>25.25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-100</v>
      </c>
      <c r="CY25" s="352">
        <f>(W25+Y25+AA25)/3</f>
        <v>17.166666666666668</v>
      </c>
      <c r="CZ25" s="368">
        <f t="shared" si="5"/>
        <v>37159</v>
      </c>
    </row>
    <row r="26" spans="1:104" ht="16.2" thickBot="1" x14ac:dyDescent="0.35">
      <c r="A26" s="370" t="s">
        <v>245</v>
      </c>
      <c r="B26" s="370">
        <f>B25+1</f>
        <v>37162</v>
      </c>
      <c r="C26" s="326">
        <f t="shared" si="11"/>
        <v>25.75</v>
      </c>
      <c r="D26" s="326">
        <f t="shared" si="11"/>
        <v>26.75</v>
      </c>
      <c r="E26" s="371">
        <f t="shared" si="1"/>
        <v>26.25</v>
      </c>
      <c r="F26" s="398"/>
      <c r="G26" s="409">
        <f t="shared" si="2"/>
        <v>26.25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-50</v>
      </c>
      <c r="W26" s="346">
        <v>26.25</v>
      </c>
      <c r="X26" s="345">
        <v>-50</v>
      </c>
      <c r="Y26" s="344">
        <v>25.25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-100</v>
      </c>
      <c r="CY26" s="352">
        <f>(W26+Y26+AA26)/3</f>
        <v>17.166666666666668</v>
      </c>
      <c r="CZ26" s="368">
        <f t="shared" si="5"/>
        <v>37160</v>
      </c>
    </row>
    <row r="27" spans="1:104" ht="16.2" thickBot="1" x14ac:dyDescent="0.35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-50</v>
      </c>
      <c r="W27" s="346">
        <v>26.25</v>
      </c>
      <c r="X27" s="345">
        <v>-50</v>
      </c>
      <c r="Y27" s="344">
        <v>25.25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-100</v>
      </c>
      <c r="CY27" s="352">
        <f>(W27+Y27+AA27)/3</f>
        <v>17.166666666666668</v>
      </c>
      <c r="CZ27" s="368">
        <f t="shared" si="5"/>
        <v>37161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2">SUM(C7:C27)/21</f>
        <v>30.928571428571427</v>
      </c>
      <c r="D28" s="211">
        <f t="shared" si="12"/>
        <v>31.69047619047619</v>
      </c>
      <c r="E28" s="211">
        <f t="shared" si="12"/>
        <v>31.30952380952381</v>
      </c>
      <c r="F28" s="211">
        <f t="shared" si="12"/>
        <v>0</v>
      </c>
      <c r="G28" s="211">
        <f t="shared" si="12"/>
        <v>31.30952380952381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-50</v>
      </c>
      <c r="W28" s="346">
        <v>26.25</v>
      </c>
      <c r="X28" s="345">
        <v>-50</v>
      </c>
      <c r="Y28" s="344">
        <v>25.25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-100</v>
      </c>
      <c r="CY28" s="352">
        <f>(W28+Y28+AA28)/3</f>
        <v>17.166666666666668</v>
      </c>
      <c r="CZ28" s="368">
        <f t="shared" si="5"/>
        <v>37162</v>
      </c>
    </row>
    <row r="29" spans="1:104" ht="16.2" thickBot="1" x14ac:dyDescent="0.35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-50</v>
      </c>
      <c r="W29" s="346">
        <v>26.25</v>
      </c>
      <c r="X29" s="345">
        <v>-50</v>
      </c>
      <c r="Y29" s="344">
        <v>25.25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2" thickBot="1" x14ac:dyDescent="0.35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-50</v>
      </c>
      <c r="W30" s="346">
        <v>26.25</v>
      </c>
      <c r="X30" s="345">
        <v>-50</v>
      </c>
      <c r="Y30" s="344">
        <v>25.25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2" thickBot="1" x14ac:dyDescent="0.35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2" thickBot="1" x14ac:dyDescent="0.35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2" thickBot="1" x14ac:dyDescent="0.3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2" thickBot="1" x14ac:dyDescent="0.35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25.75</v>
      </c>
      <c r="V34" s="502">
        <v>26.75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2" thickBot="1" x14ac:dyDescent="0.35">
      <c r="C35" s="56"/>
      <c r="E35" s="50"/>
      <c r="R35" s="496"/>
      <c r="S35" s="500" t="s">
        <v>314</v>
      </c>
      <c r="T35" s="65">
        <v>5</v>
      </c>
      <c r="U35" s="501">
        <v>25.75</v>
      </c>
      <c r="V35" s="502">
        <v>26.75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2" thickBot="1" x14ac:dyDescent="0.35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2" thickBot="1" x14ac:dyDescent="0.35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  <c r="R39" s="496"/>
      <c r="S39" s="496"/>
      <c r="T39" s="496"/>
      <c r="U39" s="496"/>
      <c r="V39" s="496"/>
      <c r="W39" s="496"/>
    </row>
    <row r="40" spans="2:104" ht="13.8" thickBot="1" x14ac:dyDescent="0.3">
      <c r="C40" s="56"/>
      <c r="E40" s="50"/>
      <c r="R40" s="496"/>
      <c r="S40" s="496"/>
      <c r="T40" s="496"/>
      <c r="U40" s="496"/>
      <c r="V40" s="496"/>
      <c r="W40" s="496"/>
    </row>
    <row r="41" spans="2:104" ht="13.8" thickBot="1" x14ac:dyDescent="0.3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5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8" thickBot="1" x14ac:dyDescent="0.3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8" thickBot="1" x14ac:dyDescent="0.3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5">
      <c r="C45" s="56"/>
      <c r="E45" s="50"/>
      <c r="R45" s="496"/>
      <c r="S45" s="496"/>
      <c r="T45" s="496"/>
      <c r="U45" s="496"/>
      <c r="V45" s="496"/>
      <c r="W45" s="496"/>
    </row>
    <row r="46" spans="2:104" x14ac:dyDescent="0.25">
      <c r="C46" s="56"/>
      <c r="E46" s="50"/>
      <c r="R46" s="496"/>
      <c r="S46" s="496"/>
      <c r="T46" s="496"/>
      <c r="U46" s="496"/>
      <c r="V46" s="496"/>
      <c r="W46" s="496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O16" workbookViewId="0">
      <selection activeCell="V21" sqref="V21:W30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customWidth="1"/>
    <col min="20" max="20" width="7.109375" customWidth="1"/>
    <col min="21" max="21" width="14" customWidth="1"/>
    <col min="25" max="25" width="10" bestFit="1" customWidth="1"/>
    <col min="104" max="104" width="12.5546875" customWidth="1"/>
  </cols>
  <sheetData>
    <row r="1" spans="1:104" ht="27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8" thickBot="1" x14ac:dyDescent="0.3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8" thickBot="1" x14ac:dyDescent="0.3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8" thickBot="1" x14ac:dyDescent="0.3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8" thickBot="1" x14ac:dyDescent="0.3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88"/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2" thickBot="1" x14ac:dyDescent="0.35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200"/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2" thickBot="1" x14ac:dyDescent="0.35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98"/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28" si="7"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2" thickBot="1" x14ac:dyDescent="0.35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98"/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2" thickBot="1" x14ac:dyDescent="0.35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195"/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2" thickBot="1" x14ac:dyDescent="0.35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88"/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2" thickBot="1" x14ac:dyDescent="0.35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88"/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2" thickBot="1" x14ac:dyDescent="0.35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88"/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2" thickBot="1" x14ac:dyDescent="0.35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88"/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2" thickBot="1" x14ac:dyDescent="0.35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88"/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2" thickBot="1" x14ac:dyDescent="0.35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/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2" thickBot="1" x14ac:dyDescent="0.35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/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2" thickBot="1" x14ac:dyDescent="0.35">
      <c r="A19" s="194" t="s">
        <v>243</v>
      </c>
      <c r="B19" s="194">
        <f>B18+1</f>
        <v>37153</v>
      </c>
      <c r="C19" s="507">
        <v>28.5</v>
      </c>
      <c r="D19" s="507">
        <v>29.5</v>
      </c>
      <c r="E19" s="70">
        <f t="shared" si="1"/>
        <v>29</v>
      </c>
      <c r="F19" s="398"/>
      <c r="G19" s="72">
        <f t="shared" si="2"/>
        <v>29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2" thickBot="1" x14ac:dyDescent="0.35">
      <c r="A20" s="194" t="s">
        <v>244</v>
      </c>
      <c r="B20" s="194">
        <f>B19+1</f>
        <v>37154</v>
      </c>
      <c r="C20" s="61">
        <f>C19</f>
        <v>28.5</v>
      </c>
      <c r="D20" s="61">
        <f>D19</f>
        <v>29.5</v>
      </c>
      <c r="E20" s="70">
        <f t="shared" si="1"/>
        <v>29</v>
      </c>
      <c r="F20" s="398"/>
      <c r="G20" s="72">
        <f t="shared" si="2"/>
        <v>29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2" thickBot="1" x14ac:dyDescent="0.35">
      <c r="A21" s="205" t="s">
        <v>245</v>
      </c>
      <c r="B21" s="205">
        <f>B20+1</f>
        <v>37155</v>
      </c>
      <c r="C21" s="32">
        <f>C20</f>
        <v>28.5</v>
      </c>
      <c r="D21" s="32">
        <f>D20</f>
        <v>29.5</v>
      </c>
      <c r="E21" s="78">
        <f t="shared" si="1"/>
        <v>29</v>
      </c>
      <c r="F21" s="398"/>
      <c r="G21" s="177">
        <f t="shared" si="2"/>
        <v>29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>
        <v>50</v>
      </c>
      <c r="W21" s="346">
        <v>29</v>
      </c>
      <c r="X21" s="345"/>
      <c r="Y21" s="344"/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50</v>
      </c>
      <c r="CY21" s="369">
        <f>(AA21)</f>
        <v>0</v>
      </c>
      <c r="CZ21" s="368">
        <f t="shared" si="5"/>
        <v>37153</v>
      </c>
    </row>
    <row r="22" spans="1:104" ht="16.2" thickBot="1" x14ac:dyDescent="0.35">
      <c r="A22" s="399" t="s">
        <v>241</v>
      </c>
      <c r="B22" s="399">
        <f>B21+3</f>
        <v>37158</v>
      </c>
      <c r="C22" s="398">
        <f>C19</f>
        <v>28.5</v>
      </c>
      <c r="D22" s="398">
        <f>D19</f>
        <v>29.5</v>
      </c>
      <c r="E22" s="387">
        <f t="shared" si="1"/>
        <v>29</v>
      </c>
      <c r="F22" s="398"/>
      <c r="G22" s="406">
        <f t="shared" si="2"/>
        <v>29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>
        <v>50</v>
      </c>
      <c r="W22" s="346">
        <v>29</v>
      </c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50</v>
      </c>
      <c r="CY22" s="369">
        <f>(AA22)</f>
        <v>0</v>
      </c>
      <c r="CZ22" s="368">
        <f t="shared" si="5"/>
        <v>37154</v>
      </c>
    </row>
    <row r="23" spans="1:104" ht="16.2" thickBot="1" x14ac:dyDescent="0.35">
      <c r="A23" s="324" t="s">
        <v>242</v>
      </c>
      <c r="B23" s="324">
        <f>B22+1</f>
        <v>37159</v>
      </c>
      <c r="C23" s="328">
        <f t="shared" ref="C23:D26" si="11">C22</f>
        <v>28.5</v>
      </c>
      <c r="D23" s="328">
        <f t="shared" si="11"/>
        <v>29.5</v>
      </c>
      <c r="E23" s="372">
        <f t="shared" si="1"/>
        <v>29</v>
      </c>
      <c r="F23" s="398"/>
      <c r="G23" s="407">
        <f t="shared" si="2"/>
        <v>29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>
        <v>50</v>
      </c>
      <c r="W23" s="346">
        <v>29</v>
      </c>
      <c r="X23" s="345"/>
      <c r="Y23" s="344"/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50</v>
      </c>
      <c r="CY23" s="369">
        <f>(AA23)</f>
        <v>0</v>
      </c>
      <c r="CZ23" s="368">
        <f t="shared" si="5"/>
        <v>37155</v>
      </c>
    </row>
    <row r="24" spans="1:104" ht="16.2" thickBot="1" x14ac:dyDescent="0.35">
      <c r="A24" s="325" t="s">
        <v>243</v>
      </c>
      <c r="B24" s="324">
        <f>B23+1</f>
        <v>37160</v>
      </c>
      <c r="C24" s="327">
        <f t="shared" si="11"/>
        <v>28.5</v>
      </c>
      <c r="D24" s="327">
        <f t="shared" si="11"/>
        <v>29.5</v>
      </c>
      <c r="E24" s="373">
        <f t="shared" si="1"/>
        <v>29</v>
      </c>
      <c r="F24" s="398"/>
      <c r="G24" s="408">
        <f t="shared" si="2"/>
        <v>29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>
        <v>50</v>
      </c>
      <c r="W24" s="346">
        <v>29</v>
      </c>
      <c r="X24" s="345"/>
      <c r="Y24" s="344"/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50</v>
      </c>
      <c r="CY24" s="352">
        <f>(W24+Y24+AA24)/3</f>
        <v>9.6666666666666661</v>
      </c>
      <c r="CZ24" s="368">
        <f t="shared" si="5"/>
        <v>37158</v>
      </c>
    </row>
    <row r="25" spans="1:104" ht="16.2" thickBot="1" x14ac:dyDescent="0.35">
      <c r="A25" s="325" t="s">
        <v>244</v>
      </c>
      <c r="B25" s="324">
        <f>B24+1</f>
        <v>37161</v>
      </c>
      <c r="C25" s="327">
        <f t="shared" si="11"/>
        <v>28.5</v>
      </c>
      <c r="D25" s="327">
        <f t="shared" si="11"/>
        <v>29.5</v>
      </c>
      <c r="E25" s="373">
        <f t="shared" si="1"/>
        <v>29</v>
      </c>
      <c r="F25" s="398"/>
      <c r="G25" s="408">
        <f t="shared" si="2"/>
        <v>29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>
        <v>50</v>
      </c>
      <c r="W25" s="346">
        <v>29</v>
      </c>
      <c r="X25" s="345"/>
      <c r="Y25" s="344"/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50</v>
      </c>
      <c r="CY25" s="352">
        <f>(W25+Y25+AA25)/3</f>
        <v>9.6666666666666661</v>
      </c>
      <c r="CZ25" s="368">
        <f t="shared" si="5"/>
        <v>37159</v>
      </c>
    </row>
    <row r="26" spans="1:104" ht="16.2" thickBot="1" x14ac:dyDescent="0.35">
      <c r="A26" s="370" t="s">
        <v>245</v>
      </c>
      <c r="B26" s="370">
        <f>B25+1</f>
        <v>37162</v>
      </c>
      <c r="C26" s="326">
        <f t="shared" si="11"/>
        <v>28.5</v>
      </c>
      <c r="D26" s="326">
        <f t="shared" si="11"/>
        <v>29.5</v>
      </c>
      <c r="E26" s="371">
        <f t="shared" si="1"/>
        <v>29</v>
      </c>
      <c r="F26" s="398"/>
      <c r="G26" s="409">
        <f t="shared" si="2"/>
        <v>29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29</v>
      </c>
      <c r="X26" s="345"/>
      <c r="Y26" s="344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(W26+Y26+AA26)/3</f>
        <v>9.6666666666666661</v>
      </c>
      <c r="CZ26" s="368">
        <f t="shared" si="5"/>
        <v>37160</v>
      </c>
    </row>
    <row r="27" spans="1:104" ht="16.2" thickBot="1" x14ac:dyDescent="0.35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29</v>
      </c>
      <c r="X27" s="345"/>
      <c r="Y27" s="344"/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(W27+Y27+AA27)/3</f>
        <v>9.6666666666666661</v>
      </c>
      <c r="CZ27" s="368">
        <f t="shared" si="5"/>
        <v>37161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2">SUM(C7:C27)/21</f>
        <v>31.976190476190474</v>
      </c>
      <c r="D28" s="211">
        <f t="shared" si="12"/>
        <v>32.738095238095241</v>
      </c>
      <c r="E28" s="211">
        <f t="shared" si="12"/>
        <v>32.357142857142854</v>
      </c>
      <c r="F28" s="211">
        <f t="shared" si="12"/>
        <v>0</v>
      </c>
      <c r="G28" s="211">
        <f t="shared" si="12"/>
        <v>32.357142857142854</v>
      </c>
      <c r="H28" s="216">
        <f t="shared" si="12"/>
        <v>1174.3614535492707</v>
      </c>
      <c r="I28" s="216"/>
      <c r="J28" s="216"/>
      <c r="K28" s="213">
        <f>SUM(K7:K27)</f>
        <v>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29</v>
      </c>
      <c r="X28" s="345"/>
      <c r="Y28" s="344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(W28+Y28+AA28)/3</f>
        <v>9.6666666666666661</v>
      </c>
      <c r="CZ28" s="368">
        <f t="shared" si="5"/>
        <v>37162</v>
      </c>
    </row>
    <row r="29" spans="1:104" ht="16.2" thickBot="1" x14ac:dyDescent="0.35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>
        <v>50</v>
      </c>
      <c r="W29" s="346">
        <v>29</v>
      </c>
      <c r="X29" s="345"/>
      <c r="Y29" s="344"/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2" thickBot="1" x14ac:dyDescent="0.35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481">
        <v>37164</v>
      </c>
      <c r="V30" s="345">
        <v>50</v>
      </c>
      <c r="W30" s="346">
        <v>29</v>
      </c>
      <c r="X30" s="345"/>
      <c r="Y30" s="344"/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2" thickBot="1" x14ac:dyDescent="0.35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2" thickBot="1" x14ac:dyDescent="0.35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2" thickBot="1" x14ac:dyDescent="0.3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2" thickBot="1" x14ac:dyDescent="0.35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25.25</v>
      </c>
      <c r="V34" s="502">
        <v>26.25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2" thickBot="1" x14ac:dyDescent="0.35">
      <c r="C35" s="56"/>
      <c r="E35" s="50"/>
      <c r="R35" s="496"/>
      <c r="S35" s="500" t="s">
        <v>314</v>
      </c>
      <c r="T35" s="65">
        <v>5</v>
      </c>
      <c r="U35" s="501">
        <v>29</v>
      </c>
      <c r="V35" s="502">
        <v>29.75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2" thickBot="1" x14ac:dyDescent="0.35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2" thickBot="1" x14ac:dyDescent="0.35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  <c r="R39" s="496"/>
      <c r="S39" s="496"/>
      <c r="T39" s="496"/>
      <c r="U39" s="496"/>
      <c r="V39" s="496"/>
      <c r="W39" s="496"/>
    </row>
    <row r="40" spans="2:104" ht="13.8" thickBot="1" x14ac:dyDescent="0.3">
      <c r="C40" s="56"/>
      <c r="E40" s="50"/>
      <c r="R40" s="496"/>
      <c r="S40" s="496"/>
      <c r="T40" s="496"/>
      <c r="U40" s="496"/>
      <c r="V40" s="496"/>
      <c r="W40" s="496"/>
    </row>
    <row r="41" spans="2:104" ht="13.8" thickBot="1" x14ac:dyDescent="0.3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5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8" thickBot="1" x14ac:dyDescent="0.3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8" thickBot="1" x14ac:dyDescent="0.3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5">
      <c r="C45" s="56"/>
      <c r="E45" s="50"/>
      <c r="R45" s="496"/>
      <c r="S45" s="496"/>
      <c r="T45" s="496"/>
      <c r="U45" s="496"/>
      <c r="V45" s="496"/>
      <c r="W45" s="496"/>
    </row>
    <row r="46" spans="2:104" x14ac:dyDescent="0.25">
      <c r="C46" s="56"/>
      <c r="E46" s="50"/>
      <c r="R46" s="496"/>
      <c r="S46" s="496"/>
      <c r="T46" s="496"/>
      <c r="U46" s="496"/>
      <c r="V46" s="496"/>
      <c r="W46" s="496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3.2" x14ac:dyDescent="0.25"/>
  <cols>
    <col min="1" max="1" width="13.5546875" customWidth="1"/>
  </cols>
  <sheetData>
    <row r="3" spans="1:24" x14ac:dyDescent="0.25">
      <c r="J3" s="102"/>
    </row>
    <row r="4" spans="1:24" x14ac:dyDescent="0.25">
      <c r="E4" s="102" t="s">
        <v>274</v>
      </c>
      <c r="I4" s="16"/>
      <c r="J4" s="16"/>
      <c r="K4" s="103"/>
    </row>
    <row r="7" spans="1:24" ht="13.8" thickBot="1" x14ac:dyDescent="0.3">
      <c r="A7" s="102" t="s">
        <v>303</v>
      </c>
    </row>
    <row r="8" spans="1:24" ht="13.8" thickBot="1" x14ac:dyDescent="0.3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5">
      <c r="A9" s="423">
        <v>25.55</v>
      </c>
      <c r="B9" s="423">
        <v>20.96</v>
      </c>
      <c r="C9" s="423">
        <v>20.27</v>
      </c>
      <c r="D9" s="423">
        <v>19.73</v>
      </c>
      <c r="E9" s="423">
        <v>20.059999999999999</v>
      </c>
      <c r="F9" s="423">
        <v>23.94</v>
      </c>
      <c r="G9" s="423">
        <v>29.43</v>
      </c>
      <c r="H9" s="423">
        <v>31.79</v>
      </c>
      <c r="I9" s="423">
        <v>35.369999999999997</v>
      </c>
      <c r="J9" s="423">
        <v>34.21</v>
      </c>
      <c r="K9" s="423">
        <v>34.26</v>
      </c>
      <c r="L9" s="423">
        <v>34.83</v>
      </c>
      <c r="M9" s="423">
        <v>34.83</v>
      </c>
      <c r="N9" s="423">
        <v>36.869999999999997</v>
      </c>
      <c r="O9" s="423">
        <v>39.979999999999997</v>
      </c>
      <c r="P9" s="423">
        <v>39.869999999999997</v>
      </c>
      <c r="Q9" s="423">
        <v>39.840000000000003</v>
      </c>
      <c r="R9" s="423">
        <v>36.630000000000003</v>
      </c>
      <c r="S9" s="423">
        <v>34.25</v>
      </c>
      <c r="T9" s="423">
        <v>34.54</v>
      </c>
      <c r="U9" s="423">
        <v>35.46</v>
      </c>
      <c r="V9" s="423">
        <v>33.82</v>
      </c>
      <c r="W9" s="423">
        <v>28.98</v>
      </c>
      <c r="X9" s="423">
        <v>29.45</v>
      </c>
    </row>
    <row r="10" spans="1:24" x14ac:dyDescent="0.25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8" thickBot="1" x14ac:dyDescent="0.3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8" thickBot="1" x14ac:dyDescent="0.3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x14ac:dyDescent="0.25">
      <c r="A13" s="423">
        <v>33.76</v>
      </c>
      <c r="B13" s="423">
        <v>26.85</v>
      </c>
      <c r="C13" s="423">
        <v>27.44</v>
      </c>
      <c r="D13" s="423">
        <v>23.98</v>
      </c>
      <c r="E13" s="423">
        <v>24.02</v>
      </c>
      <c r="F13" s="423">
        <v>44.8</v>
      </c>
      <c r="G13" s="423">
        <v>87.21</v>
      </c>
      <c r="H13" s="423">
        <v>73.8</v>
      </c>
      <c r="I13" s="423">
        <v>60.59</v>
      </c>
      <c r="J13" s="423">
        <v>97.19</v>
      </c>
      <c r="K13" s="423">
        <v>81.73</v>
      </c>
      <c r="L13" s="423">
        <v>55.04</v>
      </c>
      <c r="M13" s="423">
        <v>62.99</v>
      </c>
      <c r="N13" s="423">
        <v>63.85</v>
      </c>
      <c r="O13" s="423"/>
      <c r="P13" s="423"/>
      <c r="Q13" s="423"/>
      <c r="R13" s="423"/>
      <c r="S13" s="423"/>
      <c r="T13" s="423"/>
      <c r="U13" s="423"/>
      <c r="V13" s="423"/>
      <c r="W13" s="423"/>
      <c r="X13" s="423"/>
    </row>
    <row r="14" spans="1:24" x14ac:dyDescent="0.25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8" thickBot="1" x14ac:dyDescent="0.3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8" thickBot="1" x14ac:dyDescent="0.3">
      <c r="A17" s="107" t="s">
        <v>25</v>
      </c>
      <c r="B17" s="108">
        <f>AVERAGE(H9:L9,A15:K15)</f>
        <v>34.091999999999999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8" thickBot="1" x14ac:dyDescent="0.3">
      <c r="A18" s="114" t="s">
        <v>46</v>
      </c>
      <c r="B18" s="115">
        <f>AVERAGE(A9:G9,L15)</f>
        <v>22.848571428571432</v>
      </c>
      <c r="E18" s="116">
        <v>1</v>
      </c>
      <c r="F18" s="117"/>
      <c r="G18" s="118"/>
      <c r="H18" s="119"/>
      <c r="I18" s="120">
        <f>A9</f>
        <v>25.55</v>
      </c>
      <c r="K18" s="121"/>
      <c r="L18" s="122"/>
    </row>
    <row r="19" spans="1:12" ht="13.8" thickBot="1" x14ac:dyDescent="0.3">
      <c r="A19" s="123" t="s">
        <v>47</v>
      </c>
      <c r="B19" s="124">
        <f>AVERAGE(A9:L15)</f>
        <v>40.283749999999998</v>
      </c>
      <c r="E19" s="125">
        <v>2</v>
      </c>
      <c r="F19" s="117"/>
      <c r="G19" s="118"/>
      <c r="H19" s="126"/>
      <c r="I19" s="120">
        <f>B9</f>
        <v>20.96</v>
      </c>
      <c r="K19" s="127" t="s">
        <v>25</v>
      </c>
      <c r="L19" s="128" t="e">
        <f>AVERAGE(H25:H40)</f>
        <v>#DIV/0!</v>
      </c>
    </row>
    <row r="20" spans="1:12" ht="13.8" thickBot="1" x14ac:dyDescent="0.3">
      <c r="E20" s="125">
        <v>3</v>
      </c>
      <c r="F20" s="117"/>
      <c r="G20" s="118"/>
      <c r="H20" s="126"/>
      <c r="I20" s="120">
        <f>C9</f>
        <v>20.27</v>
      </c>
      <c r="K20" s="121"/>
      <c r="L20" s="129"/>
    </row>
    <row r="21" spans="1:12" ht="13.8" thickBot="1" x14ac:dyDescent="0.3">
      <c r="D21" s="58"/>
      <c r="E21" s="125">
        <v>4</v>
      </c>
      <c r="F21" s="117"/>
      <c r="G21" s="118"/>
      <c r="H21" s="126"/>
      <c r="I21" s="120">
        <f>D9</f>
        <v>19.73</v>
      </c>
      <c r="K21" s="130" t="s">
        <v>46</v>
      </c>
      <c r="L21" s="131" t="e">
        <f>AVERAGE(H18:H24,H41)</f>
        <v>#DIV/0!</v>
      </c>
    </row>
    <row r="22" spans="1:12" ht="13.8" thickBot="1" x14ac:dyDescent="0.3">
      <c r="E22" s="125">
        <v>5</v>
      </c>
      <c r="F22" s="117"/>
      <c r="G22" s="118"/>
      <c r="H22" s="126"/>
      <c r="I22" s="120">
        <f>E9</f>
        <v>20.059999999999999</v>
      </c>
      <c r="K22" s="121"/>
      <c r="L22" s="129"/>
    </row>
    <row r="23" spans="1:12" ht="13.8" thickBot="1" x14ac:dyDescent="0.3">
      <c r="E23" s="125">
        <v>6</v>
      </c>
      <c r="F23" s="117"/>
      <c r="G23" s="118"/>
      <c r="H23" s="126"/>
      <c r="I23" s="120">
        <f>F9</f>
        <v>23.94</v>
      </c>
      <c r="K23" s="132" t="s">
        <v>47</v>
      </c>
      <c r="L23" s="133" t="e">
        <f>AVERAGE(H18:H41)</f>
        <v>#DIV/0!</v>
      </c>
    </row>
    <row r="24" spans="1:12" ht="13.8" thickBot="1" x14ac:dyDescent="0.3">
      <c r="E24" s="134">
        <v>7</v>
      </c>
      <c r="F24" s="117"/>
      <c r="G24" s="118"/>
      <c r="H24" s="135"/>
      <c r="I24" s="136">
        <f>G9</f>
        <v>29.43</v>
      </c>
    </row>
    <row r="25" spans="1:12" x14ac:dyDescent="0.25">
      <c r="E25" s="137">
        <v>8</v>
      </c>
      <c r="F25" s="138"/>
      <c r="G25" s="139"/>
      <c r="H25" s="140"/>
      <c r="I25" s="141">
        <f>H9</f>
        <v>31.79</v>
      </c>
    </row>
    <row r="26" spans="1:12" x14ac:dyDescent="0.25">
      <c r="E26" s="142">
        <v>9</v>
      </c>
      <c r="F26" s="138"/>
      <c r="G26" s="139"/>
      <c r="H26" s="140"/>
      <c r="I26" s="120">
        <f>I9</f>
        <v>35.369999999999997</v>
      </c>
      <c r="J26" s="143"/>
      <c r="K26" s="144" t="s">
        <v>48</v>
      </c>
      <c r="L26" s="144"/>
    </row>
    <row r="27" spans="1:12" x14ac:dyDescent="0.25">
      <c r="E27" s="142">
        <v>10</v>
      </c>
      <c r="F27" s="138"/>
      <c r="G27" s="139"/>
      <c r="H27" s="140"/>
      <c r="I27" s="120">
        <f>J9</f>
        <v>34.21</v>
      </c>
      <c r="K27" s="16"/>
      <c r="L27" s="16"/>
    </row>
    <row r="28" spans="1:12" x14ac:dyDescent="0.25">
      <c r="E28" s="142">
        <v>11</v>
      </c>
      <c r="F28" s="138"/>
      <c r="G28" s="139"/>
      <c r="H28" s="140"/>
      <c r="I28" s="120">
        <f>K9</f>
        <v>34.26</v>
      </c>
      <c r="K28" s="144" t="s">
        <v>49</v>
      </c>
      <c r="L28" s="144">
        <v>45.2</v>
      </c>
    </row>
    <row r="29" spans="1:12" x14ac:dyDescent="0.25">
      <c r="E29" s="142">
        <v>12</v>
      </c>
      <c r="F29" s="138"/>
      <c r="G29" s="139"/>
      <c r="H29" s="140"/>
      <c r="I29" s="120">
        <f>L9</f>
        <v>34.83</v>
      </c>
      <c r="K29" s="144" t="s">
        <v>50</v>
      </c>
      <c r="L29" s="144">
        <v>26</v>
      </c>
    </row>
    <row r="30" spans="1:12" x14ac:dyDescent="0.25">
      <c r="E30" s="142">
        <v>13</v>
      </c>
      <c r="F30" s="138"/>
      <c r="G30" s="139"/>
      <c r="H30" s="140"/>
      <c r="I30" s="120">
        <f>M9</f>
        <v>34.83</v>
      </c>
    </row>
    <row r="31" spans="1:12" x14ac:dyDescent="0.25">
      <c r="E31" s="142">
        <v>14</v>
      </c>
      <c r="F31" s="138"/>
      <c r="G31" s="139"/>
      <c r="H31" s="140"/>
      <c r="I31" s="120">
        <f>N9</f>
        <v>36.869999999999997</v>
      </c>
    </row>
    <row r="32" spans="1:12" x14ac:dyDescent="0.25">
      <c r="E32" s="142">
        <v>15</v>
      </c>
      <c r="F32" s="138"/>
      <c r="G32" s="139"/>
      <c r="H32" s="140"/>
      <c r="I32" s="120">
        <f>O9</f>
        <v>39.979999999999997</v>
      </c>
    </row>
    <row r="33" spans="5:9" x14ac:dyDescent="0.25">
      <c r="E33" s="142">
        <v>16</v>
      </c>
      <c r="F33" s="138"/>
      <c r="G33" s="139"/>
      <c r="H33" s="140"/>
      <c r="I33" s="120">
        <f>P9</f>
        <v>39.869999999999997</v>
      </c>
    </row>
    <row r="34" spans="5:9" x14ac:dyDescent="0.25">
      <c r="E34" s="142">
        <v>17</v>
      </c>
      <c r="F34" s="138"/>
      <c r="G34" s="139"/>
      <c r="H34" s="140"/>
      <c r="I34" s="120">
        <f>Q9</f>
        <v>39.840000000000003</v>
      </c>
    </row>
    <row r="35" spans="5:9" x14ac:dyDescent="0.25">
      <c r="E35" s="142">
        <v>18</v>
      </c>
      <c r="F35" s="138"/>
      <c r="G35" s="139"/>
      <c r="H35" s="140"/>
      <c r="I35" s="120">
        <f>R9</f>
        <v>36.630000000000003</v>
      </c>
    </row>
    <row r="36" spans="5:9" x14ac:dyDescent="0.25">
      <c r="E36" s="142">
        <v>19</v>
      </c>
      <c r="F36" s="138"/>
      <c r="G36" s="139"/>
      <c r="H36" s="140"/>
      <c r="I36" s="120">
        <f>S9</f>
        <v>34.25</v>
      </c>
    </row>
    <row r="37" spans="5:9" x14ac:dyDescent="0.25">
      <c r="E37" s="142">
        <v>20</v>
      </c>
      <c r="F37" s="138"/>
      <c r="G37" s="139"/>
      <c r="H37" s="140"/>
      <c r="I37" s="120">
        <f>T9</f>
        <v>34.54</v>
      </c>
    </row>
    <row r="38" spans="5:9" x14ac:dyDescent="0.25">
      <c r="E38" s="142">
        <v>21</v>
      </c>
      <c r="F38" s="138"/>
      <c r="G38" s="139"/>
      <c r="H38" s="140"/>
      <c r="I38" s="120">
        <f>U9</f>
        <v>35.46</v>
      </c>
    </row>
    <row r="39" spans="5:9" x14ac:dyDescent="0.25">
      <c r="E39" s="142">
        <v>22</v>
      </c>
      <c r="F39" s="138"/>
      <c r="G39" s="139"/>
      <c r="H39" s="140"/>
      <c r="I39" s="120">
        <f>V9</f>
        <v>33.82</v>
      </c>
    </row>
    <row r="40" spans="5:9" ht="13.8" thickBot="1" x14ac:dyDescent="0.3">
      <c r="E40" s="145">
        <v>23</v>
      </c>
      <c r="F40" s="138"/>
      <c r="G40" s="139"/>
      <c r="H40" s="140"/>
      <c r="I40" s="136">
        <f>W9</f>
        <v>28.98</v>
      </c>
    </row>
    <row r="41" spans="5:9" ht="13.8" thickBot="1" x14ac:dyDescent="0.3">
      <c r="E41" s="146">
        <v>24</v>
      </c>
      <c r="F41" s="147"/>
      <c r="G41" s="148"/>
      <c r="H41" s="149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3.2" x14ac:dyDescent="0.25"/>
  <cols>
    <col min="1" max="1" width="10.44140625" customWidth="1"/>
  </cols>
  <sheetData>
    <row r="3" spans="1:24" x14ac:dyDescent="0.25">
      <c r="J3" s="102"/>
    </row>
    <row r="4" spans="1:24" x14ac:dyDescent="0.25">
      <c r="E4" s="102" t="s">
        <v>274</v>
      </c>
      <c r="I4" s="16"/>
      <c r="J4" s="16"/>
      <c r="K4" s="103"/>
    </row>
    <row r="7" spans="1:24" ht="13.8" thickBot="1" x14ac:dyDescent="0.3">
      <c r="A7" s="102" t="s">
        <v>303</v>
      </c>
    </row>
    <row r="8" spans="1:24" ht="13.8" thickBot="1" x14ac:dyDescent="0.3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5">
      <c r="A9" s="423">
        <v>26.46</v>
      </c>
      <c r="B9" s="423">
        <v>25.24</v>
      </c>
      <c r="C9" s="423">
        <v>24.84</v>
      </c>
      <c r="D9" s="423">
        <v>24.44</v>
      </c>
      <c r="E9" s="423">
        <v>24.59</v>
      </c>
      <c r="F9" s="423">
        <v>25.42</v>
      </c>
      <c r="G9" s="423">
        <v>29.67</v>
      </c>
      <c r="H9" s="423">
        <v>37.950000000000003</v>
      </c>
      <c r="I9" s="423">
        <v>41.78</v>
      </c>
      <c r="J9" s="423">
        <v>43.9</v>
      </c>
      <c r="K9" s="423">
        <v>46.53</v>
      </c>
      <c r="L9" s="423">
        <v>48.01</v>
      </c>
      <c r="M9" s="423">
        <v>49.63</v>
      </c>
      <c r="N9" s="423">
        <v>50.84</v>
      </c>
      <c r="O9" s="423">
        <v>50.69</v>
      </c>
      <c r="P9" s="423">
        <v>50.87</v>
      </c>
      <c r="Q9" s="423">
        <v>49.72</v>
      </c>
      <c r="R9" s="423">
        <v>49.77</v>
      </c>
      <c r="S9" s="423">
        <v>46.56</v>
      </c>
      <c r="T9" s="423">
        <v>48.03</v>
      </c>
      <c r="U9" s="423">
        <v>45.94</v>
      </c>
      <c r="V9" s="423">
        <v>41.64</v>
      </c>
      <c r="W9" s="423">
        <v>35.799999999999997</v>
      </c>
      <c r="X9" s="423">
        <v>32.57</v>
      </c>
    </row>
    <row r="10" spans="1:24" x14ac:dyDescent="0.25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8" thickBot="1" x14ac:dyDescent="0.3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8" thickBot="1" x14ac:dyDescent="0.3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5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x14ac:dyDescent="0.25">
      <c r="A14" s="423"/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</row>
    <row r="15" spans="1:24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8" thickBot="1" x14ac:dyDescent="0.3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8" thickBot="1" x14ac:dyDescent="0.3">
      <c r="A17" s="107" t="s">
        <v>25</v>
      </c>
      <c r="B17" s="108">
        <f>AVERAGE(H9:L9,A15:K15)</f>
        <v>43.634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8" thickBot="1" x14ac:dyDescent="0.3">
      <c r="A18" s="114" t="s">
        <v>46</v>
      </c>
      <c r="B18" s="115">
        <f>AVERAGE(A9:G9,L15)</f>
        <v>25.808571428571433</v>
      </c>
      <c r="E18" s="116">
        <v>1</v>
      </c>
      <c r="F18" s="117"/>
      <c r="G18" s="118"/>
      <c r="H18" s="119"/>
      <c r="I18" s="120">
        <f>A9</f>
        <v>26.46</v>
      </c>
      <c r="K18" s="121"/>
      <c r="L18" s="122"/>
    </row>
    <row r="19" spans="1:12" ht="13.8" thickBot="1" x14ac:dyDescent="0.3">
      <c r="A19" s="123" t="s">
        <v>47</v>
      </c>
      <c r="B19" s="124">
        <f>AVERAGE(A9:L15)</f>
        <v>33.235833333333325</v>
      </c>
      <c r="E19" s="125">
        <v>2</v>
      </c>
      <c r="F19" s="117"/>
      <c r="G19" s="118"/>
      <c r="H19" s="126"/>
      <c r="I19" s="120">
        <f>B9</f>
        <v>25.24</v>
      </c>
      <c r="K19" s="127" t="s">
        <v>25</v>
      </c>
      <c r="L19" s="128" t="e">
        <f>AVERAGE(H25:H40)</f>
        <v>#DIV/0!</v>
      </c>
    </row>
    <row r="20" spans="1:12" ht="13.8" thickBot="1" x14ac:dyDescent="0.3">
      <c r="E20" s="125">
        <v>3</v>
      </c>
      <c r="F20" s="117"/>
      <c r="G20" s="118"/>
      <c r="H20" s="126"/>
      <c r="I20" s="120">
        <f>C9</f>
        <v>24.84</v>
      </c>
      <c r="K20" s="121"/>
      <c r="L20" s="129"/>
    </row>
    <row r="21" spans="1:12" ht="13.8" thickBot="1" x14ac:dyDescent="0.3">
      <c r="D21" s="58"/>
      <c r="E21" s="125">
        <v>4</v>
      </c>
      <c r="F21" s="117"/>
      <c r="G21" s="118"/>
      <c r="H21" s="126"/>
      <c r="I21" s="120">
        <f>D9</f>
        <v>24.44</v>
      </c>
      <c r="K21" s="130" t="s">
        <v>46</v>
      </c>
      <c r="L21" s="131" t="e">
        <f>AVERAGE(H18:H24,H41)</f>
        <v>#DIV/0!</v>
      </c>
    </row>
    <row r="22" spans="1:12" ht="13.8" thickBot="1" x14ac:dyDescent="0.3">
      <c r="E22" s="125">
        <v>5</v>
      </c>
      <c r="F22" s="117"/>
      <c r="G22" s="118"/>
      <c r="H22" s="126"/>
      <c r="I22" s="120">
        <f>E9</f>
        <v>24.59</v>
      </c>
      <c r="K22" s="121"/>
      <c r="L22" s="129"/>
    </row>
    <row r="23" spans="1:12" ht="13.8" thickBot="1" x14ac:dyDescent="0.3">
      <c r="E23" s="125">
        <v>6</v>
      </c>
      <c r="F23" s="117"/>
      <c r="G23" s="118"/>
      <c r="H23" s="126"/>
      <c r="I23" s="120">
        <f>F9</f>
        <v>25.42</v>
      </c>
      <c r="K23" s="132" t="s">
        <v>47</v>
      </c>
      <c r="L23" s="133" t="e">
        <f>AVERAGE(H18:H41)</f>
        <v>#DIV/0!</v>
      </c>
    </row>
    <row r="24" spans="1:12" ht="13.8" thickBot="1" x14ac:dyDescent="0.3">
      <c r="E24" s="134">
        <v>7</v>
      </c>
      <c r="F24" s="117"/>
      <c r="G24" s="118"/>
      <c r="H24" s="135"/>
      <c r="I24" s="136">
        <f>G9</f>
        <v>29.67</v>
      </c>
    </row>
    <row r="25" spans="1:12" x14ac:dyDescent="0.25">
      <c r="E25" s="137">
        <v>8</v>
      </c>
      <c r="F25" s="138"/>
      <c r="G25" s="139"/>
      <c r="H25" s="140"/>
      <c r="I25" s="141">
        <f>H9</f>
        <v>37.950000000000003</v>
      </c>
    </row>
    <row r="26" spans="1:12" x14ac:dyDescent="0.25">
      <c r="E26" s="142">
        <v>9</v>
      </c>
      <c r="F26" s="138"/>
      <c r="G26" s="139"/>
      <c r="H26" s="140"/>
      <c r="I26" s="120">
        <f>I9</f>
        <v>41.78</v>
      </c>
      <c r="J26" s="143"/>
      <c r="K26" s="144" t="s">
        <v>48</v>
      </c>
      <c r="L26" s="144"/>
    </row>
    <row r="27" spans="1:12" x14ac:dyDescent="0.25">
      <c r="E27" s="142">
        <v>10</v>
      </c>
      <c r="F27" s="138"/>
      <c r="G27" s="139"/>
      <c r="H27" s="140"/>
      <c r="I27" s="120">
        <f>J9</f>
        <v>43.9</v>
      </c>
      <c r="K27" s="16"/>
      <c r="L27" s="16"/>
    </row>
    <row r="28" spans="1:12" x14ac:dyDescent="0.25">
      <c r="E28" s="142">
        <v>11</v>
      </c>
      <c r="F28" s="138"/>
      <c r="G28" s="139"/>
      <c r="H28" s="140"/>
      <c r="I28" s="120">
        <f>K9</f>
        <v>46.53</v>
      </c>
      <c r="K28" s="144" t="s">
        <v>49</v>
      </c>
      <c r="L28" s="144">
        <v>45.2</v>
      </c>
    </row>
    <row r="29" spans="1:12" x14ac:dyDescent="0.25">
      <c r="E29" s="142">
        <v>12</v>
      </c>
      <c r="F29" s="138"/>
      <c r="G29" s="139"/>
      <c r="H29" s="140"/>
      <c r="I29" s="120">
        <f>L9</f>
        <v>48.01</v>
      </c>
      <c r="K29" s="144" t="s">
        <v>50</v>
      </c>
      <c r="L29" s="144">
        <v>26</v>
      </c>
    </row>
    <row r="30" spans="1:12" x14ac:dyDescent="0.25">
      <c r="E30" s="142">
        <v>13</v>
      </c>
      <c r="F30" s="138"/>
      <c r="G30" s="139"/>
      <c r="H30" s="140"/>
      <c r="I30" s="120">
        <f>M9</f>
        <v>49.63</v>
      </c>
    </row>
    <row r="31" spans="1:12" x14ac:dyDescent="0.25">
      <c r="E31" s="142">
        <v>14</v>
      </c>
      <c r="F31" s="138"/>
      <c r="G31" s="139"/>
      <c r="H31" s="140"/>
      <c r="I31" s="120">
        <f>N9</f>
        <v>50.84</v>
      </c>
    </row>
    <row r="32" spans="1:12" x14ac:dyDescent="0.25">
      <c r="E32" s="142">
        <v>15</v>
      </c>
      <c r="F32" s="138"/>
      <c r="G32" s="139"/>
      <c r="H32" s="140"/>
      <c r="I32" s="120">
        <f>O9</f>
        <v>50.69</v>
      </c>
    </row>
    <row r="33" spans="5:9" x14ac:dyDescent="0.25">
      <c r="E33" s="142">
        <v>16</v>
      </c>
      <c r="F33" s="138"/>
      <c r="G33" s="139"/>
      <c r="H33" s="140"/>
      <c r="I33" s="120">
        <f>P9</f>
        <v>50.87</v>
      </c>
    </row>
    <row r="34" spans="5:9" x14ac:dyDescent="0.25">
      <c r="E34" s="142">
        <v>17</v>
      </c>
      <c r="F34" s="138"/>
      <c r="G34" s="139"/>
      <c r="H34" s="140"/>
      <c r="I34" s="120">
        <f>Q9</f>
        <v>49.72</v>
      </c>
    </row>
    <row r="35" spans="5:9" x14ac:dyDescent="0.25">
      <c r="E35" s="142">
        <v>18</v>
      </c>
      <c r="F35" s="138"/>
      <c r="G35" s="139"/>
      <c r="H35" s="140"/>
      <c r="I35" s="120">
        <f>R9</f>
        <v>49.77</v>
      </c>
    </row>
    <row r="36" spans="5:9" x14ac:dyDescent="0.25">
      <c r="E36" s="142">
        <v>19</v>
      </c>
      <c r="F36" s="138"/>
      <c r="G36" s="139"/>
      <c r="H36" s="140"/>
      <c r="I36" s="120">
        <f>S9</f>
        <v>46.56</v>
      </c>
    </row>
    <row r="37" spans="5:9" x14ac:dyDescent="0.25">
      <c r="E37" s="142">
        <v>20</v>
      </c>
      <c r="F37" s="138"/>
      <c r="G37" s="139"/>
      <c r="H37" s="140"/>
      <c r="I37" s="120">
        <f>T9</f>
        <v>48.03</v>
      </c>
    </row>
    <row r="38" spans="5:9" x14ac:dyDescent="0.25">
      <c r="E38" s="142">
        <v>21</v>
      </c>
      <c r="F38" s="138"/>
      <c r="G38" s="139"/>
      <c r="H38" s="140"/>
      <c r="I38" s="120">
        <f>U9</f>
        <v>45.94</v>
      </c>
    </row>
    <row r="39" spans="5:9" x14ac:dyDescent="0.25">
      <c r="E39" s="142">
        <v>22</v>
      </c>
      <c r="F39" s="138"/>
      <c r="G39" s="139"/>
      <c r="H39" s="140"/>
      <c r="I39" s="120">
        <f>V9</f>
        <v>41.64</v>
      </c>
    </row>
    <row r="40" spans="5:9" ht="13.8" thickBot="1" x14ac:dyDescent="0.3">
      <c r="E40" s="145">
        <v>23</v>
      </c>
      <c r="F40" s="138"/>
      <c r="G40" s="139"/>
      <c r="H40" s="140"/>
      <c r="I40" s="136">
        <f>W9</f>
        <v>35.799999999999997</v>
      </c>
    </row>
    <row r="41" spans="5:9" ht="13.8" thickBot="1" x14ac:dyDescent="0.3">
      <c r="E41" s="146">
        <v>24</v>
      </c>
      <c r="F41" s="147"/>
      <c r="G41" s="148"/>
      <c r="H41" s="149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3.2" x14ac:dyDescent="0.25"/>
  <cols>
    <col min="1" max="1" width="10.44140625" customWidth="1"/>
  </cols>
  <sheetData>
    <row r="3" spans="1:24" x14ac:dyDescent="0.25">
      <c r="J3" s="102"/>
    </row>
    <row r="4" spans="1:24" x14ac:dyDescent="0.25">
      <c r="E4" s="102" t="s">
        <v>274</v>
      </c>
      <c r="I4" s="16"/>
      <c r="J4" s="16"/>
      <c r="K4" s="103"/>
    </row>
    <row r="7" spans="1:24" ht="13.8" thickBot="1" x14ac:dyDescent="0.3">
      <c r="A7" s="102" t="s">
        <v>303</v>
      </c>
    </row>
    <row r="8" spans="1:24" ht="13.8" thickBot="1" x14ac:dyDescent="0.3">
      <c r="A8" s="104" t="s">
        <v>275</v>
      </c>
      <c r="B8" s="105" t="s">
        <v>276</v>
      </c>
      <c r="C8" s="104" t="s">
        <v>277</v>
      </c>
      <c r="D8" s="105" t="s">
        <v>278</v>
      </c>
      <c r="E8" s="104" t="s">
        <v>279</v>
      </c>
      <c r="F8" s="105" t="s">
        <v>280</v>
      </c>
      <c r="G8" s="104" t="s">
        <v>281</v>
      </c>
      <c r="H8" s="105" t="s">
        <v>282</v>
      </c>
      <c r="I8" s="104" t="s">
        <v>283</v>
      </c>
      <c r="J8" s="105" t="s">
        <v>284</v>
      </c>
      <c r="K8" s="104" t="s">
        <v>285</v>
      </c>
      <c r="L8" s="105" t="s">
        <v>286</v>
      </c>
      <c r="M8" s="104" t="s">
        <v>287</v>
      </c>
      <c r="N8" s="105" t="s">
        <v>288</v>
      </c>
      <c r="O8" s="104" t="s">
        <v>289</v>
      </c>
      <c r="P8" s="105" t="s">
        <v>290</v>
      </c>
      <c r="Q8" s="104" t="s">
        <v>291</v>
      </c>
      <c r="R8" s="105" t="s">
        <v>292</v>
      </c>
      <c r="S8" s="104" t="s">
        <v>293</v>
      </c>
      <c r="T8" s="105" t="s">
        <v>294</v>
      </c>
      <c r="U8" s="104" t="s">
        <v>295</v>
      </c>
      <c r="V8" s="105" t="s">
        <v>296</v>
      </c>
      <c r="W8" s="104" t="s">
        <v>297</v>
      </c>
      <c r="X8" s="105" t="s">
        <v>298</v>
      </c>
    </row>
    <row r="9" spans="1:24" s="102" customFormat="1" x14ac:dyDescent="0.25">
      <c r="A9" s="423">
        <v>26.87</v>
      </c>
      <c r="B9" s="423">
        <v>25.63</v>
      </c>
      <c r="C9" s="423">
        <v>25.21</v>
      </c>
      <c r="D9" s="423">
        <v>24.79</v>
      </c>
      <c r="E9" s="423">
        <v>24.96</v>
      </c>
      <c r="F9" s="423">
        <v>25.76</v>
      </c>
      <c r="G9" s="423">
        <v>30.05</v>
      </c>
      <c r="H9" s="423">
        <v>38.5</v>
      </c>
      <c r="I9" s="423">
        <v>42.26</v>
      </c>
      <c r="J9" s="423">
        <v>44.38</v>
      </c>
      <c r="K9" s="423">
        <v>46.99</v>
      </c>
      <c r="L9" s="423">
        <v>48.47</v>
      </c>
      <c r="M9" s="423">
        <v>50.07</v>
      </c>
      <c r="N9" s="423">
        <v>51.32</v>
      </c>
      <c r="O9" s="423">
        <v>51.19</v>
      </c>
      <c r="P9" s="423">
        <v>51.26</v>
      </c>
      <c r="Q9" s="423">
        <v>50.08</v>
      </c>
      <c r="R9" s="423">
        <v>50.22</v>
      </c>
      <c r="S9" s="423">
        <v>46.87</v>
      </c>
      <c r="T9" s="423">
        <v>48.34</v>
      </c>
      <c r="U9" s="423">
        <v>46.18</v>
      </c>
      <c r="V9" s="423">
        <v>41.94</v>
      </c>
      <c r="W9" s="423">
        <v>36.42</v>
      </c>
      <c r="X9" s="423">
        <v>33.08</v>
      </c>
    </row>
    <row r="10" spans="1:24" x14ac:dyDescent="0.25">
      <c r="A10" s="423"/>
      <c r="B10" s="423"/>
      <c r="C10" s="423"/>
      <c r="D10" s="423"/>
      <c r="E10" s="423"/>
      <c r="F10" s="423"/>
      <c r="G10" s="423"/>
      <c r="H10" s="423"/>
      <c r="I10" s="423"/>
      <c r="J10" s="423"/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3"/>
    </row>
    <row r="11" spans="1:24" ht="13.8" thickBot="1" x14ac:dyDescent="0.3">
      <c r="A11" s="449" t="s">
        <v>304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</row>
    <row r="12" spans="1:24" ht="13.8" thickBot="1" x14ac:dyDescent="0.3">
      <c r="A12" s="104" t="s">
        <v>275</v>
      </c>
      <c r="B12" s="105" t="s">
        <v>276</v>
      </c>
      <c r="C12" s="104" t="s">
        <v>277</v>
      </c>
      <c r="D12" s="105" t="s">
        <v>278</v>
      </c>
      <c r="E12" s="104" t="s">
        <v>279</v>
      </c>
      <c r="F12" s="105" t="s">
        <v>280</v>
      </c>
      <c r="G12" s="104" t="s">
        <v>281</v>
      </c>
      <c r="H12" s="105" t="s">
        <v>282</v>
      </c>
      <c r="I12" s="104" t="s">
        <v>283</v>
      </c>
      <c r="J12" s="105" t="s">
        <v>284</v>
      </c>
      <c r="K12" s="104" t="s">
        <v>285</v>
      </c>
      <c r="L12" s="105" t="s">
        <v>286</v>
      </c>
      <c r="M12" s="104" t="s">
        <v>287</v>
      </c>
      <c r="N12" s="105" t="s">
        <v>288</v>
      </c>
      <c r="O12" s="104" t="s">
        <v>289</v>
      </c>
      <c r="P12" s="105" t="s">
        <v>290</v>
      </c>
      <c r="Q12" s="104" t="s">
        <v>291</v>
      </c>
      <c r="R12" s="105" t="s">
        <v>292</v>
      </c>
      <c r="S12" s="104" t="s">
        <v>293</v>
      </c>
      <c r="T12" s="105" t="s">
        <v>294</v>
      </c>
      <c r="U12" s="104" t="s">
        <v>295</v>
      </c>
      <c r="V12" s="105" t="s">
        <v>296</v>
      </c>
      <c r="W12" s="104" t="s">
        <v>297</v>
      </c>
      <c r="X12" s="105" t="s">
        <v>298</v>
      </c>
    </row>
    <row r="13" spans="1:24" s="102" customFormat="1" x14ac:dyDescent="0.25">
      <c r="A13" s="423"/>
      <c r="B13" s="423"/>
      <c r="C13" s="423"/>
      <c r="D13" s="423"/>
      <c r="E13" s="423"/>
      <c r="F13" s="423"/>
      <c r="G13" s="423"/>
      <c r="H13" s="423"/>
      <c r="I13" s="423"/>
      <c r="J13" s="423"/>
      <c r="K13" s="448"/>
      <c r="L13" s="448"/>
      <c r="M13" s="448"/>
      <c r="N13" s="448"/>
      <c r="O13" s="448"/>
      <c r="P13" s="448"/>
      <c r="Q13" s="448"/>
      <c r="R13" s="448"/>
      <c r="S13" s="448"/>
      <c r="T13" s="448"/>
      <c r="U13" s="448"/>
      <c r="V13" s="448"/>
      <c r="W13" s="448"/>
      <c r="X13" s="448"/>
    </row>
    <row r="14" spans="1:24" s="102" customFormat="1" x14ac:dyDescent="0.25">
      <c r="A14" s="448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48"/>
      <c r="P14" s="448"/>
      <c r="Q14" s="448"/>
      <c r="R14" s="448"/>
      <c r="S14" s="448"/>
      <c r="T14" s="448"/>
      <c r="U14" s="448"/>
      <c r="V14" s="448"/>
      <c r="W14" s="448"/>
      <c r="X14" s="448"/>
    </row>
    <row r="15" spans="1:24" x14ac:dyDescent="0.25">
      <c r="A15" s="374"/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106"/>
    </row>
    <row r="16" spans="1:24" ht="13.8" thickBot="1" x14ac:dyDescent="0.3">
      <c r="A16" s="519"/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106"/>
    </row>
    <row r="17" spans="1:12" ht="13.8" thickBot="1" x14ac:dyDescent="0.3">
      <c r="A17" s="107" t="s">
        <v>25</v>
      </c>
      <c r="B17" s="108">
        <f>AVERAGE(H9:L9,A15:K15)</f>
        <v>44.12</v>
      </c>
      <c r="E17" s="109" t="s">
        <v>40</v>
      </c>
      <c r="F17" s="110" t="s">
        <v>41</v>
      </c>
      <c r="G17" s="110" t="s">
        <v>42</v>
      </c>
      <c r="H17" s="110" t="s">
        <v>43</v>
      </c>
      <c r="I17" s="111" t="s">
        <v>44</v>
      </c>
      <c r="K17" s="112" t="s">
        <v>45</v>
      </c>
      <c r="L17" s="113"/>
    </row>
    <row r="18" spans="1:12" ht="13.8" thickBot="1" x14ac:dyDescent="0.3">
      <c r="A18" s="114" t="s">
        <v>46</v>
      </c>
      <c r="B18" s="115">
        <f>AVERAGE(A9:G9,L15)</f>
        <v>26.181428571428572</v>
      </c>
      <c r="E18" s="116">
        <v>1</v>
      </c>
      <c r="F18" s="117"/>
      <c r="G18" s="118"/>
      <c r="H18" s="119"/>
      <c r="I18" s="120">
        <f>A9</f>
        <v>26.87</v>
      </c>
      <c r="K18" s="121"/>
      <c r="L18" s="122"/>
    </row>
    <row r="19" spans="1:12" ht="13.8" thickBot="1" x14ac:dyDescent="0.3">
      <c r="A19" s="123" t="s">
        <v>47</v>
      </c>
      <c r="B19" s="124">
        <f>AVERAGE(A9:L15)</f>
        <v>33.655833333333334</v>
      </c>
      <c r="E19" s="125">
        <v>2</v>
      </c>
      <c r="F19" s="117"/>
      <c r="G19" s="118"/>
      <c r="H19" s="126"/>
      <c r="I19" s="120">
        <f>B9</f>
        <v>25.63</v>
      </c>
      <c r="K19" s="127" t="s">
        <v>25</v>
      </c>
      <c r="L19" s="128" t="e">
        <f>AVERAGE(H25:H40)</f>
        <v>#DIV/0!</v>
      </c>
    </row>
    <row r="20" spans="1:12" ht="13.8" thickBot="1" x14ac:dyDescent="0.3">
      <c r="E20" s="125">
        <v>3</v>
      </c>
      <c r="F20" s="117"/>
      <c r="G20" s="118"/>
      <c r="H20" s="126"/>
      <c r="I20" s="120">
        <f>C9</f>
        <v>25.21</v>
      </c>
      <c r="K20" s="121"/>
      <c r="L20" s="129"/>
    </row>
    <row r="21" spans="1:12" ht="13.8" thickBot="1" x14ac:dyDescent="0.3">
      <c r="D21" s="58"/>
      <c r="E21" s="125">
        <v>4</v>
      </c>
      <c r="F21" s="117"/>
      <c r="G21" s="118"/>
      <c r="H21" s="126"/>
      <c r="I21" s="120">
        <f>D9</f>
        <v>24.79</v>
      </c>
      <c r="K21" s="130" t="s">
        <v>46</v>
      </c>
      <c r="L21" s="131" t="e">
        <f>AVERAGE(H18:H24,H41)</f>
        <v>#DIV/0!</v>
      </c>
    </row>
    <row r="22" spans="1:12" ht="13.8" thickBot="1" x14ac:dyDescent="0.3">
      <c r="E22" s="125">
        <v>5</v>
      </c>
      <c r="F22" s="117"/>
      <c r="G22" s="118"/>
      <c r="H22" s="126"/>
      <c r="I22" s="120">
        <f>E9</f>
        <v>24.96</v>
      </c>
      <c r="K22" s="121"/>
      <c r="L22" s="129"/>
    </row>
    <row r="23" spans="1:12" ht="13.8" thickBot="1" x14ac:dyDescent="0.3">
      <c r="E23" s="125">
        <v>6</v>
      </c>
      <c r="F23" s="117"/>
      <c r="G23" s="118"/>
      <c r="H23" s="126"/>
      <c r="I23" s="120">
        <f>F9</f>
        <v>25.76</v>
      </c>
      <c r="K23" s="132" t="s">
        <v>47</v>
      </c>
      <c r="L23" s="133" t="e">
        <f>AVERAGE(H18:H41)</f>
        <v>#DIV/0!</v>
      </c>
    </row>
    <row r="24" spans="1:12" ht="13.8" thickBot="1" x14ac:dyDescent="0.3">
      <c r="E24" s="134">
        <v>7</v>
      </c>
      <c r="F24" s="117"/>
      <c r="G24" s="118"/>
      <c r="H24" s="135"/>
      <c r="I24" s="136">
        <f>G9</f>
        <v>30.05</v>
      </c>
    </row>
    <row r="25" spans="1:12" x14ac:dyDescent="0.25">
      <c r="E25" s="137">
        <v>8</v>
      </c>
      <c r="F25" s="138"/>
      <c r="G25" s="139"/>
      <c r="H25" s="140"/>
      <c r="I25" s="141">
        <f>H9</f>
        <v>38.5</v>
      </c>
    </row>
    <row r="26" spans="1:12" x14ac:dyDescent="0.25">
      <c r="E26" s="142">
        <v>9</v>
      </c>
      <c r="F26" s="138"/>
      <c r="G26" s="139"/>
      <c r="H26" s="140"/>
      <c r="I26" s="120">
        <f>I9</f>
        <v>42.26</v>
      </c>
      <c r="J26" s="143"/>
      <c r="K26" s="144" t="s">
        <v>48</v>
      </c>
      <c r="L26" s="144"/>
    </row>
    <row r="27" spans="1:12" x14ac:dyDescent="0.25">
      <c r="E27" s="142">
        <v>10</v>
      </c>
      <c r="F27" s="138"/>
      <c r="G27" s="139"/>
      <c r="H27" s="140"/>
      <c r="I27" s="120">
        <f>J9</f>
        <v>44.38</v>
      </c>
      <c r="K27" s="16"/>
      <c r="L27" s="16"/>
    </row>
    <row r="28" spans="1:12" x14ac:dyDescent="0.25">
      <c r="E28" s="142">
        <v>11</v>
      </c>
      <c r="F28" s="138"/>
      <c r="G28" s="139"/>
      <c r="H28" s="140"/>
      <c r="I28" s="120">
        <f>K9</f>
        <v>46.99</v>
      </c>
      <c r="K28" s="144" t="s">
        <v>49</v>
      </c>
      <c r="L28" s="144">
        <v>45.2</v>
      </c>
    </row>
    <row r="29" spans="1:12" x14ac:dyDescent="0.25">
      <c r="E29" s="142">
        <v>12</v>
      </c>
      <c r="F29" s="138"/>
      <c r="G29" s="139"/>
      <c r="H29" s="140"/>
      <c r="I29" s="120">
        <f>L9</f>
        <v>48.47</v>
      </c>
      <c r="K29" s="144" t="s">
        <v>50</v>
      </c>
      <c r="L29" s="144">
        <v>26</v>
      </c>
    </row>
    <row r="30" spans="1:12" x14ac:dyDescent="0.25">
      <c r="E30" s="142">
        <v>13</v>
      </c>
      <c r="F30" s="138"/>
      <c r="G30" s="139"/>
      <c r="H30" s="140"/>
      <c r="I30" s="120">
        <f>M9</f>
        <v>50.07</v>
      </c>
    </row>
    <row r="31" spans="1:12" x14ac:dyDescent="0.25">
      <c r="E31" s="142">
        <v>14</v>
      </c>
      <c r="F31" s="138"/>
      <c r="G31" s="139"/>
      <c r="H31" s="140"/>
      <c r="I31" s="120">
        <f>N9</f>
        <v>51.32</v>
      </c>
    </row>
    <row r="32" spans="1:12" x14ac:dyDescent="0.25">
      <c r="E32" s="142">
        <v>15</v>
      </c>
      <c r="F32" s="138"/>
      <c r="G32" s="139"/>
      <c r="H32" s="140"/>
      <c r="I32" s="120">
        <f>O9</f>
        <v>51.19</v>
      </c>
    </row>
    <row r="33" spans="5:9" x14ac:dyDescent="0.25">
      <c r="E33" s="142">
        <v>16</v>
      </c>
      <c r="F33" s="138"/>
      <c r="G33" s="139"/>
      <c r="H33" s="140"/>
      <c r="I33" s="120">
        <f>P9</f>
        <v>51.26</v>
      </c>
    </row>
    <row r="34" spans="5:9" x14ac:dyDescent="0.25">
      <c r="E34" s="142">
        <v>17</v>
      </c>
      <c r="F34" s="138"/>
      <c r="G34" s="139"/>
      <c r="H34" s="140"/>
      <c r="I34" s="120">
        <f>Q9</f>
        <v>50.08</v>
      </c>
    </row>
    <row r="35" spans="5:9" x14ac:dyDescent="0.25">
      <c r="E35" s="142">
        <v>18</v>
      </c>
      <c r="F35" s="138"/>
      <c r="G35" s="139"/>
      <c r="H35" s="140"/>
      <c r="I35" s="120">
        <f>R9</f>
        <v>50.22</v>
      </c>
    </row>
    <row r="36" spans="5:9" x14ac:dyDescent="0.25">
      <c r="E36" s="142">
        <v>19</v>
      </c>
      <c r="F36" s="138"/>
      <c r="G36" s="139"/>
      <c r="H36" s="140"/>
      <c r="I36" s="120">
        <f>S9</f>
        <v>46.87</v>
      </c>
    </row>
    <row r="37" spans="5:9" x14ac:dyDescent="0.25">
      <c r="E37" s="142">
        <v>20</v>
      </c>
      <c r="F37" s="138"/>
      <c r="G37" s="139"/>
      <c r="H37" s="140"/>
      <c r="I37" s="120">
        <f>T9</f>
        <v>48.34</v>
      </c>
    </row>
    <row r="38" spans="5:9" x14ac:dyDescent="0.25">
      <c r="E38" s="142">
        <v>21</v>
      </c>
      <c r="F38" s="138"/>
      <c r="G38" s="139"/>
      <c r="H38" s="140"/>
      <c r="I38" s="120">
        <f>U9</f>
        <v>46.18</v>
      </c>
    </row>
    <row r="39" spans="5:9" x14ac:dyDescent="0.25">
      <c r="E39" s="142">
        <v>22</v>
      </c>
      <c r="F39" s="138"/>
      <c r="G39" s="139"/>
      <c r="H39" s="140"/>
      <c r="I39" s="120">
        <f>V9</f>
        <v>41.94</v>
      </c>
    </row>
    <row r="40" spans="5:9" ht="13.8" thickBot="1" x14ac:dyDescent="0.3">
      <c r="E40" s="145">
        <v>23</v>
      </c>
      <c r="F40" s="138"/>
      <c r="G40" s="139"/>
      <c r="H40" s="140"/>
      <c r="I40" s="136">
        <f>W9</f>
        <v>36.42</v>
      </c>
    </row>
    <row r="41" spans="5:9" ht="13.8" thickBot="1" x14ac:dyDescent="0.3">
      <c r="E41" s="146">
        <v>24</v>
      </c>
      <c r="F41" s="147"/>
      <c r="G41" s="148"/>
      <c r="H41" s="149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3.2" x14ac:dyDescent="0.25"/>
  <cols>
    <col min="5" max="5" width="12.44140625" bestFit="1" customWidth="1"/>
    <col min="6" max="6" width="16.33203125" bestFit="1" customWidth="1"/>
    <col min="7" max="7" width="26.5546875" bestFit="1" customWidth="1"/>
    <col min="9" max="9" width="25.88671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5">
      <c r="A2">
        <v>30594</v>
      </c>
      <c r="B2">
        <v>36.25</v>
      </c>
      <c r="C2">
        <v>36.75</v>
      </c>
      <c r="E2">
        <v>999643475421</v>
      </c>
      <c r="F2" s="222">
        <v>37138.739293981482</v>
      </c>
      <c r="I2" t="s">
        <v>256</v>
      </c>
      <c r="J2">
        <f>A2</f>
        <v>30594</v>
      </c>
    </row>
    <row r="3" spans="1:10" x14ac:dyDescent="0.25">
      <c r="A3">
        <v>30595</v>
      </c>
      <c r="B3" s="223" t="s">
        <v>56</v>
      </c>
      <c r="C3" s="223"/>
      <c r="F3" s="222"/>
      <c r="I3" t="s">
        <v>257</v>
      </c>
      <c r="J3">
        <f t="shared" ref="J3:J71" si="0">A3</f>
        <v>30595</v>
      </c>
    </row>
    <row r="4" spans="1:10" x14ac:dyDescent="0.25">
      <c r="F4" s="222"/>
      <c r="I4" t="s">
        <v>258</v>
      </c>
      <c r="J4">
        <f t="shared" si="0"/>
        <v>0</v>
      </c>
    </row>
    <row r="5" spans="1:10" x14ac:dyDescent="0.25">
      <c r="A5">
        <v>30600</v>
      </c>
      <c r="F5" s="222"/>
      <c r="I5" t="s">
        <v>259</v>
      </c>
      <c r="J5">
        <f t="shared" si="0"/>
        <v>30600</v>
      </c>
    </row>
    <row r="6" spans="1:10" x14ac:dyDescent="0.25">
      <c r="A6">
        <v>30599</v>
      </c>
      <c r="F6" s="222"/>
      <c r="I6" t="s">
        <v>260</v>
      </c>
      <c r="J6">
        <f t="shared" si="0"/>
        <v>30599</v>
      </c>
    </row>
    <row r="7" spans="1:10" hidden="1" x14ac:dyDescent="0.25">
      <c r="A7">
        <v>32246</v>
      </c>
      <c r="F7" s="222"/>
      <c r="I7" t="s">
        <v>57</v>
      </c>
      <c r="J7">
        <f t="shared" si="0"/>
        <v>32246</v>
      </c>
    </row>
    <row r="8" spans="1:10" hidden="1" x14ac:dyDescent="0.25">
      <c r="A8">
        <v>32254</v>
      </c>
      <c r="B8">
        <v>84.5</v>
      </c>
      <c r="C8">
        <v>88</v>
      </c>
      <c r="E8">
        <v>999037887686</v>
      </c>
      <c r="F8" s="222">
        <v>37131.730173611111</v>
      </c>
      <c r="I8" t="s">
        <v>58</v>
      </c>
      <c r="J8">
        <f t="shared" si="0"/>
        <v>32254</v>
      </c>
    </row>
    <row r="9" spans="1:10" hidden="1" x14ac:dyDescent="0.25">
      <c r="A9">
        <v>57262</v>
      </c>
      <c r="F9" s="222"/>
      <c r="I9" t="s">
        <v>59</v>
      </c>
      <c r="J9">
        <f t="shared" si="0"/>
        <v>57262</v>
      </c>
    </row>
    <row r="10" spans="1:10" hidden="1" x14ac:dyDescent="0.25">
      <c r="A10">
        <v>32253</v>
      </c>
      <c r="F10" s="222"/>
      <c r="I10" t="s">
        <v>60</v>
      </c>
      <c r="J10">
        <f t="shared" si="0"/>
        <v>32253</v>
      </c>
    </row>
    <row r="11" spans="1:10" hidden="1" x14ac:dyDescent="0.25">
      <c r="A11">
        <v>32250</v>
      </c>
      <c r="F11" s="222"/>
      <c r="I11" t="s">
        <v>61</v>
      </c>
      <c r="J11">
        <f t="shared" si="0"/>
        <v>32250</v>
      </c>
    </row>
    <row r="12" spans="1:10" hidden="1" x14ac:dyDescent="0.25">
      <c r="A12">
        <v>32251</v>
      </c>
      <c r="F12" s="222"/>
      <c r="I12" t="s">
        <v>62</v>
      </c>
      <c r="J12">
        <f t="shared" si="0"/>
        <v>32251</v>
      </c>
    </row>
    <row r="13" spans="1:10" hidden="1" x14ac:dyDescent="0.25">
      <c r="A13">
        <v>32252</v>
      </c>
      <c r="F13" s="222"/>
      <c r="I13" t="s">
        <v>63</v>
      </c>
      <c r="J13">
        <f t="shared" si="0"/>
        <v>32252</v>
      </c>
    </row>
    <row r="14" spans="1:10" hidden="1" x14ac:dyDescent="0.25">
      <c r="A14">
        <v>40679</v>
      </c>
      <c r="F14" s="222"/>
      <c r="I14" t="s">
        <v>64</v>
      </c>
      <c r="J14">
        <f t="shared" si="0"/>
        <v>40679</v>
      </c>
    </row>
    <row r="15" spans="1:10" hidden="1" x14ac:dyDescent="0.25">
      <c r="A15">
        <v>40677</v>
      </c>
      <c r="F15" s="222"/>
      <c r="I15" t="s">
        <v>65</v>
      </c>
      <c r="J15">
        <f t="shared" si="0"/>
        <v>40677</v>
      </c>
    </row>
    <row r="16" spans="1:10" hidden="1" x14ac:dyDescent="0.25">
      <c r="A16">
        <v>32248</v>
      </c>
      <c r="B16">
        <v>44.75</v>
      </c>
      <c r="C16">
        <v>46.25</v>
      </c>
      <c r="E16">
        <v>999018938085</v>
      </c>
      <c r="F16" s="222">
        <v>37131.51085648148</v>
      </c>
      <c r="I16" t="s">
        <v>66</v>
      </c>
      <c r="J16">
        <f t="shared" si="0"/>
        <v>32248</v>
      </c>
    </row>
    <row r="17" spans="1:10" hidden="1" x14ac:dyDescent="0.25">
      <c r="A17">
        <v>32256</v>
      </c>
      <c r="F17" s="222"/>
      <c r="I17" t="s">
        <v>67</v>
      </c>
      <c r="J17">
        <f t="shared" si="0"/>
        <v>32256</v>
      </c>
    </row>
    <row r="18" spans="1:10" hidden="1" x14ac:dyDescent="0.25">
      <c r="A18">
        <v>40519</v>
      </c>
      <c r="B18">
        <v>45</v>
      </c>
      <c r="C18">
        <v>46</v>
      </c>
      <c r="E18">
        <v>999029522228</v>
      </c>
      <c r="F18" s="222">
        <v>37131.633356481485</v>
      </c>
      <c r="I18" t="s">
        <v>68</v>
      </c>
      <c r="J18">
        <f t="shared" si="0"/>
        <v>40519</v>
      </c>
    </row>
    <row r="19" spans="1:10" hidden="1" x14ac:dyDescent="0.25">
      <c r="A19">
        <v>32255</v>
      </c>
      <c r="F19" s="222"/>
      <c r="I19" t="s">
        <v>69</v>
      </c>
      <c r="J19">
        <f t="shared" si="0"/>
        <v>32255</v>
      </c>
    </row>
    <row r="20" spans="1:10" x14ac:dyDescent="0.25">
      <c r="F20" s="222"/>
      <c r="I20" t="s">
        <v>70</v>
      </c>
    </row>
    <row r="21" spans="1:10" x14ac:dyDescent="0.25">
      <c r="A21">
        <v>32198</v>
      </c>
      <c r="F21" s="222"/>
      <c r="I21" t="s">
        <v>261</v>
      </c>
      <c r="J21">
        <f t="shared" si="0"/>
        <v>32198</v>
      </c>
    </row>
    <row r="22" spans="1:10" x14ac:dyDescent="0.25">
      <c r="A22">
        <v>32199</v>
      </c>
      <c r="B22">
        <v>46.75</v>
      </c>
      <c r="C22">
        <v>48.75</v>
      </c>
      <c r="E22">
        <v>999037863251</v>
      </c>
      <c r="F22" s="222">
        <v>37131.729895833334</v>
      </c>
      <c r="I22" t="s">
        <v>262</v>
      </c>
      <c r="J22">
        <f t="shared" si="0"/>
        <v>32199</v>
      </c>
    </row>
    <row r="23" spans="1:10" x14ac:dyDescent="0.25">
      <c r="B23">
        <v>46.75</v>
      </c>
      <c r="C23">
        <v>48.75</v>
      </c>
      <c r="E23">
        <v>999037878944</v>
      </c>
      <c r="F23" s="222">
        <v>37131.730069444442</v>
      </c>
      <c r="I23" t="s">
        <v>263</v>
      </c>
      <c r="J23">
        <f t="shared" si="0"/>
        <v>0</v>
      </c>
    </row>
    <row r="24" spans="1:10" x14ac:dyDescent="0.25">
      <c r="A24">
        <v>32201</v>
      </c>
      <c r="B24">
        <v>45.75</v>
      </c>
      <c r="C24">
        <v>46.75</v>
      </c>
      <c r="E24">
        <v>999034710027</v>
      </c>
      <c r="F24" s="222">
        <v>37131.693391203706</v>
      </c>
      <c r="I24" t="s">
        <v>264</v>
      </c>
      <c r="J24">
        <f t="shared" si="0"/>
        <v>32201</v>
      </c>
    </row>
    <row r="25" spans="1:10" x14ac:dyDescent="0.25">
      <c r="A25">
        <v>32202</v>
      </c>
      <c r="F25" s="222"/>
      <c r="I25" t="s">
        <v>265</v>
      </c>
      <c r="J25">
        <f t="shared" si="0"/>
        <v>32202</v>
      </c>
    </row>
    <row r="26" spans="1:10" hidden="1" x14ac:dyDescent="0.25">
      <c r="A26">
        <v>32224</v>
      </c>
      <c r="B26">
        <v>71</v>
      </c>
      <c r="C26">
        <v>73</v>
      </c>
      <c r="E26">
        <v>999037842147</v>
      </c>
      <c r="F26" s="222">
        <v>37131.72965277778</v>
      </c>
      <c r="I26" t="s">
        <v>71</v>
      </c>
      <c r="J26">
        <f t="shared" si="0"/>
        <v>32224</v>
      </c>
    </row>
    <row r="27" spans="1:10" hidden="1" x14ac:dyDescent="0.25">
      <c r="A27">
        <v>57260</v>
      </c>
      <c r="F27" s="222"/>
      <c r="I27" t="s">
        <v>72</v>
      </c>
      <c r="J27">
        <f t="shared" si="0"/>
        <v>57260</v>
      </c>
    </row>
    <row r="28" spans="1:10" hidden="1" x14ac:dyDescent="0.25">
      <c r="A28">
        <v>32223</v>
      </c>
      <c r="B28">
        <v>51.5</v>
      </c>
      <c r="C28">
        <v>53</v>
      </c>
      <c r="E28">
        <v>999037854292</v>
      </c>
      <c r="F28" s="222">
        <v>37131.729791666665</v>
      </c>
      <c r="I28" t="s">
        <v>73</v>
      </c>
      <c r="J28">
        <f t="shared" si="0"/>
        <v>32223</v>
      </c>
    </row>
    <row r="29" spans="1:10" hidden="1" x14ac:dyDescent="0.25">
      <c r="A29">
        <v>32220</v>
      </c>
      <c r="F29" s="222"/>
      <c r="I29" t="s">
        <v>74</v>
      </c>
      <c r="J29">
        <f t="shared" si="0"/>
        <v>32220</v>
      </c>
    </row>
    <row r="30" spans="1:10" hidden="1" x14ac:dyDescent="0.25">
      <c r="A30">
        <v>32221</v>
      </c>
      <c r="F30" s="222"/>
      <c r="I30" t="s">
        <v>75</v>
      </c>
      <c r="J30">
        <f t="shared" si="0"/>
        <v>32221</v>
      </c>
    </row>
    <row r="31" spans="1:10" hidden="1" x14ac:dyDescent="0.25">
      <c r="A31">
        <v>32222</v>
      </c>
      <c r="B31">
        <v>41.5</v>
      </c>
      <c r="C31">
        <v>43</v>
      </c>
      <c r="E31">
        <v>999037871481</v>
      </c>
      <c r="F31" s="222">
        <v>37131.729988425926</v>
      </c>
      <c r="I31" t="s">
        <v>76</v>
      </c>
      <c r="J31">
        <f t="shared" si="0"/>
        <v>32222</v>
      </c>
    </row>
    <row r="32" spans="1:10" hidden="1" x14ac:dyDescent="0.25">
      <c r="A32">
        <v>40657</v>
      </c>
      <c r="F32" s="222"/>
      <c r="I32" t="s">
        <v>77</v>
      </c>
      <c r="J32">
        <f t="shared" si="0"/>
        <v>40657</v>
      </c>
    </row>
    <row r="33" spans="1:10" hidden="1" x14ac:dyDescent="0.25">
      <c r="A33">
        <v>40655</v>
      </c>
      <c r="F33" s="222"/>
      <c r="I33" t="s">
        <v>78</v>
      </c>
      <c r="J33">
        <f t="shared" si="0"/>
        <v>40655</v>
      </c>
    </row>
    <row r="34" spans="1:10" hidden="1" x14ac:dyDescent="0.25">
      <c r="A34">
        <v>32218</v>
      </c>
      <c r="B34">
        <v>39.75</v>
      </c>
      <c r="C34">
        <v>40.75</v>
      </c>
      <c r="E34">
        <v>999018942738</v>
      </c>
      <c r="F34" s="222">
        <v>37131.51090277778</v>
      </c>
      <c r="I34" t="s">
        <v>79</v>
      </c>
      <c r="J34">
        <f t="shared" si="0"/>
        <v>32218</v>
      </c>
    </row>
    <row r="35" spans="1:10" hidden="1" x14ac:dyDescent="0.25">
      <c r="A35">
        <v>32226</v>
      </c>
      <c r="B35">
        <v>40.5</v>
      </c>
      <c r="C35">
        <v>42</v>
      </c>
      <c r="E35">
        <v>999032515221</v>
      </c>
      <c r="F35" s="222">
        <v>37131.667997685188</v>
      </c>
      <c r="I35" t="s">
        <v>80</v>
      </c>
      <c r="J35">
        <f t="shared" si="0"/>
        <v>32226</v>
      </c>
    </row>
    <row r="36" spans="1:10" hidden="1" x14ac:dyDescent="0.25">
      <c r="A36">
        <v>40517</v>
      </c>
      <c r="B36">
        <v>39.700000000000003</v>
      </c>
      <c r="C36">
        <v>40.200000000000003</v>
      </c>
      <c r="E36">
        <v>999029531446</v>
      </c>
      <c r="F36" s="222">
        <v>37131.633460648147</v>
      </c>
      <c r="I36" t="s">
        <v>81</v>
      </c>
      <c r="J36">
        <f t="shared" si="0"/>
        <v>40517</v>
      </c>
    </row>
    <row r="37" spans="1:10" hidden="1" x14ac:dyDescent="0.25">
      <c r="A37">
        <v>32225</v>
      </c>
      <c r="F37" s="222"/>
      <c r="I37" t="s">
        <v>82</v>
      </c>
      <c r="J37">
        <f t="shared" si="0"/>
        <v>32225</v>
      </c>
    </row>
    <row r="38" spans="1:10" x14ac:dyDescent="0.25">
      <c r="F38" s="222"/>
      <c r="I38" t="s">
        <v>70</v>
      </c>
    </row>
    <row r="39" spans="1:10" x14ac:dyDescent="0.25">
      <c r="A39">
        <v>32227</v>
      </c>
      <c r="I39" t="s">
        <v>266</v>
      </c>
      <c r="J39">
        <f t="shared" si="0"/>
        <v>32227</v>
      </c>
    </row>
    <row r="40" spans="1:10" x14ac:dyDescent="0.25">
      <c r="A40">
        <v>32228</v>
      </c>
      <c r="F40" s="222"/>
      <c r="I40" t="s">
        <v>267</v>
      </c>
      <c r="J40">
        <f t="shared" si="0"/>
        <v>32228</v>
      </c>
    </row>
    <row r="41" spans="1:10" x14ac:dyDescent="0.25">
      <c r="B41">
        <v>40.700000000000003</v>
      </c>
      <c r="C41">
        <v>41.7</v>
      </c>
      <c r="E41">
        <v>998316556327</v>
      </c>
      <c r="F41" s="222">
        <v>37123.381435185183</v>
      </c>
      <c r="I41" t="s">
        <v>268</v>
      </c>
      <c r="J41">
        <f t="shared" si="0"/>
        <v>0</v>
      </c>
    </row>
    <row r="42" spans="1:10" x14ac:dyDescent="0.25">
      <c r="A42">
        <v>32230</v>
      </c>
      <c r="B42">
        <v>38.4</v>
      </c>
      <c r="C42">
        <v>39.4</v>
      </c>
      <c r="E42">
        <v>999024586650</v>
      </c>
      <c r="F42" s="222">
        <v>37131.576226851852</v>
      </c>
      <c r="I42" t="s">
        <v>269</v>
      </c>
      <c r="J42">
        <f t="shared" si="0"/>
        <v>32230</v>
      </c>
    </row>
    <row r="43" spans="1:10" x14ac:dyDescent="0.25">
      <c r="A43">
        <v>32233</v>
      </c>
      <c r="B43">
        <v>37.5</v>
      </c>
      <c r="C43">
        <v>38</v>
      </c>
      <c r="E43">
        <v>999025820368</v>
      </c>
      <c r="F43" s="222">
        <v>37131.590509259258</v>
      </c>
      <c r="I43" t="s">
        <v>270</v>
      </c>
      <c r="J43">
        <f t="shared" si="0"/>
        <v>32233</v>
      </c>
    </row>
    <row r="44" spans="1:10" hidden="1" x14ac:dyDescent="0.25">
      <c r="A44">
        <v>30185</v>
      </c>
      <c r="I44" t="s">
        <v>83</v>
      </c>
      <c r="J44">
        <f t="shared" si="0"/>
        <v>30185</v>
      </c>
    </row>
    <row r="45" spans="1:10" hidden="1" x14ac:dyDescent="0.25">
      <c r="A45">
        <v>30194</v>
      </c>
      <c r="B45">
        <v>53.5</v>
      </c>
      <c r="C45">
        <v>54.5</v>
      </c>
      <c r="E45">
        <v>999025883769</v>
      </c>
      <c r="F45" s="222">
        <v>37131.591238425928</v>
      </c>
      <c r="I45" t="s">
        <v>84</v>
      </c>
      <c r="J45">
        <f t="shared" si="0"/>
        <v>30194</v>
      </c>
    </row>
    <row r="46" spans="1:10" hidden="1" x14ac:dyDescent="0.25">
      <c r="A46">
        <v>30193</v>
      </c>
      <c r="B46">
        <v>41.85</v>
      </c>
      <c r="C46">
        <v>42.35</v>
      </c>
      <c r="E46">
        <v>999025807313</v>
      </c>
      <c r="F46" s="222">
        <v>37131.590358796297</v>
      </c>
      <c r="I46" t="s">
        <v>85</v>
      </c>
      <c r="J46">
        <f t="shared" si="0"/>
        <v>30193</v>
      </c>
    </row>
    <row r="47" spans="1:10" hidden="1" x14ac:dyDescent="0.25">
      <c r="A47">
        <v>30189</v>
      </c>
      <c r="I47" t="s">
        <v>86</v>
      </c>
      <c r="J47">
        <f t="shared" si="0"/>
        <v>30189</v>
      </c>
    </row>
    <row r="48" spans="1:10" hidden="1" x14ac:dyDescent="0.25">
      <c r="A48">
        <v>30190</v>
      </c>
      <c r="B48">
        <v>33.799999999999997</v>
      </c>
      <c r="C48">
        <v>34.299999999999997</v>
      </c>
      <c r="E48">
        <v>999025814089</v>
      </c>
      <c r="F48" s="222">
        <v>37131.590439814812</v>
      </c>
      <c r="I48" t="s">
        <v>87</v>
      </c>
      <c r="J48">
        <f t="shared" si="0"/>
        <v>30190</v>
      </c>
    </row>
    <row r="49" spans="1:10" hidden="1" x14ac:dyDescent="0.25">
      <c r="A49">
        <v>30192</v>
      </c>
      <c r="B49">
        <v>34.15</v>
      </c>
      <c r="C49">
        <v>34.65</v>
      </c>
      <c r="E49">
        <v>999025809718</v>
      </c>
      <c r="F49" s="222">
        <v>37131.590381944443</v>
      </c>
      <c r="I49" t="s">
        <v>88</v>
      </c>
      <c r="J49">
        <f t="shared" si="0"/>
        <v>30192</v>
      </c>
    </row>
    <row r="50" spans="1:10" hidden="1" x14ac:dyDescent="0.25">
      <c r="A50">
        <v>40635</v>
      </c>
      <c r="I50" t="s">
        <v>89</v>
      </c>
      <c r="J50">
        <f t="shared" si="0"/>
        <v>40635</v>
      </c>
    </row>
    <row r="51" spans="1:10" hidden="1" x14ac:dyDescent="0.25">
      <c r="A51">
        <v>40633</v>
      </c>
      <c r="I51" t="s">
        <v>90</v>
      </c>
      <c r="J51">
        <f t="shared" si="0"/>
        <v>40633</v>
      </c>
    </row>
    <row r="52" spans="1:10" hidden="1" x14ac:dyDescent="0.25">
      <c r="A52">
        <v>30187</v>
      </c>
      <c r="B52">
        <v>33.5</v>
      </c>
      <c r="C52">
        <v>34</v>
      </c>
      <c r="E52">
        <v>999025724545</v>
      </c>
      <c r="F52" s="222">
        <v>37131.589398148149</v>
      </c>
      <c r="I52" t="s">
        <v>91</v>
      </c>
      <c r="J52">
        <f t="shared" si="0"/>
        <v>30187</v>
      </c>
    </row>
    <row r="53" spans="1:10" hidden="1" x14ac:dyDescent="0.25">
      <c r="A53">
        <v>30196</v>
      </c>
      <c r="B53">
        <v>33.200000000000003</v>
      </c>
      <c r="C53">
        <v>33.9</v>
      </c>
      <c r="E53">
        <v>999023831881</v>
      </c>
      <c r="F53" s="222">
        <v>37131.567488425928</v>
      </c>
      <c r="I53" t="s">
        <v>92</v>
      </c>
      <c r="J53">
        <f t="shared" si="0"/>
        <v>30196</v>
      </c>
    </row>
    <row r="54" spans="1:10" hidden="1" x14ac:dyDescent="0.25">
      <c r="A54">
        <v>40515</v>
      </c>
      <c r="B54">
        <v>33.700000000000003</v>
      </c>
      <c r="C54">
        <v>33.9</v>
      </c>
      <c r="E54">
        <v>999029527133</v>
      </c>
      <c r="F54" s="222">
        <v>37131.633414351854</v>
      </c>
      <c r="I54" t="s">
        <v>93</v>
      </c>
      <c r="J54">
        <f t="shared" si="0"/>
        <v>40515</v>
      </c>
    </row>
    <row r="55" spans="1:10" hidden="1" x14ac:dyDescent="0.25">
      <c r="A55">
        <v>30195</v>
      </c>
      <c r="B55">
        <v>33.5</v>
      </c>
      <c r="C55">
        <v>34</v>
      </c>
      <c r="E55">
        <v>999026503496</v>
      </c>
      <c r="F55" s="222">
        <v>37131.598414351851</v>
      </c>
      <c r="I55" t="s">
        <v>94</v>
      </c>
      <c r="J55">
        <f t="shared" si="0"/>
        <v>30195</v>
      </c>
    </row>
    <row r="56" spans="1:10" x14ac:dyDescent="0.25">
      <c r="I56" t="s">
        <v>70</v>
      </c>
    </row>
    <row r="62" spans="1:10" x14ac:dyDescent="0.25">
      <c r="A62">
        <v>48054</v>
      </c>
      <c r="I62" t="s">
        <v>95</v>
      </c>
      <c r="J62">
        <f t="shared" si="0"/>
        <v>48054</v>
      </c>
    </row>
    <row r="63" spans="1:10" x14ac:dyDescent="0.25">
      <c r="A63">
        <v>54532</v>
      </c>
      <c r="B63">
        <v>30.65</v>
      </c>
      <c r="C63">
        <v>30.95</v>
      </c>
      <c r="E63">
        <v>999037910953</v>
      </c>
      <c r="F63" s="222">
        <v>37131.730439814812</v>
      </c>
      <c r="I63" t="s">
        <v>96</v>
      </c>
      <c r="J63">
        <f t="shared" si="0"/>
        <v>54532</v>
      </c>
    </row>
    <row r="64" spans="1:10" x14ac:dyDescent="0.25">
      <c r="A64">
        <v>30045</v>
      </c>
      <c r="B64">
        <v>36.700000000000003</v>
      </c>
      <c r="C64">
        <v>37.299999999999997</v>
      </c>
      <c r="E64">
        <v>999037920530</v>
      </c>
      <c r="F64" s="222">
        <v>37131.730555555558</v>
      </c>
      <c r="I64" t="s">
        <v>97</v>
      </c>
      <c r="J64">
        <f t="shared" si="0"/>
        <v>30045</v>
      </c>
    </row>
    <row r="65" spans="1:10" x14ac:dyDescent="0.25">
      <c r="A65">
        <v>33031</v>
      </c>
      <c r="B65">
        <v>35.75</v>
      </c>
      <c r="C65">
        <v>36.35</v>
      </c>
      <c r="E65">
        <v>999037984480</v>
      </c>
      <c r="F65" s="222">
        <v>37131.731296296297</v>
      </c>
      <c r="I65" t="s">
        <v>98</v>
      </c>
      <c r="J65">
        <f t="shared" si="0"/>
        <v>33031</v>
      </c>
    </row>
    <row r="66" spans="1:10" x14ac:dyDescent="0.25">
      <c r="A66">
        <v>33032</v>
      </c>
      <c r="B66">
        <v>33.6</v>
      </c>
      <c r="C66">
        <v>34</v>
      </c>
      <c r="E66">
        <v>999037914806</v>
      </c>
      <c r="F66" s="222">
        <v>37131.730486111112</v>
      </c>
      <c r="I66" t="s">
        <v>99</v>
      </c>
      <c r="J66">
        <f t="shared" si="0"/>
        <v>33032</v>
      </c>
    </row>
    <row r="67" spans="1:10" x14ac:dyDescent="0.25">
      <c r="A67">
        <v>33033</v>
      </c>
      <c r="B67">
        <v>56.75</v>
      </c>
      <c r="C67">
        <v>58.25</v>
      </c>
      <c r="E67">
        <v>999037958501</v>
      </c>
      <c r="F67" s="222">
        <v>37131.730995370373</v>
      </c>
      <c r="I67" t="s">
        <v>100</v>
      </c>
      <c r="J67">
        <f t="shared" si="0"/>
        <v>33033</v>
      </c>
    </row>
    <row r="68" spans="1:10" x14ac:dyDescent="0.25">
      <c r="A68">
        <v>33034</v>
      </c>
      <c r="B68">
        <v>52.25</v>
      </c>
      <c r="C68">
        <v>53.25</v>
      </c>
      <c r="E68">
        <v>999037995522</v>
      </c>
      <c r="F68" s="222">
        <v>37131.731423611112</v>
      </c>
      <c r="I68" t="s">
        <v>101</v>
      </c>
      <c r="J68">
        <f t="shared" si="0"/>
        <v>33034</v>
      </c>
    </row>
    <row r="69" spans="1:10" x14ac:dyDescent="0.25">
      <c r="A69">
        <v>45311</v>
      </c>
      <c r="B69">
        <v>42.55</v>
      </c>
      <c r="C69">
        <v>43.35</v>
      </c>
      <c r="E69">
        <v>999037949615</v>
      </c>
      <c r="F69" s="222">
        <v>37131.730891203704</v>
      </c>
      <c r="I69" t="s">
        <v>102</v>
      </c>
      <c r="J69">
        <f t="shared" si="0"/>
        <v>45311</v>
      </c>
    </row>
    <row r="70" spans="1:10" x14ac:dyDescent="0.25">
      <c r="A70">
        <v>48052</v>
      </c>
      <c r="I70" t="s">
        <v>103</v>
      </c>
      <c r="J70">
        <f t="shared" si="0"/>
        <v>48052</v>
      </c>
    </row>
    <row r="71" spans="1:10" x14ac:dyDescent="0.25">
      <c r="A71">
        <v>48656</v>
      </c>
      <c r="B71">
        <v>31.4</v>
      </c>
      <c r="C71">
        <v>32</v>
      </c>
      <c r="E71">
        <v>999037937194</v>
      </c>
      <c r="F71" s="222">
        <v>37131.730752314812</v>
      </c>
      <c r="I71" t="s">
        <v>104</v>
      </c>
      <c r="J71">
        <f t="shared" si="0"/>
        <v>48656</v>
      </c>
    </row>
    <row r="72" spans="1:10" x14ac:dyDescent="0.25">
      <c r="A72">
        <v>48050</v>
      </c>
      <c r="B72">
        <v>32.65</v>
      </c>
      <c r="C72">
        <v>33.35</v>
      </c>
      <c r="E72">
        <v>999037939708</v>
      </c>
      <c r="F72" s="222">
        <v>37131.730775462966</v>
      </c>
      <c r="I72" t="s">
        <v>105</v>
      </c>
      <c r="J72">
        <f t="shared" ref="J72:J100" si="1">A72</f>
        <v>48050</v>
      </c>
    </row>
    <row r="73" spans="1:10" x14ac:dyDescent="0.25">
      <c r="A73">
        <v>54530</v>
      </c>
      <c r="I73" t="s">
        <v>106</v>
      </c>
      <c r="J73">
        <f t="shared" si="1"/>
        <v>54530</v>
      </c>
    </row>
    <row r="74" spans="1:10" x14ac:dyDescent="0.25">
      <c r="A74">
        <v>54912</v>
      </c>
      <c r="B74">
        <v>28.2</v>
      </c>
      <c r="C74">
        <v>28.5</v>
      </c>
      <c r="E74">
        <v>999032536266</v>
      </c>
      <c r="F74" s="222">
        <v>37131.668240740742</v>
      </c>
      <c r="I74" t="s">
        <v>107</v>
      </c>
      <c r="J74">
        <f t="shared" si="1"/>
        <v>54912</v>
      </c>
    </row>
    <row r="75" spans="1:10" x14ac:dyDescent="0.25">
      <c r="A75">
        <v>32890</v>
      </c>
      <c r="B75">
        <v>28.6</v>
      </c>
      <c r="C75">
        <v>28.9</v>
      </c>
      <c r="E75">
        <v>999038056580</v>
      </c>
      <c r="F75" s="222">
        <v>37131.732129629629</v>
      </c>
      <c r="I75" t="s">
        <v>108</v>
      </c>
      <c r="J75">
        <f t="shared" si="1"/>
        <v>32890</v>
      </c>
    </row>
    <row r="76" spans="1:10" x14ac:dyDescent="0.25">
      <c r="A76">
        <v>45219</v>
      </c>
      <c r="B76">
        <v>30.15</v>
      </c>
      <c r="C76">
        <v>30.75</v>
      </c>
      <c r="E76">
        <v>999037971227</v>
      </c>
      <c r="F76" s="222">
        <v>37131.731145833335</v>
      </c>
      <c r="I76" t="s">
        <v>109</v>
      </c>
      <c r="J76">
        <f t="shared" si="1"/>
        <v>45219</v>
      </c>
    </row>
    <row r="77" spans="1:10" x14ac:dyDescent="0.25">
      <c r="A77" s="224">
        <v>3942</v>
      </c>
      <c r="B77">
        <v>30.2</v>
      </c>
      <c r="C77">
        <v>30.35</v>
      </c>
      <c r="E77">
        <v>999031084250</v>
      </c>
      <c r="F77" s="222">
        <v>37131.651435185187</v>
      </c>
      <c r="I77" t="s">
        <v>110</v>
      </c>
      <c r="J77">
        <f t="shared" si="1"/>
        <v>3942</v>
      </c>
    </row>
    <row r="78" spans="1:10" x14ac:dyDescent="0.25">
      <c r="A78">
        <v>48658</v>
      </c>
      <c r="B78">
        <v>30.4</v>
      </c>
      <c r="C78">
        <v>31</v>
      </c>
      <c r="E78">
        <v>999037973998</v>
      </c>
      <c r="F78" s="222">
        <v>37131.731180555558</v>
      </c>
      <c r="I78" t="s">
        <v>111</v>
      </c>
      <c r="J78">
        <f t="shared" si="1"/>
        <v>48658</v>
      </c>
    </row>
    <row r="79" spans="1:10" x14ac:dyDescent="0.25">
      <c r="A79">
        <v>41001</v>
      </c>
      <c r="I79" t="s">
        <v>112</v>
      </c>
      <c r="J79">
        <f t="shared" si="1"/>
        <v>41001</v>
      </c>
    </row>
    <row r="80" spans="1:10" x14ac:dyDescent="0.25">
      <c r="A80">
        <v>53431</v>
      </c>
      <c r="B80">
        <v>42.5</v>
      </c>
      <c r="C80">
        <v>43.5</v>
      </c>
      <c r="E80">
        <v>999034600951</v>
      </c>
      <c r="F80" s="222">
        <v>37131.692129629628</v>
      </c>
      <c r="I80" t="s">
        <v>113</v>
      </c>
      <c r="J80">
        <f t="shared" si="1"/>
        <v>53431</v>
      </c>
    </row>
    <row r="81" spans="1:10" x14ac:dyDescent="0.25">
      <c r="A81">
        <v>55274</v>
      </c>
      <c r="B81">
        <v>31</v>
      </c>
      <c r="C81">
        <v>32</v>
      </c>
      <c r="E81">
        <v>999037987055</v>
      </c>
      <c r="F81" s="222">
        <v>37131.731319444443</v>
      </c>
      <c r="I81" t="s">
        <v>114</v>
      </c>
      <c r="J81">
        <f t="shared" si="1"/>
        <v>55274</v>
      </c>
    </row>
    <row r="82" spans="1:10" x14ac:dyDescent="0.25">
      <c r="A82">
        <v>55276</v>
      </c>
      <c r="B82">
        <v>32.25</v>
      </c>
      <c r="C82">
        <v>33.25</v>
      </c>
      <c r="E82">
        <v>999037990503</v>
      </c>
      <c r="F82" s="222">
        <v>37131.731365740743</v>
      </c>
      <c r="I82" t="s">
        <v>115</v>
      </c>
      <c r="J82">
        <f t="shared" si="1"/>
        <v>55276</v>
      </c>
    </row>
    <row r="83" spans="1:10" x14ac:dyDescent="0.25">
      <c r="A83">
        <v>55278</v>
      </c>
      <c r="B83">
        <v>30.25</v>
      </c>
      <c r="C83">
        <v>31.25</v>
      </c>
      <c r="E83">
        <v>999038000419</v>
      </c>
      <c r="F83" s="222">
        <v>37131.731481481482</v>
      </c>
      <c r="I83" t="s">
        <v>116</v>
      </c>
      <c r="J83">
        <f t="shared" si="1"/>
        <v>55278</v>
      </c>
    </row>
    <row r="84" spans="1:10" x14ac:dyDescent="0.25">
      <c r="I84" t="s">
        <v>70</v>
      </c>
    </row>
    <row r="85" spans="1:10" x14ac:dyDescent="0.25">
      <c r="I85" t="s">
        <v>117</v>
      </c>
      <c r="J85">
        <f t="shared" si="1"/>
        <v>0</v>
      </c>
    </row>
    <row r="86" spans="1:10" x14ac:dyDescent="0.25">
      <c r="A86">
        <v>40971</v>
      </c>
      <c r="I86" t="s">
        <v>118</v>
      </c>
      <c r="J86">
        <f t="shared" si="1"/>
        <v>40971</v>
      </c>
    </row>
    <row r="87" spans="1:10" x14ac:dyDescent="0.25">
      <c r="A87">
        <v>28399</v>
      </c>
      <c r="B87">
        <v>41.35</v>
      </c>
      <c r="C87">
        <v>41.65</v>
      </c>
      <c r="E87">
        <v>999013690812</v>
      </c>
      <c r="F87" s="222">
        <v>37131.450115740743</v>
      </c>
      <c r="I87" t="s">
        <v>119</v>
      </c>
      <c r="J87">
        <f t="shared" si="1"/>
        <v>28399</v>
      </c>
    </row>
    <row r="88" spans="1:10" x14ac:dyDescent="0.25">
      <c r="A88">
        <v>28400</v>
      </c>
      <c r="B88">
        <v>38.5</v>
      </c>
      <c r="C88">
        <v>40.5</v>
      </c>
      <c r="E88">
        <v>999028131303</v>
      </c>
      <c r="F88" s="222">
        <v>37131.617256944446</v>
      </c>
      <c r="I88" t="s">
        <v>120</v>
      </c>
      <c r="J88">
        <f t="shared" si="1"/>
        <v>28400</v>
      </c>
    </row>
    <row r="89" spans="1:10" x14ac:dyDescent="0.25">
      <c r="A89">
        <v>33302</v>
      </c>
      <c r="B89">
        <v>43.5</v>
      </c>
      <c r="C89">
        <v>44.5</v>
      </c>
      <c r="E89">
        <v>999025775106</v>
      </c>
      <c r="F89" s="222">
        <v>37131.589988425927</v>
      </c>
      <c r="I89" t="s">
        <v>121</v>
      </c>
      <c r="J89">
        <f t="shared" si="1"/>
        <v>33302</v>
      </c>
    </row>
    <row r="90" spans="1:10" x14ac:dyDescent="0.25">
      <c r="A90">
        <v>33303</v>
      </c>
      <c r="B90">
        <v>55.5</v>
      </c>
      <c r="C90">
        <v>57</v>
      </c>
      <c r="E90">
        <v>999028130475</v>
      </c>
      <c r="F90" s="222">
        <v>37131.617245370369</v>
      </c>
      <c r="I90" t="s">
        <v>122</v>
      </c>
      <c r="J90">
        <f t="shared" si="1"/>
        <v>33303</v>
      </c>
    </row>
    <row r="91" spans="1:10" x14ac:dyDescent="0.25">
      <c r="A91">
        <v>48664</v>
      </c>
      <c r="B91">
        <v>43.25</v>
      </c>
      <c r="C91">
        <v>44.25</v>
      </c>
      <c r="E91">
        <v>999025908211</v>
      </c>
      <c r="F91" s="222">
        <v>37131.591527777775</v>
      </c>
      <c r="I91" t="s">
        <v>123</v>
      </c>
      <c r="J91">
        <f t="shared" si="1"/>
        <v>48664</v>
      </c>
    </row>
    <row r="92" spans="1:10" x14ac:dyDescent="0.25">
      <c r="A92">
        <v>40977</v>
      </c>
      <c r="I92" t="s">
        <v>124</v>
      </c>
      <c r="J92">
        <f t="shared" si="1"/>
        <v>40977</v>
      </c>
    </row>
    <row r="93" spans="1:10" x14ac:dyDescent="0.25">
      <c r="A93">
        <v>48660</v>
      </c>
      <c r="B93">
        <v>35.75</v>
      </c>
      <c r="C93">
        <v>36.75</v>
      </c>
      <c r="E93">
        <v>999026085494</v>
      </c>
      <c r="F93" s="222">
        <v>37131.593576388892</v>
      </c>
      <c r="I93" t="s">
        <v>125</v>
      </c>
      <c r="J93">
        <f t="shared" si="1"/>
        <v>48660</v>
      </c>
    </row>
    <row r="94" spans="1:10" x14ac:dyDescent="0.25">
      <c r="A94">
        <v>48662</v>
      </c>
      <c r="B94">
        <v>36.25</v>
      </c>
      <c r="C94">
        <v>37.25</v>
      </c>
      <c r="E94">
        <v>999023573689</v>
      </c>
      <c r="F94" s="222">
        <v>37131.564502314817</v>
      </c>
      <c r="I94" t="s">
        <v>126</v>
      </c>
      <c r="J94">
        <f t="shared" si="1"/>
        <v>48662</v>
      </c>
    </row>
    <row r="95" spans="1:10" x14ac:dyDescent="0.25">
      <c r="A95">
        <v>52891</v>
      </c>
      <c r="I95" t="s">
        <v>127</v>
      </c>
      <c r="J95">
        <f t="shared" si="1"/>
        <v>52891</v>
      </c>
    </row>
    <row r="96" spans="1:10" x14ac:dyDescent="0.25">
      <c r="A96">
        <v>36471</v>
      </c>
      <c r="I96" t="s">
        <v>128</v>
      </c>
      <c r="J96">
        <f t="shared" si="1"/>
        <v>36471</v>
      </c>
    </row>
    <row r="97" spans="1:10" x14ac:dyDescent="0.25">
      <c r="A97">
        <v>33009</v>
      </c>
      <c r="B97">
        <v>38.75</v>
      </c>
      <c r="C97">
        <v>39.75</v>
      </c>
      <c r="E97">
        <v>999018173692</v>
      </c>
      <c r="F97" s="222">
        <v>37131.502002314817</v>
      </c>
      <c r="I97" t="s">
        <v>129</v>
      </c>
      <c r="J97">
        <f t="shared" si="1"/>
        <v>33009</v>
      </c>
    </row>
    <row r="98" spans="1:10" x14ac:dyDescent="0.25">
      <c r="A98">
        <v>48668</v>
      </c>
      <c r="B98">
        <v>35.25</v>
      </c>
      <c r="C98">
        <v>36.25</v>
      </c>
      <c r="E98">
        <v>999023071631</v>
      </c>
      <c r="F98" s="222">
        <v>37131.558692129627</v>
      </c>
      <c r="I98" t="s">
        <v>130</v>
      </c>
      <c r="J98">
        <f t="shared" si="1"/>
        <v>48668</v>
      </c>
    </row>
    <row r="99" spans="1:10" x14ac:dyDescent="0.25">
      <c r="A99">
        <v>36470</v>
      </c>
      <c r="B99">
        <v>39</v>
      </c>
      <c r="C99">
        <v>39.299999999999997</v>
      </c>
      <c r="E99">
        <v>999028450872</v>
      </c>
      <c r="F99" s="222">
        <v>37131.620949074073</v>
      </c>
      <c r="I99" t="s">
        <v>131</v>
      </c>
      <c r="J99">
        <f t="shared" si="1"/>
        <v>36470</v>
      </c>
    </row>
    <row r="100" spans="1:10" x14ac:dyDescent="0.25">
      <c r="A100">
        <v>48666</v>
      </c>
      <c r="B100">
        <v>35.5</v>
      </c>
      <c r="C100">
        <v>36.5</v>
      </c>
      <c r="E100">
        <v>999023074069</v>
      </c>
      <c r="F100" s="222">
        <v>37131.55872685185</v>
      </c>
      <c r="I100" t="s">
        <v>132</v>
      </c>
      <c r="J100">
        <f t="shared" si="1"/>
        <v>48666</v>
      </c>
    </row>
    <row r="102" spans="1:10" x14ac:dyDescent="0.25">
      <c r="A102">
        <v>54674</v>
      </c>
      <c r="B102">
        <v>3.0750000000000002</v>
      </c>
      <c r="C102">
        <v>3.1</v>
      </c>
      <c r="E102">
        <v>999032499123</v>
      </c>
      <c r="F102" s="222">
        <v>37131.667812500003</v>
      </c>
      <c r="I102" s="225" t="s">
        <v>133</v>
      </c>
      <c r="J102">
        <v>54674</v>
      </c>
    </row>
    <row r="103" spans="1:10" x14ac:dyDescent="0.25">
      <c r="A103">
        <v>48724</v>
      </c>
      <c r="B103">
        <v>3.14</v>
      </c>
      <c r="C103">
        <v>3.165</v>
      </c>
      <c r="E103">
        <v>999032498991</v>
      </c>
      <c r="F103" s="222">
        <v>37131.667812500003</v>
      </c>
      <c r="I103" s="225" t="s">
        <v>134</v>
      </c>
      <c r="J103">
        <v>48724</v>
      </c>
    </row>
    <row r="104" spans="1:10" x14ac:dyDescent="0.25">
      <c r="A104">
        <v>51173</v>
      </c>
      <c r="I104" s="225" t="s">
        <v>135</v>
      </c>
      <c r="J104">
        <v>51173</v>
      </c>
    </row>
    <row r="105" spans="1:10" x14ac:dyDescent="0.25">
      <c r="A105">
        <v>49617</v>
      </c>
      <c r="B105">
        <v>2.67</v>
      </c>
      <c r="C105">
        <v>2.6825000000000001</v>
      </c>
      <c r="E105">
        <v>999643430920</v>
      </c>
      <c r="F105" s="222">
        <v>37138.73878472222</v>
      </c>
      <c r="I105" s="225" t="s">
        <v>136</v>
      </c>
      <c r="J105">
        <v>49617</v>
      </c>
    </row>
    <row r="106" spans="1:10" x14ac:dyDescent="0.25">
      <c r="A106">
        <v>35353</v>
      </c>
      <c r="B106">
        <v>3.02</v>
      </c>
      <c r="C106">
        <v>3.03</v>
      </c>
      <c r="E106">
        <v>999032396871</v>
      </c>
      <c r="F106" s="222">
        <v>37131.666620370372</v>
      </c>
      <c r="I106" s="225" t="s">
        <v>137</v>
      </c>
      <c r="J106">
        <v>35353</v>
      </c>
    </row>
    <row r="107" spans="1:10" x14ac:dyDescent="0.25">
      <c r="A107">
        <v>49615</v>
      </c>
      <c r="B107">
        <v>2.355</v>
      </c>
      <c r="C107">
        <v>2.3650000000000002</v>
      </c>
      <c r="E107">
        <v>999643430541</v>
      </c>
      <c r="F107" s="222">
        <v>37138.73878472222</v>
      </c>
      <c r="I107" s="225" t="s">
        <v>138</v>
      </c>
      <c r="J107">
        <v>49615</v>
      </c>
    </row>
    <row r="108" spans="1:10" x14ac:dyDescent="0.25">
      <c r="A108">
        <v>49613</v>
      </c>
      <c r="B108">
        <v>2.3650000000000002</v>
      </c>
      <c r="C108">
        <v>2.375</v>
      </c>
      <c r="E108">
        <v>999039859488</v>
      </c>
      <c r="F108" s="222">
        <v>37131.752997685187</v>
      </c>
      <c r="I108" s="225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3.2" x14ac:dyDescent="0.25"/>
  <cols>
    <col min="1" max="1" width="16.33203125" customWidth="1"/>
    <col min="2" max="2" width="12.6640625" customWidth="1"/>
    <col min="3" max="5" width="11.109375" customWidth="1"/>
    <col min="6" max="6" width="12.6640625" style="263" customWidth="1"/>
    <col min="7" max="7" width="9" bestFit="1" customWidth="1"/>
    <col min="8" max="18" width="9.33203125" bestFit="1" customWidth="1"/>
    <col min="19" max="19" width="15" bestFit="1" customWidth="1"/>
    <col min="20" max="21" width="9.33203125" bestFit="1" customWidth="1"/>
    <col min="24" max="27" width="9.33203125" bestFit="1" customWidth="1"/>
    <col min="28" max="28" width="10.5546875" bestFit="1" customWidth="1"/>
    <col min="29" max="29" width="10.44140625" bestFit="1" customWidth="1"/>
    <col min="30" max="31" width="10.33203125" bestFit="1" customWidth="1"/>
    <col min="32" max="32" width="10.44140625" bestFit="1" customWidth="1"/>
    <col min="33" max="33" width="9.33203125" bestFit="1" customWidth="1"/>
    <col min="34" max="34" width="9.44140625" bestFit="1" customWidth="1"/>
    <col min="35" max="37" width="9.33203125" bestFit="1" customWidth="1"/>
  </cols>
  <sheetData>
    <row r="1" spans="1:37" ht="27" thickBot="1" x14ac:dyDescent="0.3">
      <c r="A1" s="226"/>
      <c r="B1" s="227" t="s">
        <v>140</v>
      </c>
      <c r="C1" s="228" t="s">
        <v>141</v>
      </c>
      <c r="D1" s="229" t="s">
        <v>142</v>
      </c>
      <c r="F1" s="227" t="s">
        <v>143</v>
      </c>
      <c r="G1" s="227" t="s">
        <v>144</v>
      </c>
      <c r="H1" s="227" t="s">
        <v>145</v>
      </c>
      <c r="I1" s="227" t="s">
        <v>146</v>
      </c>
      <c r="J1" s="227" t="s">
        <v>147</v>
      </c>
      <c r="K1" s="227" t="s">
        <v>148</v>
      </c>
      <c r="M1" s="227" t="s">
        <v>149</v>
      </c>
      <c r="N1" s="227" t="s">
        <v>150</v>
      </c>
      <c r="O1" s="227" t="s">
        <v>151</v>
      </c>
      <c r="P1" s="227" t="s">
        <v>146</v>
      </c>
      <c r="Q1" s="227" t="s">
        <v>147</v>
      </c>
      <c r="R1" s="227" t="s">
        <v>148</v>
      </c>
      <c r="W1" s="226"/>
      <c r="X1" s="227" t="s">
        <v>152</v>
      </c>
      <c r="Y1" s="227" t="s">
        <v>153</v>
      </c>
      <c r="Z1" s="227" t="s">
        <v>154</v>
      </c>
      <c r="AA1" s="227" t="s">
        <v>155</v>
      </c>
      <c r="AB1" s="227" t="s">
        <v>156</v>
      </c>
      <c r="AC1" s="227" t="s">
        <v>157</v>
      </c>
      <c r="AE1" s="226"/>
      <c r="AF1" s="227" t="s">
        <v>152</v>
      </c>
      <c r="AG1" s="227" t="s">
        <v>153</v>
      </c>
      <c r="AH1" s="227" t="s">
        <v>154</v>
      </c>
      <c r="AI1" s="227" t="s">
        <v>155</v>
      </c>
      <c r="AJ1" s="227" t="s">
        <v>156</v>
      </c>
      <c r="AK1" s="227" t="s">
        <v>157</v>
      </c>
    </row>
    <row r="2" spans="1:37" x14ac:dyDescent="0.25">
      <c r="A2" s="230" t="s">
        <v>158</v>
      </c>
      <c r="B2" s="231">
        <f>DATA!B108</f>
        <v>2.3650000000000002</v>
      </c>
      <c r="C2" s="231">
        <f>DATA!C108</f>
        <v>2.375</v>
      </c>
      <c r="D2" s="232">
        <f t="shared" ref="D2:D13" si="0">AVERAGE(B2:C2)-AC2</f>
        <v>7.5000000000000178E-2</v>
      </c>
      <c r="F2" s="233">
        <f>DATA!B77</f>
        <v>30.2</v>
      </c>
      <c r="G2" s="233">
        <f>DATA!C77</f>
        <v>30.35</v>
      </c>
      <c r="H2" s="232">
        <f t="shared" ref="H2:H13" si="1">(AVERAGE(F2:G2)-X2)</f>
        <v>-4.4965797424315994</v>
      </c>
      <c r="I2" s="234">
        <f>(F2/$B2)*1000</f>
        <v>12769.556025369979</v>
      </c>
      <c r="J2" s="234">
        <f>(G2/$C2)*1000</f>
        <v>12778.947368421052</v>
      </c>
      <c r="K2" s="235">
        <f t="shared" ref="K2:K13" si="2">AVERAGE(I2:J2)-AF2</f>
        <v>-2376.763441418907</v>
      </c>
      <c r="M2" s="233">
        <f>DATA!B99</f>
        <v>39</v>
      </c>
      <c r="N2" s="233">
        <f>DATA!C99</f>
        <v>39.299999999999997</v>
      </c>
      <c r="O2" s="232">
        <f>AVERAGE(M2:N2)-AB2</f>
        <v>-1.2842117309570042</v>
      </c>
      <c r="P2" s="234">
        <f>(M2/$B2)*1000</f>
        <v>16490.486257928118</v>
      </c>
      <c r="Q2" s="234">
        <f>(N2/$C2)*1000</f>
        <v>16547.36842105263</v>
      </c>
      <c r="R2" s="235">
        <f>AVERAGE(P2:Q2)-AJ2</f>
        <v>-1099.4655716020025</v>
      </c>
      <c r="W2" s="230" t="s">
        <v>158</v>
      </c>
      <c r="X2" s="233">
        <f>Marks!T2</f>
        <v>34.771579742431598</v>
      </c>
      <c r="Y2" s="233">
        <f>Marks!V2</f>
        <v>35.736843109130902</v>
      </c>
      <c r="Z2" s="233">
        <f>Marks!W2</f>
        <v>41.789474487304702</v>
      </c>
      <c r="AA2" s="233">
        <f>Marks!X2</f>
        <v>47.026317596435497</v>
      </c>
      <c r="AB2" s="233">
        <f>Marks!S2</f>
        <v>40.434211730957003</v>
      </c>
      <c r="AC2" s="236">
        <f>Marks!Y2</f>
        <v>2.2949999999999999</v>
      </c>
      <c r="AE2" s="230" t="s">
        <v>158</v>
      </c>
      <c r="AF2" s="234">
        <f>(X2/$AC2)*1000</f>
        <v>15151.015138314422</v>
      </c>
      <c r="AG2" s="234">
        <f t="shared" ref="AG2:AG13" si="3">(Y2/$AC2)*1000</f>
        <v>15571.60919787839</v>
      </c>
      <c r="AH2" s="234">
        <f t="shared" ref="AH2:AH13" si="4">(Z2/$AC2)*1000</f>
        <v>18208.921345230807</v>
      </c>
      <c r="AI2" s="234">
        <f t="shared" ref="AI2:AI13" si="5">(AA2/$AC2)*1000</f>
        <v>20490.77019452527</v>
      </c>
      <c r="AJ2" s="234">
        <f t="shared" ref="AJ2:AJ13" si="6">(AB2/$AC2)*1000</f>
        <v>17618.392911092375</v>
      </c>
      <c r="AK2" s="236">
        <f>Marks!AG2</f>
        <v>0</v>
      </c>
    </row>
    <row r="3" spans="1:37" x14ac:dyDescent="0.25">
      <c r="A3" s="237" t="s">
        <v>159</v>
      </c>
      <c r="B3" s="238">
        <f>DATA!B107</f>
        <v>2.355</v>
      </c>
      <c r="C3" s="238">
        <f>DATA!C107</f>
        <v>2.3650000000000002</v>
      </c>
      <c r="D3" s="239">
        <f t="shared" si="0"/>
        <v>-1.9999999999999574E-2</v>
      </c>
      <c r="F3" s="240">
        <f>DATA!B74</f>
        <v>28.2</v>
      </c>
      <c r="G3" s="240">
        <f>DATA!C74</f>
        <v>28.5</v>
      </c>
      <c r="H3" s="239">
        <f t="shared" si="1"/>
        <v>-1.2499965667724986</v>
      </c>
      <c r="I3" s="241">
        <f t="shared" ref="I3:I13" si="7">(F3/B3)*1000</f>
        <v>11974.52229299363</v>
      </c>
      <c r="J3" s="241">
        <f t="shared" ref="J3:J13" si="8">(G3/C3)*1000</f>
        <v>12050.739957716702</v>
      </c>
      <c r="K3" s="242">
        <f t="shared" si="2"/>
        <v>-424.34222202823912</v>
      </c>
      <c r="M3" s="240">
        <f>DATA!B96</f>
        <v>0</v>
      </c>
      <c r="N3" s="240">
        <f>DATA!C96</f>
        <v>0</v>
      </c>
      <c r="O3" s="239"/>
      <c r="P3" s="241"/>
      <c r="Q3" s="241"/>
      <c r="R3" s="242"/>
      <c r="W3" s="237" t="s">
        <v>159</v>
      </c>
      <c r="X3" s="240">
        <f>Marks!C3</f>
        <v>29.5999965667725</v>
      </c>
      <c r="Y3" s="240">
        <f>Marks!D3</f>
        <v>34.0999946594238</v>
      </c>
      <c r="Z3" s="240">
        <f>Marks!E3</f>
        <v>35</v>
      </c>
      <c r="AA3" s="240">
        <f>Marks!F3</f>
        <v>41.5</v>
      </c>
      <c r="AB3" s="240">
        <f>Marks!G3</f>
        <v>46.5</v>
      </c>
      <c r="AC3" s="238">
        <f>Marks!H3</f>
        <v>2.38</v>
      </c>
      <c r="AE3" s="237" t="s">
        <v>159</v>
      </c>
      <c r="AF3" s="241">
        <f t="shared" ref="AF3:AF13" si="9">(X3/$AC3)*1000</f>
        <v>12436.973347383404</v>
      </c>
      <c r="AG3" s="241">
        <f t="shared" si="3"/>
        <v>14327.728848497396</v>
      </c>
      <c r="AH3" s="241">
        <f t="shared" si="4"/>
        <v>14705.882352941178</v>
      </c>
      <c r="AI3" s="241">
        <f t="shared" si="5"/>
        <v>17436.97478991597</v>
      </c>
      <c r="AJ3" s="241">
        <f t="shared" si="6"/>
        <v>19537.81512605042</v>
      </c>
      <c r="AK3" s="238">
        <f>Marks!P3</f>
        <v>0</v>
      </c>
    </row>
    <row r="4" spans="1:37" x14ac:dyDescent="0.25">
      <c r="A4" s="243" t="s">
        <v>160</v>
      </c>
      <c r="B4" s="231">
        <f t="shared" ref="B4:C6" si="10">$AC4+$D$13</f>
        <v>2.6955999999999993</v>
      </c>
      <c r="C4" s="231">
        <f t="shared" si="10"/>
        <v>2.6955999999999993</v>
      </c>
      <c r="D4" s="244">
        <f t="shared" si="0"/>
        <v>-1.440000000000019E-2</v>
      </c>
      <c r="F4" s="233">
        <f>DATA!B75</f>
        <v>28.6</v>
      </c>
      <c r="G4" s="233">
        <f>DATA!C75</f>
        <v>28.9</v>
      </c>
      <c r="H4" s="244">
        <f t="shared" si="1"/>
        <v>-1.5333321889241667</v>
      </c>
      <c r="I4" s="234">
        <f t="shared" si="7"/>
        <v>10609.88277192462</v>
      </c>
      <c r="J4" s="234">
        <f t="shared" si="8"/>
        <v>10721.1752485532</v>
      </c>
      <c r="K4" s="245">
        <f t="shared" si="2"/>
        <v>-509.13231408735192</v>
      </c>
      <c r="M4" s="233">
        <f>DATA!B97</f>
        <v>38.75</v>
      </c>
      <c r="N4" s="233">
        <f>DATA!C97</f>
        <v>39.75</v>
      </c>
      <c r="O4" s="244">
        <f t="shared" ref="O4:O11" si="11">AVERAGE(M4:N4)-AB4</f>
        <v>-1.4094200134277344</v>
      </c>
      <c r="P4" s="234">
        <f t="shared" ref="P4:P11" si="12">(M4/$B4)*1000</f>
        <v>14375.278231191576</v>
      </c>
      <c r="Q4" s="234">
        <f t="shared" ref="Q4:Q11" si="13">(N4/$C4)*1000</f>
        <v>14746.253153286842</v>
      </c>
      <c r="R4" s="245">
        <f t="shared" ref="R4:R11" si="14">AVERAGE(P4:Q4)-AJ4</f>
        <v>-442.71032747582467</v>
      </c>
      <c r="W4" s="243" t="s">
        <v>160</v>
      </c>
      <c r="X4" s="233">
        <f>Marks!T3</f>
        <v>30.283332188924167</v>
      </c>
      <c r="Y4" s="233">
        <f>Marks!V3</f>
        <v>35</v>
      </c>
      <c r="Z4" s="233">
        <f>Marks!W3</f>
        <v>41.5</v>
      </c>
      <c r="AA4" s="233">
        <f>Marks!X3</f>
        <v>46.5</v>
      </c>
      <c r="AB4" s="233">
        <f>Marks!S3</f>
        <v>40.659420013427734</v>
      </c>
      <c r="AC4" s="231">
        <f>Marks!Y3</f>
        <v>2.7099999999999995</v>
      </c>
      <c r="AE4" s="243" t="s">
        <v>160</v>
      </c>
      <c r="AF4" s="234">
        <f t="shared" si="9"/>
        <v>11174.661324326262</v>
      </c>
      <c r="AG4" s="234">
        <f t="shared" si="3"/>
        <v>12915.129151291514</v>
      </c>
      <c r="AH4" s="234">
        <f t="shared" si="4"/>
        <v>15313.653136531368</v>
      </c>
      <c r="AI4" s="234">
        <f t="shared" si="5"/>
        <v>17158.671586715867</v>
      </c>
      <c r="AJ4" s="234">
        <f t="shared" si="6"/>
        <v>15003.476019715034</v>
      </c>
      <c r="AK4" s="231">
        <f>Marks!AG3</f>
        <v>0</v>
      </c>
    </row>
    <row r="5" spans="1:37" x14ac:dyDescent="0.25">
      <c r="A5" s="246" t="s">
        <v>161</v>
      </c>
      <c r="B5" s="238">
        <f t="shared" si="10"/>
        <v>3.1616</v>
      </c>
      <c r="C5" s="238">
        <f t="shared" si="10"/>
        <v>3.1616</v>
      </c>
      <c r="D5" s="239">
        <f t="shared" si="0"/>
        <v>-1.440000000000019E-2</v>
      </c>
      <c r="F5" s="240">
        <f>DATA!B66</f>
        <v>33.6</v>
      </c>
      <c r="G5" s="240">
        <f>DATA!C66</f>
        <v>34</v>
      </c>
      <c r="H5" s="239">
        <f t="shared" si="1"/>
        <v>-2.2000000000000028</v>
      </c>
      <c r="I5" s="241">
        <f t="shared" si="7"/>
        <v>10627.530364372471</v>
      </c>
      <c r="J5" s="241">
        <f t="shared" si="8"/>
        <v>10754.048582995951</v>
      </c>
      <c r="K5" s="242">
        <f t="shared" si="2"/>
        <v>-644.22312077422794</v>
      </c>
      <c r="M5" s="240">
        <f>DATA!B89</f>
        <v>43.5</v>
      </c>
      <c r="N5" s="240">
        <f>DATA!C89</f>
        <v>44.5</v>
      </c>
      <c r="O5" s="239">
        <f t="shared" si="11"/>
        <v>-3</v>
      </c>
      <c r="P5" s="241">
        <f t="shared" si="12"/>
        <v>13758.856275303644</v>
      </c>
      <c r="Q5" s="241">
        <f t="shared" si="13"/>
        <v>14075.15182186235</v>
      </c>
      <c r="R5" s="242">
        <f t="shared" si="14"/>
        <v>-881.48461640440837</v>
      </c>
      <c r="W5" s="246" t="s">
        <v>161</v>
      </c>
      <c r="X5" s="240">
        <f>Marks!T4</f>
        <v>36</v>
      </c>
      <c r="Y5" s="240">
        <f>Marks!V4</f>
        <v>39.25</v>
      </c>
      <c r="Z5" s="240">
        <f>Marks!W4</f>
        <v>47</v>
      </c>
      <c r="AA5" s="240">
        <f>Marks!X4</f>
        <v>56.5</v>
      </c>
      <c r="AB5" s="240">
        <f>Marks!S4</f>
        <v>47</v>
      </c>
      <c r="AC5" s="238">
        <f>Marks!Y4</f>
        <v>3.1760000000000002</v>
      </c>
      <c r="AE5" s="246" t="s">
        <v>161</v>
      </c>
      <c r="AF5" s="241">
        <f t="shared" si="9"/>
        <v>11335.012594458438</v>
      </c>
      <c r="AG5" s="241">
        <f t="shared" si="3"/>
        <v>12358.312342569268</v>
      </c>
      <c r="AH5" s="241">
        <f t="shared" si="4"/>
        <v>14798.488664987404</v>
      </c>
      <c r="AI5" s="241">
        <f t="shared" si="5"/>
        <v>17789.672544080604</v>
      </c>
      <c r="AJ5" s="241">
        <f t="shared" si="6"/>
        <v>14798.488664987404</v>
      </c>
      <c r="AK5" s="238">
        <f>Marks!AG4</f>
        <v>0</v>
      </c>
    </row>
    <row r="6" spans="1:37" x14ac:dyDescent="0.25">
      <c r="A6" s="243" t="s">
        <v>162</v>
      </c>
      <c r="B6" s="231">
        <f t="shared" si="10"/>
        <v>3.0355999999999996</v>
      </c>
      <c r="C6" s="231">
        <f t="shared" si="10"/>
        <v>3.0355999999999996</v>
      </c>
      <c r="D6" s="244">
        <f t="shared" si="0"/>
        <v>-1.440000000000019E-2</v>
      </c>
      <c r="F6" s="233">
        <f>DATA!B71</f>
        <v>31.4</v>
      </c>
      <c r="G6" s="233">
        <f>DATA!C71</f>
        <v>32</v>
      </c>
      <c r="H6" s="244">
        <f t="shared" si="1"/>
        <v>-0.30000000000000071</v>
      </c>
      <c r="I6" s="234">
        <f t="shared" si="7"/>
        <v>10343.918829885361</v>
      </c>
      <c r="J6" s="234">
        <f t="shared" si="8"/>
        <v>10541.573329819475</v>
      </c>
      <c r="K6" s="245">
        <f t="shared" si="2"/>
        <v>-49.057198836106181</v>
      </c>
      <c r="M6" s="233">
        <f>DATA!B93</f>
        <v>35.75</v>
      </c>
      <c r="N6" s="233">
        <f>DATA!C93</f>
        <v>36.75</v>
      </c>
      <c r="O6" s="244">
        <f t="shared" si="11"/>
        <v>-1</v>
      </c>
      <c r="P6" s="234">
        <f t="shared" si="12"/>
        <v>11776.913954407697</v>
      </c>
      <c r="Q6" s="234">
        <f t="shared" si="13"/>
        <v>12106.338120964554</v>
      </c>
      <c r="R6" s="245">
        <f t="shared" si="14"/>
        <v>-271.48871641223741</v>
      </c>
      <c r="W6" s="243" t="s">
        <v>162</v>
      </c>
      <c r="X6" s="233">
        <f>Marks!T5</f>
        <v>32</v>
      </c>
      <c r="Y6" s="233">
        <f>Marks!V5</f>
        <v>34.75</v>
      </c>
      <c r="Z6" s="233">
        <f>Marks!W5</f>
        <v>41.5</v>
      </c>
      <c r="AA6" s="233">
        <f>Marks!X5</f>
        <v>44</v>
      </c>
      <c r="AB6" s="233">
        <f>Marks!S5</f>
        <v>37.25</v>
      </c>
      <c r="AC6" s="231">
        <f>Marks!Y5</f>
        <v>3.05</v>
      </c>
      <c r="AE6" s="243" t="s">
        <v>162</v>
      </c>
      <c r="AF6" s="234">
        <f t="shared" si="9"/>
        <v>10491.803278688525</v>
      </c>
      <c r="AG6" s="234">
        <f t="shared" si="3"/>
        <v>11393.442622950821</v>
      </c>
      <c r="AH6" s="234">
        <f t="shared" si="4"/>
        <v>13606.557377049181</v>
      </c>
      <c r="AI6" s="234">
        <f t="shared" si="5"/>
        <v>14426.229508196722</v>
      </c>
      <c r="AJ6" s="234">
        <f t="shared" si="6"/>
        <v>12213.114754098362</v>
      </c>
      <c r="AK6" s="231">
        <f>Marks!AG5</f>
        <v>0</v>
      </c>
    </row>
    <row r="7" spans="1:37" x14ac:dyDescent="0.25">
      <c r="A7" s="237" t="s">
        <v>163</v>
      </c>
      <c r="B7" s="238">
        <f t="shared" ref="B7:C11" si="15">$AC7+$D$12</f>
        <v>3.012833333333333</v>
      </c>
      <c r="C7" s="247">
        <f t="shared" si="15"/>
        <v>3.012833333333333</v>
      </c>
      <c r="D7" s="239">
        <f t="shared" si="0"/>
        <v>-1.2166666666666881E-2</v>
      </c>
      <c r="F7" s="240">
        <f>DATA!B72</f>
        <v>32.65</v>
      </c>
      <c r="G7" s="240">
        <f>DATA!C72</f>
        <v>33.35</v>
      </c>
      <c r="H7" s="239">
        <f t="shared" si="1"/>
        <v>-1</v>
      </c>
      <c r="I7" s="241">
        <f t="shared" si="7"/>
        <v>10836.975161807823</v>
      </c>
      <c r="J7" s="241">
        <f t="shared" si="8"/>
        <v>11069.314598661284</v>
      </c>
      <c r="K7" s="242">
        <f t="shared" si="2"/>
        <v>-286.52454125304939</v>
      </c>
      <c r="M7" s="240">
        <f>DATA!B94</f>
        <v>36.25</v>
      </c>
      <c r="N7" s="240">
        <f>DATA!C94</f>
        <v>37.25</v>
      </c>
      <c r="O7" s="239">
        <f t="shared" si="11"/>
        <v>-1.25</v>
      </c>
      <c r="P7" s="241">
        <f t="shared" si="12"/>
        <v>12031.863694197047</v>
      </c>
      <c r="Q7" s="241">
        <f t="shared" si="13"/>
        <v>12363.777175416277</v>
      </c>
      <c r="R7" s="242">
        <f t="shared" si="14"/>
        <v>-364.1630362677206</v>
      </c>
      <c r="W7" s="237" t="s">
        <v>163</v>
      </c>
      <c r="X7" s="240">
        <f>Marks!T6</f>
        <v>34</v>
      </c>
      <c r="Y7" s="240">
        <f>Marks!V6</f>
        <v>36</v>
      </c>
      <c r="Z7" s="240">
        <f>Marks!W6</f>
        <v>43</v>
      </c>
      <c r="AA7" s="240">
        <f>Marks!X6</f>
        <v>49.5</v>
      </c>
      <c r="AB7" s="240">
        <f>Marks!S6</f>
        <v>38</v>
      </c>
      <c r="AC7" s="238">
        <f>Marks!Y6</f>
        <v>3.0249999999999999</v>
      </c>
      <c r="AE7" s="237" t="s">
        <v>163</v>
      </c>
      <c r="AF7" s="241">
        <f t="shared" si="9"/>
        <v>11239.669421487602</v>
      </c>
      <c r="AG7" s="241">
        <f t="shared" si="3"/>
        <v>11900.826446280993</v>
      </c>
      <c r="AH7" s="241">
        <f t="shared" si="4"/>
        <v>14214.876033057852</v>
      </c>
      <c r="AI7" s="241">
        <f t="shared" si="5"/>
        <v>16363.636363636364</v>
      </c>
      <c r="AJ7" s="241">
        <f t="shared" si="6"/>
        <v>12561.983471074382</v>
      </c>
      <c r="AK7" s="238">
        <f>Marks!AG6</f>
        <v>0</v>
      </c>
    </row>
    <row r="8" spans="1:37" x14ac:dyDescent="0.25">
      <c r="A8" s="248" t="s">
        <v>164</v>
      </c>
      <c r="B8" s="231">
        <f t="shared" si="15"/>
        <v>3.0528333333333331</v>
      </c>
      <c r="C8" s="249">
        <f t="shared" si="15"/>
        <v>3.0528333333333331</v>
      </c>
      <c r="D8" s="244">
        <f t="shared" si="0"/>
        <v>-1.2166666666666881E-2</v>
      </c>
      <c r="F8" s="233">
        <f>DATA!B69</f>
        <v>42.55</v>
      </c>
      <c r="G8" s="233">
        <f>DATA!C69</f>
        <v>43.35</v>
      </c>
      <c r="H8" s="244">
        <f t="shared" si="1"/>
        <v>-1.5499999999999972</v>
      </c>
      <c r="I8" s="234">
        <f t="shared" si="7"/>
        <v>13937.871922258011</v>
      </c>
      <c r="J8" s="234">
        <f t="shared" si="8"/>
        <v>14199.923568269915</v>
      </c>
      <c r="K8" s="245">
        <f t="shared" si="2"/>
        <v>-449.86245049460194</v>
      </c>
      <c r="M8" s="233">
        <f>DATA!B91</f>
        <v>43.25</v>
      </c>
      <c r="N8" s="233">
        <f>DATA!C91</f>
        <v>44.25</v>
      </c>
      <c r="O8" s="244">
        <f t="shared" si="11"/>
        <v>-2</v>
      </c>
      <c r="P8" s="234">
        <f t="shared" si="12"/>
        <v>14167.167112518428</v>
      </c>
      <c r="Q8" s="234">
        <f t="shared" si="13"/>
        <v>14494.731670033303</v>
      </c>
      <c r="R8" s="245">
        <f t="shared" si="14"/>
        <v>-595.64114706018518</v>
      </c>
      <c r="W8" s="248" t="s">
        <v>164</v>
      </c>
      <c r="X8" s="233">
        <f>Marks!T7</f>
        <v>44.5</v>
      </c>
      <c r="Y8" s="233">
        <f>Marks!V7</f>
        <v>43.5</v>
      </c>
      <c r="Z8" s="233">
        <f>Marks!W7</f>
        <v>52</v>
      </c>
      <c r="AA8" s="233">
        <f>Marks!X7</f>
        <v>58.5</v>
      </c>
      <c r="AB8" s="233">
        <f>Marks!S7</f>
        <v>45.75</v>
      </c>
      <c r="AC8" s="231">
        <f>Marks!Y7</f>
        <v>3.0649999999999999</v>
      </c>
      <c r="AE8" s="248" t="s">
        <v>164</v>
      </c>
      <c r="AF8" s="234">
        <f t="shared" si="9"/>
        <v>14518.760195758565</v>
      </c>
      <c r="AG8" s="234">
        <f t="shared" si="3"/>
        <v>14192.495921696574</v>
      </c>
      <c r="AH8" s="234">
        <f t="shared" si="4"/>
        <v>16965.742251223492</v>
      </c>
      <c r="AI8" s="234">
        <f t="shared" si="5"/>
        <v>19086.460032626426</v>
      </c>
      <c r="AJ8" s="234">
        <f t="shared" si="6"/>
        <v>14926.590538336051</v>
      </c>
      <c r="AK8" s="231">
        <f>Marks!AG7</f>
        <v>0</v>
      </c>
    </row>
    <row r="9" spans="1:37" x14ac:dyDescent="0.25">
      <c r="A9" s="246" t="s">
        <v>165</v>
      </c>
      <c r="B9" s="238">
        <f t="shared" si="15"/>
        <v>3.1233333333333331</v>
      </c>
      <c r="C9" s="247">
        <f t="shared" si="15"/>
        <v>3.1233333333333331</v>
      </c>
      <c r="D9" s="239">
        <f t="shared" si="0"/>
        <v>-1.2166666666666881E-2</v>
      </c>
      <c r="F9" s="240">
        <f>DATA!B67</f>
        <v>56.75</v>
      </c>
      <c r="G9" s="240">
        <f>DATA!C67</f>
        <v>58.25</v>
      </c>
      <c r="H9" s="239">
        <f t="shared" si="1"/>
        <v>-3.25</v>
      </c>
      <c r="I9" s="241">
        <f t="shared" si="7"/>
        <v>18169.690501600853</v>
      </c>
      <c r="J9" s="241">
        <f t="shared" si="8"/>
        <v>18649.946638207046</v>
      </c>
      <c r="K9" s="242">
        <f t="shared" si="2"/>
        <v>-965.0817649708697</v>
      </c>
      <c r="M9" s="240">
        <f>DATA!B90</f>
        <v>55.5</v>
      </c>
      <c r="N9" s="240">
        <f>DATA!C90</f>
        <v>57</v>
      </c>
      <c r="O9" s="239">
        <f t="shared" si="11"/>
        <v>-2.75</v>
      </c>
      <c r="P9" s="241">
        <f t="shared" si="12"/>
        <v>17769.47705442903</v>
      </c>
      <c r="Q9" s="241">
        <f t="shared" si="13"/>
        <v>18249.733191035219</v>
      </c>
      <c r="R9" s="242">
        <f t="shared" si="14"/>
        <v>-807.17051113807611</v>
      </c>
      <c r="W9" s="246" t="s">
        <v>165</v>
      </c>
      <c r="X9" s="240">
        <f>Marks!T8</f>
        <v>60.75</v>
      </c>
      <c r="Y9" s="240">
        <f>Marks!V8</f>
        <v>57.25</v>
      </c>
      <c r="Z9" s="240">
        <f>Marks!W8</f>
        <v>74.5</v>
      </c>
      <c r="AA9" s="240">
        <f>Marks!X8</f>
        <v>85.5</v>
      </c>
      <c r="AB9" s="240">
        <f>Marks!S8</f>
        <v>59</v>
      </c>
      <c r="AC9" s="238">
        <f>Marks!Y8</f>
        <v>3.1355</v>
      </c>
      <c r="AE9" s="246" t="s">
        <v>165</v>
      </c>
      <c r="AF9" s="241">
        <f t="shared" si="9"/>
        <v>19374.900334874819</v>
      </c>
      <c r="AG9" s="241">
        <f t="shared" si="3"/>
        <v>18258.65093286557</v>
      </c>
      <c r="AH9" s="241">
        <f t="shared" si="4"/>
        <v>23760.1658427683</v>
      </c>
      <c r="AI9" s="241">
        <f t="shared" si="5"/>
        <v>27268.378249083082</v>
      </c>
      <c r="AJ9" s="241">
        <f t="shared" si="6"/>
        <v>18816.775633870198</v>
      </c>
      <c r="AK9" s="238">
        <f>Marks!AG8</f>
        <v>0</v>
      </c>
    </row>
    <row r="10" spans="1:37" x14ac:dyDescent="0.25">
      <c r="A10" s="248" t="s">
        <v>166</v>
      </c>
      <c r="B10" s="231">
        <f t="shared" si="15"/>
        <v>3.1468333333333329</v>
      </c>
      <c r="C10" s="249">
        <f t="shared" si="15"/>
        <v>3.1468333333333329</v>
      </c>
      <c r="D10" s="244">
        <f t="shared" si="0"/>
        <v>-1.2166666666666881E-2</v>
      </c>
      <c r="F10" s="233">
        <f>DATA!B78</f>
        <v>30.4</v>
      </c>
      <c r="G10" s="233">
        <f>DATA!C78</f>
        <v>31</v>
      </c>
      <c r="H10" s="244">
        <f t="shared" si="1"/>
        <v>-1.3000000000000007</v>
      </c>
      <c r="I10" s="234">
        <f t="shared" si="7"/>
        <v>9660.5052698479976</v>
      </c>
      <c r="J10" s="234">
        <f t="shared" si="8"/>
        <v>9851.1731370160487</v>
      </c>
      <c r="K10" s="245">
        <f t="shared" si="2"/>
        <v>-373.94870413366152</v>
      </c>
      <c r="M10" s="233">
        <f>DATA!B100</f>
        <v>35.5</v>
      </c>
      <c r="N10" s="233">
        <f>DATA!C100</f>
        <v>36.5</v>
      </c>
      <c r="O10" s="244">
        <f t="shared" si="11"/>
        <v>-1.75</v>
      </c>
      <c r="P10" s="234">
        <f t="shared" si="12"/>
        <v>11281.182140776444</v>
      </c>
      <c r="Q10" s="234">
        <f t="shared" si="13"/>
        <v>11598.961919389865</v>
      </c>
      <c r="R10" s="245">
        <f t="shared" si="14"/>
        <v>-509.91214212324121</v>
      </c>
      <c r="W10" s="248" t="s">
        <v>166</v>
      </c>
      <c r="X10" s="233">
        <f>Marks!T10</f>
        <v>32</v>
      </c>
      <c r="Y10" s="233">
        <f>Marks!V10</f>
        <v>35</v>
      </c>
      <c r="Z10" s="233">
        <f>Marks!W10</f>
        <v>41</v>
      </c>
      <c r="AA10" s="233">
        <f>Marks!X10</f>
        <v>48.5</v>
      </c>
      <c r="AB10" s="233">
        <f>Marks!S10</f>
        <v>37.75</v>
      </c>
      <c r="AC10" s="231">
        <f>Marks!Y10</f>
        <v>3.1589999999999998</v>
      </c>
      <c r="AE10" s="248" t="s">
        <v>166</v>
      </c>
      <c r="AF10" s="234">
        <f t="shared" si="9"/>
        <v>10129.787907565686</v>
      </c>
      <c r="AG10" s="234">
        <f t="shared" si="3"/>
        <v>11079.455523899969</v>
      </c>
      <c r="AH10" s="234">
        <f t="shared" si="4"/>
        <v>12978.790756568536</v>
      </c>
      <c r="AI10" s="234">
        <f t="shared" si="5"/>
        <v>15352.959797404243</v>
      </c>
      <c r="AJ10" s="234">
        <f t="shared" si="6"/>
        <v>11949.984172206396</v>
      </c>
      <c r="AK10" s="231">
        <f>Marks!AG10</f>
        <v>0</v>
      </c>
    </row>
    <row r="11" spans="1:37" ht="13.8" thickBot="1" x14ac:dyDescent="0.3">
      <c r="A11" s="246" t="s">
        <v>167</v>
      </c>
      <c r="B11" s="238">
        <f t="shared" si="15"/>
        <v>3.3224999999999998</v>
      </c>
      <c r="C11" s="247">
        <f t="shared" si="15"/>
        <v>3.3224999999999998</v>
      </c>
      <c r="D11" s="250">
        <f t="shared" si="0"/>
        <v>-1.2166666666666881E-2</v>
      </c>
      <c r="F11" s="240">
        <f>DATA!B76</f>
        <v>30.15</v>
      </c>
      <c r="G11" s="240">
        <f>DATA!C76</f>
        <v>30.75</v>
      </c>
      <c r="H11" s="250">
        <f t="shared" si="1"/>
        <v>-1.3000000000000007</v>
      </c>
      <c r="I11" s="241">
        <f t="shared" si="7"/>
        <v>9074.4920993228006</v>
      </c>
      <c r="J11" s="241">
        <f t="shared" si="8"/>
        <v>9255.0790067720081</v>
      </c>
      <c r="K11" s="251">
        <f t="shared" si="2"/>
        <v>-356.40597034323946</v>
      </c>
      <c r="M11" s="240">
        <f>DATA!B98</f>
        <v>35.25</v>
      </c>
      <c r="N11" s="240">
        <f>DATA!C98</f>
        <v>36.25</v>
      </c>
      <c r="O11" s="250">
        <f t="shared" si="11"/>
        <v>-0.6666666666666643</v>
      </c>
      <c r="P11" s="241">
        <f t="shared" si="12"/>
        <v>10609.480812641084</v>
      </c>
      <c r="Q11" s="241">
        <f t="shared" si="13"/>
        <v>10910.458991723101</v>
      </c>
      <c r="R11" s="251">
        <f t="shared" si="14"/>
        <v>-160.66184511898609</v>
      </c>
      <c r="W11" s="246" t="s">
        <v>167</v>
      </c>
      <c r="X11" s="240">
        <f>Marks!T11</f>
        <v>31.75</v>
      </c>
      <c r="Y11" s="240">
        <f>Marks!V11</f>
        <v>34.999997711181599</v>
      </c>
      <c r="Z11" s="240">
        <f>Marks!W11</f>
        <v>41.5</v>
      </c>
      <c r="AA11" s="240">
        <f>Marks!X11</f>
        <v>48</v>
      </c>
      <c r="AB11" s="240">
        <f>Marks!S11</f>
        <v>36.416666666666664</v>
      </c>
      <c r="AC11" s="238">
        <f>Marks!Y11</f>
        <v>3.3346666666666667</v>
      </c>
      <c r="AE11" s="246" t="s">
        <v>167</v>
      </c>
      <c r="AF11" s="241">
        <f t="shared" si="9"/>
        <v>9521.1915233906439</v>
      </c>
      <c r="AG11" s="241">
        <f t="shared" si="3"/>
        <v>10495.800992957298</v>
      </c>
      <c r="AH11" s="241">
        <f t="shared" si="4"/>
        <v>12445.021991203517</v>
      </c>
      <c r="AI11" s="241">
        <f t="shared" si="5"/>
        <v>14394.242303078767</v>
      </c>
      <c r="AJ11" s="241">
        <f t="shared" si="6"/>
        <v>10920.631747301079</v>
      </c>
      <c r="AK11" s="238">
        <f>Marks!AG11</f>
        <v>0</v>
      </c>
    </row>
    <row r="12" spans="1:37" ht="13.8" thickBot="1" x14ac:dyDescent="0.3">
      <c r="A12" s="252" t="s">
        <v>168</v>
      </c>
      <c r="B12" s="253">
        <f>DATA!B103</f>
        <v>3.14</v>
      </c>
      <c r="C12" s="253">
        <f>DATA!C103</f>
        <v>3.165</v>
      </c>
      <c r="D12" s="254">
        <f t="shared" si="0"/>
        <v>-1.2166666666666881E-2</v>
      </c>
      <c r="F12" s="253">
        <f>DATA!B64</f>
        <v>36.700000000000003</v>
      </c>
      <c r="G12" s="253">
        <f>DATA!C64</f>
        <v>37.299999999999997</v>
      </c>
      <c r="H12" s="255">
        <f t="shared" si="1"/>
        <v>-1.6041666666666643</v>
      </c>
      <c r="I12" s="256">
        <f t="shared" si="7"/>
        <v>11687.898089171975</v>
      </c>
      <c r="J12" s="256">
        <f t="shared" si="8"/>
        <v>11785.150078988941</v>
      </c>
      <c r="K12" s="257">
        <f t="shared" si="2"/>
        <v>-461.9697014683079</v>
      </c>
      <c r="M12" s="253">
        <f>DATA!B87</f>
        <v>41.35</v>
      </c>
      <c r="N12" s="253">
        <f>DATA!C87</f>
        <v>41.65</v>
      </c>
      <c r="O12" s="255"/>
      <c r="P12" s="256"/>
      <c r="Q12" s="256"/>
      <c r="R12" s="257"/>
      <c r="W12" s="252" t="s">
        <v>168</v>
      </c>
      <c r="X12" s="253">
        <f>Marks!T9</f>
        <v>38.604166666666664</v>
      </c>
      <c r="Y12" s="253">
        <f>Marks!V9</f>
        <v>40.166666094462066</v>
      </c>
      <c r="Z12" s="253">
        <f>Marks!W9</f>
        <v>48.875</v>
      </c>
      <c r="AA12" s="253">
        <f>Marks!X9</f>
        <v>56.041666666666664</v>
      </c>
      <c r="AB12" s="253">
        <f>Marks!S9</f>
        <v>43.104166666666664</v>
      </c>
      <c r="AC12" s="258">
        <f>Marks!Y9</f>
        <v>3.1646666666666667</v>
      </c>
      <c r="AE12" s="252" t="s">
        <v>168</v>
      </c>
      <c r="AF12" s="256">
        <f t="shared" si="9"/>
        <v>12198.493785548766</v>
      </c>
      <c r="AG12" s="256">
        <f t="shared" si="3"/>
        <v>12692.226488665072</v>
      </c>
      <c r="AH12" s="256">
        <f t="shared" si="4"/>
        <v>15443.964609226879</v>
      </c>
      <c r="AI12" s="256">
        <f t="shared" si="5"/>
        <v>17708.552770170634</v>
      </c>
      <c r="AJ12" s="256">
        <f t="shared" si="6"/>
        <v>13620.444491257635</v>
      </c>
      <c r="AK12" s="258">
        <f>Marks!AG9</f>
        <v>0</v>
      </c>
    </row>
    <row r="13" spans="1:37" ht="13.8" thickBot="1" x14ac:dyDescent="0.3">
      <c r="A13" s="259" t="s">
        <v>169</v>
      </c>
      <c r="B13" s="260">
        <f>DATA!B106</f>
        <v>3.02</v>
      </c>
      <c r="C13" s="260">
        <f>DATA!C106</f>
        <v>3.03</v>
      </c>
      <c r="D13" s="254">
        <f t="shared" si="0"/>
        <v>-1.440000000000019E-2</v>
      </c>
      <c r="F13" s="260">
        <f>Marks!T34</f>
        <v>33.15</v>
      </c>
      <c r="G13" s="260">
        <f>Marks!T34</f>
        <v>33.15</v>
      </c>
      <c r="H13" s="255">
        <f t="shared" si="1"/>
        <v>0</v>
      </c>
      <c r="I13" s="261">
        <f t="shared" si="7"/>
        <v>10976.821192052979</v>
      </c>
      <c r="J13" s="261">
        <f t="shared" si="8"/>
        <v>10940.594059405941</v>
      </c>
      <c r="K13" s="257">
        <f t="shared" si="2"/>
        <v>51.949712983525387</v>
      </c>
      <c r="M13" s="260"/>
      <c r="N13" s="260"/>
      <c r="O13" s="255"/>
      <c r="P13" s="261"/>
      <c r="Q13" s="261"/>
      <c r="R13" s="257"/>
      <c r="W13" s="259" t="s">
        <v>169</v>
      </c>
      <c r="X13" s="260">
        <f>Marks!T34</f>
        <v>33.15</v>
      </c>
      <c r="Y13" s="260">
        <f>Marks!V34</f>
        <v>36.65</v>
      </c>
      <c r="Z13" s="260">
        <f>Marks!W34</f>
        <v>43.8</v>
      </c>
      <c r="AA13" s="260">
        <f>Marks!X34</f>
        <v>50</v>
      </c>
      <c r="AB13" s="260">
        <f>Marks!S34</f>
        <v>42.85</v>
      </c>
      <c r="AC13" s="262">
        <f>Marks!Y34</f>
        <v>3.0394000000000001</v>
      </c>
      <c r="AE13" s="259" t="s">
        <v>169</v>
      </c>
      <c r="AF13" s="261">
        <f t="shared" si="9"/>
        <v>10906.757912745936</v>
      </c>
      <c r="AG13" s="261">
        <f t="shared" si="3"/>
        <v>12058.300980456668</v>
      </c>
      <c r="AH13" s="261">
        <f t="shared" si="4"/>
        <v>14410.738961637164</v>
      </c>
      <c r="AI13" s="261">
        <f t="shared" si="5"/>
        <v>16450.615253010463</v>
      </c>
      <c r="AJ13" s="261">
        <f t="shared" si="6"/>
        <v>14098.177271829967</v>
      </c>
      <c r="AK13" s="262">
        <f>Marks!AG34</f>
        <v>0</v>
      </c>
    </row>
    <row r="14" spans="1:37" ht="13.8" thickBot="1" x14ac:dyDescent="0.3"/>
    <row r="15" spans="1:37" ht="27" thickBot="1" x14ac:dyDescent="0.3">
      <c r="A15" s="226"/>
      <c r="B15" s="227" t="s">
        <v>170</v>
      </c>
      <c r="C15" s="227" t="s">
        <v>171</v>
      </c>
      <c r="D15" s="227" t="s">
        <v>172</v>
      </c>
      <c r="E15" s="227" t="s">
        <v>146</v>
      </c>
      <c r="F15" s="227" t="s">
        <v>147</v>
      </c>
      <c r="G15" s="227" t="s">
        <v>148</v>
      </c>
      <c r="I15" s="227" t="s">
        <v>173</v>
      </c>
      <c r="J15" s="227" t="s">
        <v>174</v>
      </c>
      <c r="K15" s="227" t="s">
        <v>175</v>
      </c>
      <c r="L15" s="227" t="s">
        <v>146</v>
      </c>
      <c r="M15" s="227" t="s">
        <v>147</v>
      </c>
      <c r="N15" s="227" t="s">
        <v>148</v>
      </c>
      <c r="P15" s="227" t="s">
        <v>176</v>
      </c>
      <c r="Q15" s="227" t="s">
        <v>177</v>
      </c>
      <c r="R15" s="227" t="s">
        <v>178</v>
      </c>
      <c r="S15" s="227" t="s">
        <v>146</v>
      </c>
      <c r="T15" s="227" t="s">
        <v>147</v>
      </c>
      <c r="U15" s="227" t="s">
        <v>148</v>
      </c>
    </row>
    <row r="16" spans="1:37" x14ac:dyDescent="0.25">
      <c r="A16" s="264" t="s">
        <v>179</v>
      </c>
      <c r="B16" s="233">
        <f>+DATA!B2</f>
        <v>36.25</v>
      </c>
      <c r="C16" s="233">
        <f>DATA!C54</f>
        <v>33.9</v>
      </c>
      <c r="D16" s="232">
        <f>AVERAGE(B16:C16)-$Y2</f>
        <v>-0.66184310913089917</v>
      </c>
      <c r="E16" s="234">
        <f>(B16/$B2)*1000</f>
        <v>15327.695560253698</v>
      </c>
      <c r="F16" s="234">
        <f>(C16/$C2)*1000</f>
        <v>14273.684210526315</v>
      </c>
      <c r="G16" s="235">
        <f>AVERAGE(E16:F16)-AG2</f>
        <v>-770.91931248838409</v>
      </c>
      <c r="I16" s="233">
        <f>DATA!B36</f>
        <v>39.700000000000003</v>
      </c>
      <c r="J16" s="233">
        <f>DATA!C36</f>
        <v>40.200000000000003</v>
      </c>
      <c r="K16" s="232">
        <f>AVERAGE(I16:J16)-$Z2</f>
        <v>-1.8394744873046989</v>
      </c>
      <c r="L16" s="234">
        <f>(I16/$B2)*1000</f>
        <v>16786.469344608879</v>
      </c>
      <c r="M16" s="234">
        <f>(J16/$C2)*1000</f>
        <v>16926.315789473687</v>
      </c>
      <c r="N16" s="235">
        <f>AVERAGE(L16:M16)-AH2</f>
        <v>-1352.528778189524</v>
      </c>
      <c r="P16" s="233">
        <f>DATA!B18</f>
        <v>45</v>
      </c>
      <c r="Q16" s="233">
        <f>DATA!C18</f>
        <v>46</v>
      </c>
      <c r="R16" s="232">
        <f>AVERAGE(P16:Q16)-$AA2</f>
        <v>-1.5263175964354971</v>
      </c>
      <c r="S16" s="234">
        <f>(P16/$B2)*1000</f>
        <v>19027.484143763209</v>
      </c>
      <c r="T16" s="234">
        <f>(Q16/$C2)*1000</f>
        <v>19368.42105263158</v>
      </c>
      <c r="U16" s="235">
        <f>AVERAGE(S16:T16)-AI2</f>
        <v>-1292.8175963278773</v>
      </c>
    </row>
    <row r="17" spans="1:21" x14ac:dyDescent="0.25">
      <c r="A17" s="246" t="s">
        <v>180</v>
      </c>
      <c r="B17" s="240">
        <f>DATA!B51</f>
        <v>0</v>
      </c>
      <c r="C17" s="240">
        <f>DATA!C51</f>
        <v>0</v>
      </c>
      <c r="D17" s="239"/>
      <c r="E17" s="241"/>
      <c r="F17" s="241"/>
      <c r="G17" s="242"/>
      <c r="I17" s="240"/>
      <c r="J17" s="240"/>
      <c r="K17" s="239"/>
      <c r="L17" s="241"/>
      <c r="M17" s="241"/>
      <c r="N17" s="242"/>
      <c r="P17" s="240">
        <f>DATA!B15</f>
        <v>0</v>
      </c>
      <c r="Q17" s="240">
        <f>DATA!C15</f>
        <v>0</v>
      </c>
      <c r="R17" s="239"/>
      <c r="S17" s="241"/>
      <c r="T17" s="241"/>
      <c r="U17" s="242"/>
    </row>
    <row r="18" spans="1:21" x14ac:dyDescent="0.25">
      <c r="A18" s="243" t="s">
        <v>181</v>
      </c>
      <c r="B18" s="233">
        <f>DATA!B52</f>
        <v>33.5</v>
      </c>
      <c r="C18" s="233">
        <f>DATA!C52</f>
        <v>34</v>
      </c>
      <c r="D18" s="244">
        <f t="shared" ref="D18:D26" si="16">AVERAGE(B18:C18)-$Y4</f>
        <v>-1.25</v>
      </c>
      <c r="E18" s="234">
        <f t="shared" ref="E18:E26" si="17">(B18/$B4)*1000</f>
        <v>12427.659890191426</v>
      </c>
      <c r="F18" s="234">
        <f t="shared" ref="F18:F26" si="18">(C18/$C4)*1000</f>
        <v>12613.147351239058</v>
      </c>
      <c r="G18" s="245">
        <f t="shared" ref="G18:G26" si="19">AVERAGE(E18:F18)-AG4</f>
        <v>-394.72553057627192</v>
      </c>
      <c r="I18" s="233">
        <f>DATA!B34</f>
        <v>39.75</v>
      </c>
      <c r="J18" s="233">
        <f>DATA!C34</f>
        <v>40.75</v>
      </c>
      <c r="K18" s="244">
        <f>AVERAGE(I18:J18)-$Z4</f>
        <v>-1.25</v>
      </c>
      <c r="L18" s="234">
        <f>(I18/$B4)*1000</f>
        <v>14746.253153286842</v>
      </c>
      <c r="M18" s="234">
        <f>(J18/$C4)*1000</f>
        <v>15117.228075382109</v>
      </c>
      <c r="N18" s="245">
        <f>AVERAGE(L18:M18)-AH4</f>
        <v>-381.91252219689341</v>
      </c>
      <c r="P18" s="233">
        <f>DATA!B16</f>
        <v>44.75</v>
      </c>
      <c r="Q18" s="233">
        <f>DATA!C16</f>
        <v>46.25</v>
      </c>
      <c r="R18" s="244">
        <f>AVERAGE(P18:Q18)-$AA4</f>
        <v>-1</v>
      </c>
      <c r="S18" s="234">
        <f>(P18/$B4)*1000</f>
        <v>16601.127763763172</v>
      </c>
      <c r="T18" s="234">
        <f>(Q18/$C4)*1000</f>
        <v>17157.590146906074</v>
      </c>
      <c r="U18" s="245">
        <f>AVERAGE(S18:T18)-AI4</f>
        <v>-279.31263138124268</v>
      </c>
    </row>
    <row r="19" spans="1:21" x14ac:dyDescent="0.25">
      <c r="A19" s="246" t="s">
        <v>182</v>
      </c>
      <c r="B19" s="240">
        <f>DATA!B43</f>
        <v>37.5</v>
      </c>
      <c r="C19" s="240">
        <f>DATA!C43</f>
        <v>38</v>
      </c>
      <c r="D19" s="239">
        <f t="shared" si="16"/>
        <v>-1.5</v>
      </c>
      <c r="E19" s="241">
        <f t="shared" si="17"/>
        <v>11861.082995951418</v>
      </c>
      <c r="F19" s="241">
        <f t="shared" si="18"/>
        <v>12019.23076923077</v>
      </c>
      <c r="G19" s="242">
        <f t="shared" si="19"/>
        <v>-418.15545997817389</v>
      </c>
      <c r="I19" s="240">
        <f>DATA!B24</f>
        <v>45.75</v>
      </c>
      <c r="J19" s="240">
        <f>DATA!C24</f>
        <v>46.75</v>
      </c>
      <c r="K19" s="239">
        <f>AVERAGE(I19:J19)-$Z5</f>
        <v>-0.75</v>
      </c>
      <c r="L19" s="241">
        <f>(I19/$B5)*1000</f>
        <v>14470.52125506073</v>
      </c>
      <c r="M19" s="241">
        <f>(J19/$C5)*1000</f>
        <v>14786.816801619434</v>
      </c>
      <c r="N19" s="242">
        <f>AVERAGE(L19:M19)-AH5</f>
        <v>-169.81963664732211</v>
      </c>
      <c r="P19" s="240">
        <f>DATA!B6</f>
        <v>0</v>
      </c>
      <c r="Q19" s="240">
        <f>DATA!C6</f>
        <v>0</v>
      </c>
      <c r="R19" s="239"/>
      <c r="S19" s="241"/>
      <c r="T19" s="241"/>
      <c r="U19" s="242"/>
    </row>
    <row r="20" spans="1:21" x14ac:dyDescent="0.25">
      <c r="A20" s="243" t="s">
        <v>162</v>
      </c>
      <c r="B20" s="233">
        <f>DATA!B48</f>
        <v>33.799999999999997</v>
      </c>
      <c r="C20" s="233">
        <f>DATA!C48</f>
        <v>34.299999999999997</v>
      </c>
      <c r="D20" s="244">
        <f t="shared" si="16"/>
        <v>-0.70000000000000284</v>
      </c>
      <c r="E20" s="234">
        <f t="shared" si="17"/>
        <v>11134.53682962182</v>
      </c>
      <c r="F20" s="234">
        <f t="shared" si="18"/>
        <v>11299.24891290025</v>
      </c>
      <c r="G20" s="245">
        <f t="shared" si="19"/>
        <v>-176.5497516897849</v>
      </c>
      <c r="I20" s="233">
        <f>DATA!B30</f>
        <v>0</v>
      </c>
      <c r="J20" s="233">
        <f>DATA!C30</f>
        <v>0</v>
      </c>
      <c r="K20" s="244"/>
      <c r="L20" s="234"/>
      <c r="M20" s="234"/>
      <c r="N20" s="245"/>
      <c r="P20" s="233">
        <f>DATA!B12</f>
        <v>0</v>
      </c>
      <c r="Q20" s="233">
        <f>DATA!C12</f>
        <v>0</v>
      </c>
      <c r="R20" s="244"/>
      <c r="S20" s="234"/>
      <c r="T20" s="234"/>
      <c r="U20" s="245"/>
    </row>
    <row r="21" spans="1:21" x14ac:dyDescent="0.25">
      <c r="A21" s="237" t="s">
        <v>163</v>
      </c>
      <c r="B21" s="240">
        <f>DATA!B49</f>
        <v>34.15</v>
      </c>
      <c r="C21" s="240">
        <f>DATA!C49</f>
        <v>34.65</v>
      </c>
      <c r="D21" s="239">
        <f t="shared" si="16"/>
        <v>-1.6000000000000014</v>
      </c>
      <c r="E21" s="241">
        <f t="shared" si="17"/>
        <v>11334.845383636664</v>
      </c>
      <c r="F21" s="241">
        <f t="shared" si="18"/>
        <v>11500.802124246282</v>
      </c>
      <c r="G21" s="242">
        <f t="shared" si="19"/>
        <v>-483.00269233951985</v>
      </c>
      <c r="I21" s="240">
        <f>DATA!B31</f>
        <v>41.5</v>
      </c>
      <c r="J21" s="240">
        <f>DATA!C31</f>
        <v>43</v>
      </c>
      <c r="K21" s="239"/>
      <c r="L21" s="241"/>
      <c r="M21" s="241"/>
      <c r="N21" s="242"/>
      <c r="P21" s="240">
        <f>DATA!B13</f>
        <v>0</v>
      </c>
      <c r="Q21" s="240">
        <f>DATA!C13</f>
        <v>0</v>
      </c>
      <c r="R21" s="239"/>
      <c r="S21" s="241"/>
      <c r="T21" s="241"/>
      <c r="U21" s="242"/>
    </row>
    <row r="22" spans="1:21" x14ac:dyDescent="0.25">
      <c r="A22" s="248" t="s">
        <v>164</v>
      </c>
      <c r="B22" s="233">
        <f>DATA!B46</f>
        <v>41.85</v>
      </c>
      <c r="C22" s="233">
        <f>DATA!C46</f>
        <v>42.35</v>
      </c>
      <c r="D22" s="244">
        <f t="shared" si="16"/>
        <v>-1.3999999999999986</v>
      </c>
      <c r="E22" s="234">
        <f t="shared" si="17"/>
        <v>13708.576731997598</v>
      </c>
      <c r="F22" s="234">
        <f t="shared" si="18"/>
        <v>13872.359010755037</v>
      </c>
      <c r="G22" s="245">
        <f t="shared" si="19"/>
        <v>-402.02805032025753</v>
      </c>
      <c r="I22" s="233">
        <f>DATA!B28</f>
        <v>51.5</v>
      </c>
      <c r="J22" s="233">
        <f>DATA!C28</f>
        <v>53</v>
      </c>
      <c r="K22" s="244">
        <f>AVERAGE(I22:J22)-$Z8</f>
        <v>0.25</v>
      </c>
      <c r="L22" s="234">
        <f>(I22/$B8)*1000</f>
        <v>16869.574712016161</v>
      </c>
      <c r="M22" s="234">
        <f>(J22/$C8)*1000</f>
        <v>17360.921548288476</v>
      </c>
      <c r="N22" s="245">
        <f>AVERAGE(L22:M22)-AH8</f>
        <v>149.50587892882686</v>
      </c>
      <c r="P22" s="233">
        <f>DATA!B10</f>
        <v>0</v>
      </c>
      <c r="Q22" s="233">
        <f>DATA!C10</f>
        <v>0</v>
      </c>
      <c r="R22" s="244"/>
      <c r="S22" s="234"/>
      <c r="T22" s="234"/>
      <c r="U22" s="245"/>
    </row>
    <row r="23" spans="1:21" x14ac:dyDescent="0.25">
      <c r="A23" s="246" t="s">
        <v>165</v>
      </c>
      <c r="B23" s="240">
        <f>DATA!B45</f>
        <v>53.5</v>
      </c>
      <c r="C23" s="240">
        <f>DATA!C45</f>
        <v>54.5</v>
      </c>
      <c r="D23" s="239">
        <f t="shared" si="16"/>
        <v>-3.25</v>
      </c>
      <c r="E23" s="241">
        <f t="shared" si="17"/>
        <v>17129.13553895411</v>
      </c>
      <c r="F23" s="241">
        <f t="shared" si="18"/>
        <v>17449.306296691571</v>
      </c>
      <c r="G23" s="242">
        <f t="shared" si="19"/>
        <v>-969.43001504272979</v>
      </c>
      <c r="I23" s="240">
        <f>DATA!B26</f>
        <v>71</v>
      </c>
      <c r="J23" s="240">
        <f>DATA!C26</f>
        <v>73</v>
      </c>
      <c r="K23" s="239">
        <f>AVERAGE(I23:J23)-$Z9</f>
        <v>-2.5</v>
      </c>
      <c r="L23" s="241">
        <f>(I23/$B9)*1000</f>
        <v>22732.123799359659</v>
      </c>
      <c r="M23" s="241">
        <f>(J23/$C9)*1000</f>
        <v>23372.465314834582</v>
      </c>
      <c r="N23" s="242">
        <f>AVERAGE(L23:M23)-AH9</f>
        <v>-707.87128567117907</v>
      </c>
      <c r="P23" s="240">
        <f>DATA!B8</f>
        <v>84.5</v>
      </c>
      <c r="Q23" s="240">
        <f>DATA!C8</f>
        <v>88</v>
      </c>
      <c r="R23" s="239">
        <f>AVERAGE(P23:Q23)-$AA9</f>
        <v>0.75</v>
      </c>
      <c r="S23" s="241">
        <f>(P23/$B9)*1000</f>
        <v>27054.429028815372</v>
      </c>
      <c r="T23" s="241">
        <f>(Q23/$C9)*1000</f>
        <v>28175.026680896481</v>
      </c>
      <c r="U23" s="242">
        <f>AVERAGE(S23:T23)-AI9</f>
        <v>346.34960577284437</v>
      </c>
    </row>
    <row r="24" spans="1:21" x14ac:dyDescent="0.25">
      <c r="A24" s="248" t="s">
        <v>166</v>
      </c>
      <c r="B24" s="233">
        <f>DATA!B55</f>
        <v>33.5</v>
      </c>
      <c r="C24" s="233">
        <f>DATA!C55</f>
        <v>34</v>
      </c>
      <c r="D24" s="244">
        <f t="shared" si="16"/>
        <v>-1.25</v>
      </c>
      <c r="E24" s="234">
        <f t="shared" si="17"/>
        <v>10645.622583549601</v>
      </c>
      <c r="F24" s="234">
        <f t="shared" si="18"/>
        <v>10804.512472856311</v>
      </c>
      <c r="G24" s="245">
        <f t="shared" si="19"/>
        <v>-354.38799569701405</v>
      </c>
      <c r="I24" s="233">
        <f>DATA!B37</f>
        <v>0</v>
      </c>
      <c r="J24" s="233">
        <f>DATA!C37</f>
        <v>0</v>
      </c>
      <c r="K24" s="244"/>
      <c r="L24" s="234"/>
      <c r="M24" s="234"/>
      <c r="N24" s="245"/>
      <c r="P24" s="233">
        <f>DATA!B19</f>
        <v>0</v>
      </c>
      <c r="Q24" s="233">
        <f>DATA!C19</f>
        <v>0</v>
      </c>
      <c r="R24" s="244"/>
      <c r="S24" s="234"/>
      <c r="T24" s="234"/>
      <c r="U24" s="245"/>
    </row>
    <row r="25" spans="1:21" ht="13.8" thickBot="1" x14ac:dyDescent="0.3">
      <c r="A25" s="246" t="s">
        <v>167</v>
      </c>
      <c r="B25" s="240">
        <f>DATA!B53</f>
        <v>33.200000000000003</v>
      </c>
      <c r="C25" s="240">
        <f>DATA!C53</f>
        <v>33.9</v>
      </c>
      <c r="D25" s="250">
        <f t="shared" si="16"/>
        <v>-1.4499977111816023</v>
      </c>
      <c r="E25" s="241">
        <f t="shared" si="17"/>
        <v>9992.4755455229515</v>
      </c>
      <c r="F25" s="241">
        <f t="shared" si="18"/>
        <v>10203.160270880362</v>
      </c>
      <c r="G25" s="251">
        <f t="shared" si="19"/>
        <v>-397.98308475564045</v>
      </c>
      <c r="I25" s="240">
        <f>DATA!B35</f>
        <v>40.5</v>
      </c>
      <c r="J25" s="240">
        <f>DATA!C35</f>
        <v>42</v>
      </c>
      <c r="K25" s="250">
        <f>AVERAGE(I25:J25)-$Z11</f>
        <v>-0.25</v>
      </c>
      <c r="L25" s="241">
        <f>(I25/$B11)*1000</f>
        <v>12189.616252821672</v>
      </c>
      <c r="M25" s="241">
        <f>(J25/$C11)*1000</f>
        <v>12641.083521444696</v>
      </c>
      <c r="N25" s="251">
        <f>AVERAGE(L25:M25)-AH11</f>
        <v>-29.672104070334171</v>
      </c>
      <c r="P25" s="240">
        <f>DATA!B17</f>
        <v>0</v>
      </c>
      <c r="Q25" s="240">
        <f>DATA!C17</f>
        <v>0</v>
      </c>
      <c r="R25" s="250"/>
      <c r="S25" s="241"/>
      <c r="T25" s="241"/>
      <c r="U25" s="251"/>
    </row>
    <row r="26" spans="1:21" ht="13.8" thickBot="1" x14ac:dyDescent="0.3">
      <c r="A26" s="252" t="s">
        <v>168</v>
      </c>
      <c r="B26" s="253">
        <f>DATA!B41</f>
        <v>40.700000000000003</v>
      </c>
      <c r="C26" s="253">
        <f>DATA!C41</f>
        <v>41.7</v>
      </c>
      <c r="D26" s="255">
        <f t="shared" si="16"/>
        <v>1.0333339055379369</v>
      </c>
      <c r="E26" s="256">
        <f t="shared" si="17"/>
        <v>12961.783439490446</v>
      </c>
      <c r="F26" s="256">
        <f t="shared" si="18"/>
        <v>13175.355450236968</v>
      </c>
      <c r="G26" s="257">
        <f t="shared" si="19"/>
        <v>376.34295619863587</v>
      </c>
      <c r="I26" s="253">
        <f>DATA!B22</f>
        <v>46.75</v>
      </c>
      <c r="J26" s="253">
        <f>DATA!C22</f>
        <v>48.75</v>
      </c>
      <c r="K26" s="255">
        <f>AVERAGE(I26:J26)-$Z12</f>
        <v>-1.125</v>
      </c>
      <c r="L26" s="256">
        <f>(I26/$B12)*1000</f>
        <v>14888.535031847134</v>
      </c>
      <c r="M26" s="256">
        <f>(J26/$C12)*1000</f>
        <v>15402.843601895735</v>
      </c>
      <c r="N26" s="257">
        <f>AVERAGE(L26:M26)-AH12</f>
        <v>-298.27529235544534</v>
      </c>
      <c r="P26" s="253"/>
      <c r="Q26" s="253"/>
      <c r="R26" s="255"/>
      <c r="S26" s="256"/>
      <c r="T26" s="256"/>
      <c r="U26" s="257"/>
    </row>
    <row r="27" spans="1:21" ht="13.8" thickBot="1" x14ac:dyDescent="0.3"/>
    <row r="28" spans="1:21" ht="40.200000000000003" thickBot="1" x14ac:dyDescent="0.3">
      <c r="A28" s="226"/>
      <c r="B28" s="227" t="s">
        <v>183</v>
      </c>
      <c r="C28" s="227" t="s">
        <v>184</v>
      </c>
      <c r="D28" s="227" t="s">
        <v>185</v>
      </c>
      <c r="F28" s="227" t="s">
        <v>186</v>
      </c>
      <c r="G28" s="227" t="s">
        <v>187</v>
      </c>
      <c r="H28" s="227" t="s">
        <v>188</v>
      </c>
      <c r="J28" s="227" t="s">
        <v>189</v>
      </c>
      <c r="K28" s="227" t="s">
        <v>190</v>
      </c>
      <c r="L28" s="227" t="s">
        <v>191</v>
      </c>
      <c r="N28" s="227" t="s">
        <v>192</v>
      </c>
      <c r="O28" s="227" t="s">
        <v>193</v>
      </c>
      <c r="P28" s="227" t="s">
        <v>194</v>
      </c>
    </row>
    <row r="29" spans="1:21" x14ac:dyDescent="0.25">
      <c r="A29" s="230" t="s">
        <v>158</v>
      </c>
      <c r="B29" s="233">
        <f>B16-G2</f>
        <v>5.8999999999999986</v>
      </c>
      <c r="C29" s="233">
        <f>C16-F2</f>
        <v>3.6999999999999993</v>
      </c>
      <c r="D29" s="244">
        <f>AVERAGE(B29:C29)-(Y2-X2)</f>
        <v>3.8347366333006949</v>
      </c>
      <c r="F29" s="233">
        <f>I16-C16</f>
        <v>5.8000000000000043</v>
      </c>
      <c r="G29" s="233">
        <f>J16-B16</f>
        <v>3.9500000000000028</v>
      </c>
      <c r="H29" s="244">
        <f>AVERAGE(F29:G29)-(Z2-Y2)</f>
        <v>-1.1776313781737962</v>
      </c>
      <c r="J29" s="233">
        <f>P16-J16</f>
        <v>4.7999999999999972</v>
      </c>
      <c r="K29" s="233">
        <f>Q16-I16</f>
        <v>6.2999999999999972</v>
      </c>
      <c r="L29" s="244">
        <f>AVERAGE(J29:K29)-(AA2-Z2)</f>
        <v>0.31315689086920173</v>
      </c>
      <c r="N29" s="233">
        <f>I16-N2</f>
        <v>0.40000000000000568</v>
      </c>
      <c r="O29" s="233">
        <f>J16-M2</f>
        <v>1.2000000000000028</v>
      </c>
      <c r="P29" s="244">
        <f>AVERAGE(N29:O29)-(Z2-AB2)</f>
        <v>-0.55526275634769462</v>
      </c>
    </row>
    <row r="30" spans="1:21" x14ac:dyDescent="0.25">
      <c r="A30" s="237" t="s">
        <v>159</v>
      </c>
      <c r="B30" s="240"/>
      <c r="C30" s="240"/>
      <c r="D30" s="239"/>
      <c r="F30" s="240"/>
      <c r="G30" s="240"/>
      <c r="H30" s="239"/>
      <c r="J30" s="240"/>
      <c r="K30" s="240"/>
      <c r="L30" s="239"/>
      <c r="N30" s="240"/>
      <c r="O30" s="240"/>
      <c r="P30" s="239"/>
    </row>
    <row r="31" spans="1:21" x14ac:dyDescent="0.25">
      <c r="A31" s="243" t="s">
        <v>160</v>
      </c>
      <c r="B31" s="233">
        <f t="shared" ref="B31:B39" si="20">B18-G4</f>
        <v>4.6000000000000014</v>
      </c>
      <c r="C31" s="233">
        <f t="shared" ref="C31:C39" si="21">C18-F4</f>
        <v>5.3999999999999986</v>
      </c>
      <c r="D31" s="244">
        <f t="shared" ref="D31:D39" si="22">AVERAGE(B31:C31)-(Y4-X4)</f>
        <v>0.28333218892416667</v>
      </c>
      <c r="F31" s="233">
        <f t="shared" ref="F31:F39" si="23">I18-C18</f>
        <v>5.75</v>
      </c>
      <c r="G31" s="233">
        <f>J18-B18</f>
        <v>7.25</v>
      </c>
      <c r="H31" s="244">
        <f>AVERAGE(F31:G31)-(Z4-Y4)</f>
        <v>0</v>
      </c>
      <c r="J31" s="233">
        <f>P18-J18</f>
        <v>4</v>
      </c>
      <c r="K31" s="233">
        <f>Q18-I18</f>
        <v>6.5</v>
      </c>
      <c r="L31" s="244">
        <f>AVERAGE(J31:K31)-(AA4-Z4)</f>
        <v>0.25</v>
      </c>
      <c r="N31" s="233">
        <f>I18-N4</f>
        <v>0</v>
      </c>
      <c r="O31" s="233">
        <f>J18-M4</f>
        <v>2</v>
      </c>
      <c r="P31" s="244">
        <f>AVERAGE(N31:O31)-(Z4-AB4)</f>
        <v>0.15942001342773438</v>
      </c>
    </row>
    <row r="32" spans="1:21" x14ac:dyDescent="0.25">
      <c r="A32" s="246" t="s">
        <v>161</v>
      </c>
      <c r="B32" s="240">
        <f t="shared" si="20"/>
        <v>3.5</v>
      </c>
      <c r="C32" s="240">
        <f t="shared" si="21"/>
        <v>4.3999999999999986</v>
      </c>
      <c r="D32" s="239">
        <f t="shared" si="22"/>
        <v>0.69999999999999929</v>
      </c>
      <c r="F32" s="240">
        <f t="shared" si="23"/>
        <v>7.75</v>
      </c>
      <c r="G32" s="240">
        <f>J19-B19</f>
        <v>9.25</v>
      </c>
      <c r="H32" s="239">
        <f>AVERAGE(F32:G32)-(Z5-Y5)</f>
        <v>0.75</v>
      </c>
      <c r="J32" s="240"/>
      <c r="K32" s="240"/>
      <c r="L32" s="239"/>
      <c r="N32" s="240">
        <f>I19-N5</f>
        <v>1.25</v>
      </c>
      <c r="O32" s="240">
        <f>J19-M5</f>
        <v>3.25</v>
      </c>
      <c r="P32" s="239">
        <f>AVERAGE(N32:O32)-(Z5-AB5)</f>
        <v>2.25</v>
      </c>
    </row>
    <row r="33" spans="1:16" x14ac:dyDescent="0.25">
      <c r="A33" s="243" t="s">
        <v>162</v>
      </c>
      <c r="B33" s="233">
        <f t="shared" si="20"/>
        <v>1.7999999999999972</v>
      </c>
      <c r="C33" s="233">
        <f t="shared" si="21"/>
        <v>2.8999999999999986</v>
      </c>
      <c r="D33" s="244">
        <f t="shared" si="22"/>
        <v>-0.40000000000000213</v>
      </c>
      <c r="F33" s="233"/>
      <c r="G33" s="233"/>
      <c r="H33" s="244"/>
      <c r="J33" s="233"/>
      <c r="K33" s="233"/>
      <c r="L33" s="244"/>
      <c r="N33" s="233"/>
      <c r="O33" s="233"/>
      <c r="P33" s="244"/>
    </row>
    <row r="34" spans="1:16" x14ac:dyDescent="0.25">
      <c r="A34" s="237" t="s">
        <v>163</v>
      </c>
      <c r="B34" s="240">
        <f t="shared" si="20"/>
        <v>0.79999999999999716</v>
      </c>
      <c r="C34" s="240">
        <f t="shared" si="21"/>
        <v>2</v>
      </c>
      <c r="D34" s="239">
        <f t="shared" si="22"/>
        <v>-0.60000000000000142</v>
      </c>
      <c r="F34" s="240"/>
      <c r="G34" s="240"/>
      <c r="H34" s="239"/>
      <c r="J34" s="240"/>
      <c r="K34" s="240"/>
      <c r="L34" s="239"/>
      <c r="N34" s="240"/>
      <c r="O34" s="240"/>
      <c r="P34" s="239"/>
    </row>
    <row r="35" spans="1:16" x14ac:dyDescent="0.25">
      <c r="A35" s="248" t="s">
        <v>164</v>
      </c>
      <c r="B35" s="233">
        <f t="shared" si="20"/>
        <v>-1.5</v>
      </c>
      <c r="C35" s="233">
        <f t="shared" si="21"/>
        <v>-0.19999999999999574</v>
      </c>
      <c r="D35" s="244">
        <f t="shared" si="22"/>
        <v>0.15000000000000213</v>
      </c>
      <c r="F35" s="233">
        <f t="shared" si="23"/>
        <v>9.1499999999999986</v>
      </c>
      <c r="G35" s="233">
        <f>J22-B22</f>
        <v>11.149999999999999</v>
      </c>
      <c r="H35" s="244">
        <f>AVERAGE(F35:G35)-(Z8-Y8)</f>
        <v>1.6499999999999986</v>
      </c>
      <c r="J35" s="233"/>
      <c r="K35" s="233"/>
      <c r="L35" s="244"/>
      <c r="N35" s="233">
        <f>I22-N8</f>
        <v>7.25</v>
      </c>
      <c r="O35" s="233">
        <f>J22-M8</f>
        <v>9.75</v>
      </c>
      <c r="P35" s="244">
        <f>AVERAGE(N35:O35)-(Z8-AB8)</f>
        <v>2.25</v>
      </c>
    </row>
    <row r="36" spans="1:16" x14ac:dyDescent="0.25">
      <c r="A36" s="246" t="s">
        <v>165</v>
      </c>
      <c r="B36" s="240">
        <f t="shared" si="20"/>
        <v>-4.75</v>
      </c>
      <c r="C36" s="240">
        <f t="shared" si="21"/>
        <v>-2.25</v>
      </c>
      <c r="D36" s="239">
        <f t="shared" si="22"/>
        <v>0</v>
      </c>
      <c r="F36" s="240">
        <f t="shared" si="23"/>
        <v>16.5</v>
      </c>
      <c r="G36" s="240">
        <f>J23-B23</f>
        <v>19.5</v>
      </c>
      <c r="H36" s="239">
        <f>AVERAGE(F36:G36)-(Z9-Y9)</f>
        <v>0.75</v>
      </c>
      <c r="J36" s="240">
        <f>P23-J23</f>
        <v>11.5</v>
      </c>
      <c r="K36" s="240">
        <f>Q23-I23</f>
        <v>17</v>
      </c>
      <c r="L36" s="239">
        <f>AVERAGE(J36:K36)-(AA9-Z9)</f>
        <v>3.25</v>
      </c>
      <c r="N36" s="240">
        <f>I23-N9</f>
        <v>14</v>
      </c>
      <c r="O36" s="240">
        <f>J23-M9</f>
        <v>17.5</v>
      </c>
      <c r="P36" s="239">
        <f>AVERAGE(N36:O36)-(Z9-AB9)</f>
        <v>0.25</v>
      </c>
    </row>
    <row r="37" spans="1:16" x14ac:dyDescent="0.25">
      <c r="A37" s="248" t="s">
        <v>166</v>
      </c>
      <c r="B37" s="233">
        <f t="shared" si="20"/>
        <v>2.5</v>
      </c>
      <c r="C37" s="233">
        <f t="shared" si="21"/>
        <v>3.6000000000000014</v>
      </c>
      <c r="D37" s="244">
        <f t="shared" si="22"/>
        <v>5.0000000000000711E-2</v>
      </c>
      <c r="F37" s="233"/>
      <c r="G37" s="233"/>
      <c r="H37" s="244"/>
      <c r="J37" s="233"/>
      <c r="K37" s="233"/>
      <c r="L37" s="244"/>
      <c r="N37" s="233"/>
      <c r="O37" s="233"/>
      <c r="P37" s="244"/>
    </row>
    <row r="38" spans="1:16" ht="13.8" thickBot="1" x14ac:dyDescent="0.3">
      <c r="A38" s="246" t="s">
        <v>167</v>
      </c>
      <c r="B38" s="240">
        <f t="shared" si="20"/>
        <v>2.4500000000000028</v>
      </c>
      <c r="C38" s="240">
        <f t="shared" si="21"/>
        <v>3.75</v>
      </c>
      <c r="D38" s="239">
        <f t="shared" si="22"/>
        <v>-0.14999771118159799</v>
      </c>
      <c r="F38" s="240">
        <f t="shared" si="23"/>
        <v>6.6000000000000014</v>
      </c>
      <c r="G38" s="240">
        <f>J25-B25</f>
        <v>8.7999999999999972</v>
      </c>
      <c r="H38" s="239">
        <f>AVERAGE(F38:G38)-(Z11-Y11)</f>
        <v>1.1999977111815987</v>
      </c>
      <c r="J38" s="240"/>
      <c r="K38" s="240"/>
      <c r="L38" s="239"/>
      <c r="N38" s="240">
        <f>I25-N11</f>
        <v>4.25</v>
      </c>
      <c r="O38" s="240">
        <f>J25-M11</f>
        <v>6.75</v>
      </c>
      <c r="P38" s="239">
        <f>AVERAGE(N38:O38)-(Z11-AB11)</f>
        <v>0.4166666666666643</v>
      </c>
    </row>
    <row r="39" spans="1:16" ht="13.8" thickBot="1" x14ac:dyDescent="0.3">
      <c r="A39" s="252" t="s">
        <v>168</v>
      </c>
      <c r="B39" s="253">
        <f t="shared" si="20"/>
        <v>3.4000000000000057</v>
      </c>
      <c r="C39" s="253">
        <f t="shared" si="21"/>
        <v>5</v>
      </c>
      <c r="D39" s="254">
        <f t="shared" si="22"/>
        <v>2.6375005722046012</v>
      </c>
      <c r="F39" s="253">
        <f t="shared" si="23"/>
        <v>5.0499999999999972</v>
      </c>
      <c r="G39" s="253">
        <f>J26-B26</f>
        <v>8.0499999999999972</v>
      </c>
      <c r="H39" s="254">
        <f>AVERAGE(F39:G39)-(Z12-Y12)</f>
        <v>-2.1583339055379369</v>
      </c>
      <c r="J39" s="253"/>
      <c r="K39" s="253"/>
      <c r="L39" s="254"/>
      <c r="N39" s="253"/>
      <c r="O39" s="253"/>
      <c r="P39" s="2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3.2" x14ac:dyDescent="0.25"/>
  <cols>
    <col min="18" max="18" width="12.5546875" bestFit="1" customWidth="1"/>
  </cols>
  <sheetData>
    <row r="1" spans="1:27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5">
      <c r="A2" s="265">
        <v>37135</v>
      </c>
      <c r="B2" s="266">
        <f>VLOOKUP($A2,[1]Peak_Forward!$A$7:$L$70,2,0)</f>
        <v>40.434211730957003</v>
      </c>
      <c r="C2" s="266">
        <f>VLOOKUP($A2,[1]Peak_Forward!$A$7:$L$70,6,0)</f>
        <v>34.771579742431598</v>
      </c>
      <c r="D2" s="266">
        <f>VLOOKUP($A2,[1]Peak_Forward!$A$7:$L$70,7,0)</f>
        <v>39.271579742431598</v>
      </c>
      <c r="E2" s="266">
        <f>VLOOKUP($A2,[1]Peak_Forward!$A$7:$L$70,10,0)</f>
        <v>35.736843109130902</v>
      </c>
      <c r="F2" s="266">
        <f>VLOOKUP($A2,[1]Peak_Forward!$A$7:$L$70,11,0)</f>
        <v>41.789474487304702</v>
      </c>
      <c r="G2" s="266">
        <f>VLOOKUP($A2,[1]Peak_Forward!$A$7:$L$70,12,0)</f>
        <v>47.026317596435497</v>
      </c>
      <c r="H2" s="266">
        <f>VLOOKUP($A2,[1]Fuel_Px!$I$7:$N$70,2,0)</f>
        <v>2.2949999999999999</v>
      </c>
      <c r="I2" s="266">
        <f>VLOOKUP($A2,[1]Fuel_Px!$I$7:$N$70,6,0)</f>
        <v>2.58</v>
      </c>
      <c r="J2" s="266">
        <f>I2-H2</f>
        <v>0.28500000000000014</v>
      </c>
      <c r="R2" s="267">
        <v>37135</v>
      </c>
      <c r="S2" s="268">
        <f>B2</f>
        <v>40.434211730957003</v>
      </c>
      <c r="T2" s="268">
        <f t="shared" ref="T2:AA2" si="0">C2</f>
        <v>34.771579742431598</v>
      </c>
      <c r="U2" s="268">
        <f t="shared" si="0"/>
        <v>39.271579742431598</v>
      </c>
      <c r="V2" s="268">
        <f t="shared" si="0"/>
        <v>35.736843109130902</v>
      </c>
      <c r="W2" s="268">
        <f t="shared" si="0"/>
        <v>41.789474487304702</v>
      </c>
      <c r="X2" s="268">
        <f t="shared" si="0"/>
        <v>47.026317596435497</v>
      </c>
      <c r="Y2" s="268">
        <f t="shared" si="0"/>
        <v>2.2949999999999999</v>
      </c>
      <c r="Z2" s="268">
        <f t="shared" si="0"/>
        <v>2.58</v>
      </c>
      <c r="AA2" s="268">
        <f t="shared" si="0"/>
        <v>0.28500000000000014</v>
      </c>
    </row>
    <row r="3" spans="1:27" x14ac:dyDescent="0.25">
      <c r="A3" s="265">
        <v>37165</v>
      </c>
      <c r="B3" s="266">
        <f>[1]Peak_Forward!B8</f>
        <v>38.978260040283203</v>
      </c>
      <c r="C3" s="266">
        <f>[1]Peak_Forward!F8</f>
        <v>29.5999965667725</v>
      </c>
      <c r="D3" s="266">
        <f>[1]Peak_Forward!G8</f>
        <v>34.0999946594238</v>
      </c>
      <c r="E3" s="266">
        <f>[1]Peak_Forward!J8</f>
        <v>35</v>
      </c>
      <c r="F3" s="266">
        <f>[1]Peak_Forward!K8</f>
        <v>41.5</v>
      </c>
      <c r="G3" s="266">
        <f>[1]Peak_Forward!L8</f>
        <v>46.5</v>
      </c>
      <c r="H3" s="266">
        <f>VLOOKUP($A3,[1]Fuel_Px!$I$7:$N$70,2,0)</f>
        <v>2.38</v>
      </c>
      <c r="I3" s="266">
        <f>VLOOKUP($A3,[1]Fuel_Px!$I$7:$N$70,6,0)</f>
        <v>2.6749999999999998</v>
      </c>
      <c r="J3" s="266">
        <f t="shared" ref="J3:J41" si="1">I3-H3</f>
        <v>0.29499999999999993</v>
      </c>
      <c r="R3" s="267" t="s">
        <v>204</v>
      </c>
      <c r="S3" s="268">
        <f>AVERAGE(B3:B5)</f>
        <v>40.659420013427734</v>
      </c>
      <c r="T3" s="268">
        <f t="shared" ref="T3:AA3" si="2">AVERAGE(C3:C5)</f>
        <v>30.283332188924167</v>
      </c>
      <c r="U3" s="268">
        <f t="shared" si="2"/>
        <v>34.783331553141267</v>
      </c>
      <c r="V3" s="268">
        <f t="shared" si="2"/>
        <v>35</v>
      </c>
      <c r="W3" s="268">
        <f t="shared" si="2"/>
        <v>41.5</v>
      </c>
      <c r="X3" s="268">
        <f t="shared" si="2"/>
        <v>46.5</v>
      </c>
      <c r="Y3" s="268">
        <f t="shared" si="2"/>
        <v>2.7099999999999995</v>
      </c>
      <c r="Z3" s="268">
        <f t="shared" si="2"/>
        <v>3.2483333333333335</v>
      </c>
      <c r="AA3" s="268">
        <f t="shared" si="2"/>
        <v>0.53833333333333344</v>
      </c>
    </row>
    <row r="4" spans="1:27" x14ac:dyDescent="0.25">
      <c r="A4" s="265">
        <v>37196</v>
      </c>
      <c r="B4" s="266">
        <f>[1]Peak_Forward!B9</f>
        <v>40.25</v>
      </c>
      <c r="C4" s="266">
        <f>[1]Peak_Forward!F9</f>
        <v>29</v>
      </c>
      <c r="D4" s="266">
        <f>[1]Peak_Forward!G9</f>
        <v>33.5</v>
      </c>
      <c r="E4" s="266">
        <f>[1]Peak_Forward!J9</f>
        <v>35</v>
      </c>
      <c r="F4" s="266">
        <f>[1]Peak_Forward!K9</f>
        <v>41.5</v>
      </c>
      <c r="G4" s="266">
        <f>[1]Peak_Forward!L9</f>
        <v>46.5</v>
      </c>
      <c r="H4" s="266">
        <f>VLOOKUP($A4,[1]Fuel_Px!$I$7:$N$70,2,0)</f>
        <v>2.71</v>
      </c>
      <c r="I4" s="266">
        <f>VLOOKUP($A4,[1]Fuel_Px!$I$7:$N$70,6,0)</f>
        <v>3.18</v>
      </c>
      <c r="J4" s="266">
        <f t="shared" si="1"/>
        <v>0.4700000000000002</v>
      </c>
      <c r="R4" s="267" t="s">
        <v>205</v>
      </c>
      <c r="S4" s="268">
        <f>AVERAGE(B6:B7)</f>
        <v>47</v>
      </c>
      <c r="T4" s="268">
        <f t="shared" ref="T4:AA4" si="3">AVERAGE(C6:C7)</f>
        <v>36</v>
      </c>
      <c r="U4" s="268">
        <f t="shared" si="3"/>
        <v>41.5</v>
      </c>
      <c r="V4" s="268">
        <f t="shared" si="3"/>
        <v>39.25</v>
      </c>
      <c r="W4" s="268">
        <f t="shared" si="3"/>
        <v>47</v>
      </c>
      <c r="X4" s="268">
        <f t="shared" si="3"/>
        <v>56.5</v>
      </c>
      <c r="Y4" s="268">
        <f t="shared" si="3"/>
        <v>3.1760000000000002</v>
      </c>
      <c r="Z4" s="268">
        <f t="shared" si="3"/>
        <v>5.0359999999999996</v>
      </c>
      <c r="AA4" s="268">
        <f t="shared" si="3"/>
        <v>1.86</v>
      </c>
    </row>
    <row r="5" spans="1:27" x14ac:dyDescent="0.25">
      <c r="A5" s="265">
        <v>37226</v>
      </c>
      <c r="B5" s="266">
        <f>[1]Peak_Forward!B10</f>
        <v>42.75</v>
      </c>
      <c r="C5" s="266">
        <f>[1]Peak_Forward!F10</f>
        <v>32.25</v>
      </c>
      <c r="D5" s="266">
        <f>[1]Peak_Forward!G10</f>
        <v>36.75</v>
      </c>
      <c r="E5" s="266">
        <f>[1]Peak_Forward!J10</f>
        <v>35</v>
      </c>
      <c r="F5" s="266">
        <f>[1]Peak_Forward!K10</f>
        <v>41.5</v>
      </c>
      <c r="G5" s="266">
        <f>[1]Peak_Forward!L10</f>
        <v>46.5</v>
      </c>
      <c r="H5" s="266">
        <f>VLOOKUP($A5,[1]Fuel_Px!$I$7:$N$70,2,0)</f>
        <v>3.04</v>
      </c>
      <c r="I5" s="266">
        <f>VLOOKUP($A5,[1]Fuel_Px!$I$7:$N$70,6,0)</f>
        <v>3.89</v>
      </c>
      <c r="J5" s="266">
        <f t="shared" si="1"/>
        <v>0.85000000000000009</v>
      </c>
      <c r="R5" s="267" t="s">
        <v>206</v>
      </c>
      <c r="S5" s="268">
        <f>AVERAGE(B8:B9)</f>
        <v>37.25</v>
      </c>
      <c r="T5" s="268">
        <f t="shared" ref="T5:AA5" si="4">AVERAGE(C8:C9)</f>
        <v>32</v>
      </c>
      <c r="U5" s="268">
        <f t="shared" si="4"/>
        <v>36.5</v>
      </c>
      <c r="V5" s="268">
        <f t="shared" si="4"/>
        <v>34.75</v>
      </c>
      <c r="W5" s="268">
        <f t="shared" si="4"/>
        <v>41.5</v>
      </c>
      <c r="X5" s="268">
        <f t="shared" si="4"/>
        <v>44</v>
      </c>
      <c r="Y5" s="268">
        <f t="shared" si="4"/>
        <v>3.05</v>
      </c>
      <c r="Z5" s="268">
        <f t="shared" si="4"/>
        <v>3.58</v>
      </c>
      <c r="AA5" s="268">
        <f t="shared" si="4"/>
        <v>0.5299999999999998</v>
      </c>
    </row>
    <row r="6" spans="1:27" x14ac:dyDescent="0.25">
      <c r="A6" s="265">
        <v>37257</v>
      </c>
      <c r="B6" s="266">
        <f>[1]Peak_Forward!B11</f>
        <v>47</v>
      </c>
      <c r="C6" s="266">
        <f>[1]Peak_Forward!F11</f>
        <v>36</v>
      </c>
      <c r="D6" s="266">
        <f>[1]Peak_Forward!G11</f>
        <v>41.5</v>
      </c>
      <c r="E6" s="266">
        <f>[1]Peak_Forward!J11</f>
        <v>39.25</v>
      </c>
      <c r="F6" s="266">
        <f>[1]Peak_Forward!K11</f>
        <v>47</v>
      </c>
      <c r="G6" s="266">
        <f>[1]Peak_Forward!L11</f>
        <v>56.5</v>
      </c>
      <c r="H6" s="266">
        <f>VLOOKUP($A6,[1]Fuel_Px!$I$7:$N$70,2,0)</f>
        <v>3.19</v>
      </c>
      <c r="I6" s="266">
        <f>VLOOKUP($A6,[1]Fuel_Px!$I$7:$N$70,6,0)</f>
        <v>5.05</v>
      </c>
      <c r="J6" s="266">
        <f t="shared" si="1"/>
        <v>1.8599999999999999</v>
      </c>
      <c r="R6" s="267">
        <v>37377</v>
      </c>
      <c r="S6" s="268">
        <f>B10</f>
        <v>38</v>
      </c>
      <c r="T6" s="268">
        <f t="shared" ref="T6:AA6" si="5">C10</f>
        <v>34</v>
      </c>
      <c r="U6" s="268">
        <f t="shared" si="5"/>
        <v>39.5</v>
      </c>
      <c r="V6" s="268">
        <f t="shared" si="5"/>
        <v>36</v>
      </c>
      <c r="W6" s="268">
        <f t="shared" si="5"/>
        <v>43</v>
      </c>
      <c r="X6" s="268">
        <f t="shared" si="5"/>
        <v>49.5</v>
      </c>
      <c r="Y6" s="268">
        <f t="shared" si="5"/>
        <v>3.0249999999999999</v>
      </c>
      <c r="Z6" s="268">
        <f t="shared" si="5"/>
        <v>3.375</v>
      </c>
      <c r="AA6" s="268">
        <f t="shared" si="5"/>
        <v>0.35000000000000009</v>
      </c>
    </row>
    <row r="7" spans="1:27" x14ac:dyDescent="0.25">
      <c r="A7" s="265">
        <v>37288</v>
      </c>
      <c r="B7" s="266">
        <f>[1]Peak_Forward!B12</f>
        <v>47</v>
      </c>
      <c r="C7" s="266">
        <f>[1]Peak_Forward!F12</f>
        <v>36</v>
      </c>
      <c r="D7" s="266">
        <f>[1]Peak_Forward!G12</f>
        <v>41.5</v>
      </c>
      <c r="E7" s="266">
        <f>[1]Peak_Forward!J12</f>
        <v>39.25</v>
      </c>
      <c r="F7" s="266">
        <f>[1]Peak_Forward!K12</f>
        <v>47</v>
      </c>
      <c r="G7" s="266">
        <f>[1]Peak_Forward!L12</f>
        <v>56.5</v>
      </c>
      <c r="H7" s="266">
        <f>VLOOKUP($A7,[1]Fuel_Px!$I$7:$N$70,2,0)</f>
        <v>3.1619999999999999</v>
      </c>
      <c r="I7" s="266">
        <f>VLOOKUP($A7,[1]Fuel_Px!$I$7:$N$70,6,0)</f>
        <v>5.0220000000000002</v>
      </c>
      <c r="J7" s="266">
        <f t="shared" si="1"/>
        <v>1.8600000000000003</v>
      </c>
      <c r="R7" s="267">
        <v>37409</v>
      </c>
      <c r="S7" s="268">
        <f>B11</f>
        <v>45.75</v>
      </c>
      <c r="T7" s="268">
        <f t="shared" ref="T7:AA7" si="6">C11</f>
        <v>44.5</v>
      </c>
      <c r="U7" s="268">
        <f t="shared" si="6"/>
        <v>55</v>
      </c>
      <c r="V7" s="268">
        <f t="shared" si="6"/>
        <v>43.5</v>
      </c>
      <c r="W7" s="268">
        <f t="shared" si="6"/>
        <v>52</v>
      </c>
      <c r="X7" s="268">
        <f t="shared" si="6"/>
        <v>58.5</v>
      </c>
      <c r="Y7" s="268">
        <f t="shared" si="6"/>
        <v>3.0649999999999999</v>
      </c>
      <c r="Z7" s="268">
        <f t="shared" si="6"/>
        <v>3.415</v>
      </c>
      <c r="AA7" s="268">
        <f t="shared" si="6"/>
        <v>0.35000000000000009</v>
      </c>
    </row>
    <row r="8" spans="1:27" x14ac:dyDescent="0.25">
      <c r="A8" s="265">
        <v>37316</v>
      </c>
      <c r="B8" s="266">
        <f>[1]Peak_Forward!B13</f>
        <v>37.25</v>
      </c>
      <c r="C8" s="266">
        <f>[1]Peak_Forward!F13</f>
        <v>32.5</v>
      </c>
      <c r="D8" s="266">
        <f>[1]Peak_Forward!G13</f>
        <v>37</v>
      </c>
      <c r="E8" s="266">
        <f>[1]Peak_Forward!J13</f>
        <v>34.75</v>
      </c>
      <c r="F8" s="266">
        <f>[1]Peak_Forward!K13</f>
        <v>42</v>
      </c>
      <c r="G8" s="266">
        <f>[1]Peak_Forward!L13</f>
        <v>44</v>
      </c>
      <c r="H8" s="266">
        <f>VLOOKUP($A8,[1]Fuel_Px!$I$7:$N$70,2,0)</f>
        <v>3.0950000000000002</v>
      </c>
      <c r="I8" s="266">
        <f>VLOOKUP($A8,[1]Fuel_Px!$I$7:$N$70,6,0)</f>
        <v>3.7549999999999999</v>
      </c>
      <c r="J8" s="266">
        <f t="shared" si="1"/>
        <v>0.6599999999999997</v>
      </c>
      <c r="R8" s="267" t="s">
        <v>207</v>
      </c>
      <c r="S8" s="268">
        <f>AVERAGE(B12:B13)</f>
        <v>59</v>
      </c>
      <c r="T8" s="268">
        <f t="shared" ref="T8:AA8" si="7">AVERAGE(C12:C13)</f>
        <v>60.75</v>
      </c>
      <c r="U8" s="268">
        <f t="shared" si="7"/>
        <v>77.75</v>
      </c>
      <c r="V8" s="268">
        <f t="shared" si="7"/>
        <v>57.25</v>
      </c>
      <c r="W8" s="268">
        <f t="shared" si="7"/>
        <v>74.5</v>
      </c>
      <c r="X8" s="268">
        <f t="shared" si="7"/>
        <v>85.5</v>
      </c>
      <c r="Y8" s="268">
        <f t="shared" si="7"/>
        <v>3.1355</v>
      </c>
      <c r="Z8" s="268">
        <f t="shared" si="7"/>
        <v>3.5455000000000001</v>
      </c>
      <c r="AA8" s="268">
        <f t="shared" si="7"/>
        <v>0.41000000000000014</v>
      </c>
    </row>
    <row r="9" spans="1:27" x14ac:dyDescent="0.25">
      <c r="A9" s="265">
        <v>37347</v>
      </c>
      <c r="B9" s="266">
        <f>[1]Peak_Forward!B14</f>
        <v>37.25</v>
      </c>
      <c r="C9" s="266">
        <f>[1]Peak_Forward!F14</f>
        <v>31.5</v>
      </c>
      <c r="D9" s="266">
        <f>[1]Peak_Forward!G14</f>
        <v>36</v>
      </c>
      <c r="E9" s="266">
        <f>[1]Peak_Forward!J14</f>
        <v>34.75</v>
      </c>
      <c r="F9" s="266">
        <f>[1]Peak_Forward!K14</f>
        <v>41</v>
      </c>
      <c r="G9" s="266">
        <f>[1]Peak_Forward!L14</f>
        <v>44</v>
      </c>
      <c r="H9" s="266">
        <f>VLOOKUP($A9,[1]Fuel_Px!$I$7:$N$70,2,0)</f>
        <v>3.0049999999999999</v>
      </c>
      <c r="I9" s="266">
        <f>VLOOKUP($A9,[1]Fuel_Px!$I$7:$N$70,6,0)</f>
        <v>3.4049999999999998</v>
      </c>
      <c r="J9" s="266">
        <f t="shared" si="1"/>
        <v>0.39999999999999991</v>
      </c>
      <c r="R9" s="269" t="s">
        <v>208</v>
      </c>
      <c r="S9" s="270">
        <f>AVERAGE(B6:B17)</f>
        <v>43.104166666666664</v>
      </c>
      <c r="T9" s="270">
        <f t="shared" ref="T9:AA9" si="8">AVERAGE(C6:C17)</f>
        <v>38.604166666666664</v>
      </c>
      <c r="U9" s="270">
        <f t="shared" si="8"/>
        <v>45.9375</v>
      </c>
      <c r="V9" s="270">
        <f t="shared" si="8"/>
        <v>40.166666094462066</v>
      </c>
      <c r="W9" s="270">
        <f t="shared" si="8"/>
        <v>48.875</v>
      </c>
      <c r="X9" s="270">
        <f t="shared" si="8"/>
        <v>56.041666666666664</v>
      </c>
      <c r="Y9" s="270">
        <f t="shared" si="8"/>
        <v>3.1646666666666667</v>
      </c>
      <c r="Z9" s="270">
        <f t="shared" si="8"/>
        <v>3.8738333333333332</v>
      </c>
      <c r="AA9" s="270">
        <f t="shared" si="8"/>
        <v>0.70916666666666661</v>
      </c>
    </row>
    <row r="10" spans="1:27" x14ac:dyDescent="0.25">
      <c r="A10" s="265">
        <v>37377</v>
      </c>
      <c r="B10" s="266">
        <f>[1]Peak_Forward!B15</f>
        <v>38</v>
      </c>
      <c r="C10" s="266">
        <f>[1]Peak_Forward!F15</f>
        <v>34</v>
      </c>
      <c r="D10" s="266">
        <f>[1]Peak_Forward!G15</f>
        <v>39.5</v>
      </c>
      <c r="E10" s="266">
        <f>[1]Peak_Forward!J15</f>
        <v>36</v>
      </c>
      <c r="F10" s="266">
        <f>[1]Peak_Forward!K15</f>
        <v>43</v>
      </c>
      <c r="G10" s="266">
        <f>[1]Peak_Forward!L15</f>
        <v>49.5</v>
      </c>
      <c r="H10" s="266">
        <f>VLOOKUP($A10,[1]Fuel_Px!$I$7:$N$70,2,0)</f>
        <v>3.0249999999999999</v>
      </c>
      <c r="I10" s="266">
        <f>VLOOKUP($A10,[1]Fuel_Px!$I$7:$N$70,6,0)</f>
        <v>3.375</v>
      </c>
      <c r="J10" s="266">
        <f t="shared" si="1"/>
        <v>0.35000000000000009</v>
      </c>
      <c r="R10" s="267">
        <v>37500</v>
      </c>
      <c r="S10" s="268">
        <f>B14</f>
        <v>37.75</v>
      </c>
      <c r="T10" s="268">
        <f t="shared" ref="T10:AA10" si="9">C14</f>
        <v>32</v>
      </c>
      <c r="U10" s="268">
        <f t="shared" si="9"/>
        <v>36.5</v>
      </c>
      <c r="V10" s="268">
        <f t="shared" si="9"/>
        <v>35</v>
      </c>
      <c r="W10" s="268">
        <f t="shared" si="9"/>
        <v>41</v>
      </c>
      <c r="X10" s="268">
        <f t="shared" si="9"/>
        <v>48.5</v>
      </c>
      <c r="Y10" s="268">
        <f t="shared" si="9"/>
        <v>3.1589999999999998</v>
      </c>
      <c r="Z10" s="268">
        <f t="shared" si="9"/>
        <v>3.5289999999999999</v>
      </c>
      <c r="AA10" s="268">
        <f t="shared" si="9"/>
        <v>0.37000000000000011</v>
      </c>
    </row>
    <row r="11" spans="1:27" x14ac:dyDescent="0.25">
      <c r="A11" s="265">
        <v>37408</v>
      </c>
      <c r="B11" s="266">
        <f>[1]Peak_Forward!B16</f>
        <v>45.75</v>
      </c>
      <c r="C11" s="266">
        <f>[1]Peak_Forward!F16</f>
        <v>44.5</v>
      </c>
      <c r="D11" s="266">
        <f>[1]Peak_Forward!G16</f>
        <v>55</v>
      </c>
      <c r="E11" s="266">
        <f>[1]Peak_Forward!J16</f>
        <v>43.5</v>
      </c>
      <c r="F11" s="266">
        <f>[1]Peak_Forward!K16</f>
        <v>52</v>
      </c>
      <c r="G11" s="266">
        <f>[1]Peak_Forward!L16</f>
        <v>58.5</v>
      </c>
      <c r="H11" s="266">
        <f>VLOOKUP($A11,[1]Fuel_Px!$I$7:$N$70,2,0)</f>
        <v>3.0649999999999999</v>
      </c>
      <c r="I11" s="266">
        <f>VLOOKUP($A11,[1]Fuel_Px!$I$7:$N$70,6,0)</f>
        <v>3.415</v>
      </c>
      <c r="J11" s="266">
        <f t="shared" si="1"/>
        <v>0.35000000000000009</v>
      </c>
      <c r="R11" s="267" t="s">
        <v>209</v>
      </c>
      <c r="S11" s="268">
        <f>AVERAGE(B15:B17)</f>
        <v>36.416666666666664</v>
      </c>
      <c r="T11" s="268">
        <f t="shared" ref="T11:AA11" si="10">AVERAGE(C15:C17)</f>
        <v>31.75</v>
      </c>
      <c r="U11" s="268">
        <f t="shared" si="10"/>
        <v>36.25</v>
      </c>
      <c r="V11" s="268">
        <f t="shared" si="10"/>
        <v>34.999997711181599</v>
      </c>
      <c r="W11" s="268">
        <f t="shared" si="10"/>
        <v>41.5</v>
      </c>
      <c r="X11" s="268">
        <f t="shared" si="10"/>
        <v>48</v>
      </c>
      <c r="Y11" s="268">
        <f t="shared" si="10"/>
        <v>3.3346666666666667</v>
      </c>
      <c r="Z11" s="268">
        <f t="shared" si="10"/>
        <v>3.948</v>
      </c>
      <c r="AA11" s="268">
        <f t="shared" si="10"/>
        <v>0.61333333333333329</v>
      </c>
    </row>
    <row r="12" spans="1:27" x14ac:dyDescent="0.25">
      <c r="A12" s="265">
        <v>37438</v>
      </c>
      <c r="B12" s="266">
        <f>[1]Peak_Forward!B17</f>
        <v>59</v>
      </c>
      <c r="C12" s="266">
        <f>[1]Peak_Forward!F17</f>
        <v>60.75</v>
      </c>
      <c r="D12" s="266">
        <f>[1]Peak_Forward!G17</f>
        <v>78.25</v>
      </c>
      <c r="E12" s="266">
        <f>[1]Peak_Forward!J17</f>
        <v>57.25</v>
      </c>
      <c r="F12" s="266">
        <f>[1]Peak_Forward!K17</f>
        <v>74.5</v>
      </c>
      <c r="G12" s="266">
        <f>[1]Peak_Forward!L17</f>
        <v>85.5</v>
      </c>
      <c r="H12" s="266">
        <f>VLOOKUP($A12,[1]Fuel_Px!$I$7:$N$70,2,0)</f>
        <v>3.113</v>
      </c>
      <c r="I12" s="266">
        <f>VLOOKUP($A12,[1]Fuel_Px!$I$7:$N$70,6,0)</f>
        <v>3.5230000000000001</v>
      </c>
      <c r="J12" s="266">
        <f t="shared" si="1"/>
        <v>0.41000000000000014</v>
      </c>
      <c r="R12" s="267" t="s">
        <v>210</v>
      </c>
      <c r="S12" s="268">
        <f>AVERAGE(B18:B19)</f>
        <v>45.25</v>
      </c>
      <c r="T12" s="268">
        <f t="shared" ref="T12:AA12" si="11">AVERAGE(C18:C19)</f>
        <v>36.5</v>
      </c>
      <c r="U12" s="268">
        <f t="shared" si="11"/>
        <v>42</v>
      </c>
      <c r="V12" s="268">
        <f t="shared" si="11"/>
        <v>40.75</v>
      </c>
      <c r="W12" s="268">
        <f t="shared" si="11"/>
        <v>46.5</v>
      </c>
      <c r="X12" s="268">
        <f t="shared" si="11"/>
        <v>56.5</v>
      </c>
      <c r="Y12" s="268">
        <f t="shared" si="11"/>
        <v>3.5235000000000003</v>
      </c>
      <c r="Z12" s="268">
        <f t="shared" si="11"/>
        <v>5.1234999999999999</v>
      </c>
      <c r="AA12" s="268">
        <f t="shared" si="11"/>
        <v>1.5999999999999999</v>
      </c>
    </row>
    <row r="13" spans="1:27" x14ac:dyDescent="0.25">
      <c r="A13" s="265">
        <v>37469</v>
      </c>
      <c r="B13" s="266">
        <f>[1]Peak_Forward!B18</f>
        <v>59</v>
      </c>
      <c r="C13" s="266">
        <f>[1]Peak_Forward!F18</f>
        <v>60.75</v>
      </c>
      <c r="D13" s="266">
        <f>[1]Peak_Forward!G18</f>
        <v>77.25</v>
      </c>
      <c r="E13" s="266">
        <f>[1]Peak_Forward!J18</f>
        <v>57.25</v>
      </c>
      <c r="F13" s="266">
        <f>[1]Peak_Forward!K18</f>
        <v>74.5</v>
      </c>
      <c r="G13" s="266">
        <f>[1]Peak_Forward!L18</f>
        <v>85.5</v>
      </c>
      <c r="H13" s="266">
        <f>VLOOKUP($A13,[1]Fuel_Px!$I$7:$N$70,2,0)</f>
        <v>3.1579999999999999</v>
      </c>
      <c r="I13" s="266">
        <f>VLOOKUP($A13,[1]Fuel_Px!$I$7:$N$70,6,0)</f>
        <v>3.5680000000000001</v>
      </c>
      <c r="J13" s="266">
        <f t="shared" si="1"/>
        <v>0.41000000000000014</v>
      </c>
      <c r="R13" s="267" t="s">
        <v>211</v>
      </c>
      <c r="S13" s="268">
        <f>AVERAGE(B20:B21)</f>
        <v>36</v>
      </c>
      <c r="T13" s="268">
        <f t="shared" ref="T13:AA13" si="12">AVERAGE(C20:C21)</f>
        <v>32.75</v>
      </c>
      <c r="U13" s="268">
        <f t="shared" si="12"/>
        <v>37.25</v>
      </c>
      <c r="V13" s="268">
        <f t="shared" si="12"/>
        <v>34.449998474121102</v>
      </c>
      <c r="W13" s="268">
        <f t="shared" si="12"/>
        <v>41.5</v>
      </c>
      <c r="X13" s="268">
        <f t="shared" si="12"/>
        <v>46.5</v>
      </c>
      <c r="Y13" s="268">
        <f t="shared" si="12"/>
        <v>3.2569999999999997</v>
      </c>
      <c r="Z13" s="268">
        <f t="shared" si="12"/>
        <v>3.7920000000000003</v>
      </c>
      <c r="AA13" s="268">
        <f t="shared" si="12"/>
        <v>0.53500000000000036</v>
      </c>
    </row>
    <row r="14" spans="1:27" x14ac:dyDescent="0.25">
      <c r="A14" s="265">
        <v>37500</v>
      </c>
      <c r="B14" s="266">
        <f>[1]Peak_Forward!B19</f>
        <v>37.75</v>
      </c>
      <c r="C14" s="266">
        <f>[1]Peak_Forward!F19</f>
        <v>32</v>
      </c>
      <c r="D14" s="266">
        <f>[1]Peak_Forward!G19</f>
        <v>36.5</v>
      </c>
      <c r="E14" s="266">
        <f>[1]Peak_Forward!J19</f>
        <v>35</v>
      </c>
      <c r="F14" s="266">
        <f>[1]Peak_Forward!K19</f>
        <v>41</v>
      </c>
      <c r="G14" s="266">
        <f>[1]Peak_Forward!L19</f>
        <v>48.5</v>
      </c>
      <c r="H14" s="266">
        <f>VLOOKUP($A14,[1]Fuel_Px!$I$7:$N$70,2,0)</f>
        <v>3.1589999999999998</v>
      </c>
      <c r="I14" s="266">
        <f>VLOOKUP($A14,[1]Fuel_Px!$I$7:$N$70,6,0)</f>
        <v>3.5289999999999999</v>
      </c>
      <c r="J14" s="266">
        <f t="shared" si="1"/>
        <v>0.37000000000000011</v>
      </c>
      <c r="R14" s="267">
        <v>37742</v>
      </c>
      <c r="S14" s="268">
        <f>B22</f>
        <v>36.75</v>
      </c>
      <c r="T14" s="268">
        <f t="shared" ref="T14:AA14" si="13">C22</f>
        <v>33.75</v>
      </c>
      <c r="U14" s="268">
        <f t="shared" si="13"/>
        <v>39.25</v>
      </c>
      <c r="V14" s="268">
        <f t="shared" si="13"/>
        <v>35.35</v>
      </c>
      <c r="W14" s="268">
        <f t="shared" si="13"/>
        <v>42</v>
      </c>
      <c r="X14" s="268">
        <f t="shared" si="13"/>
        <v>47.5</v>
      </c>
      <c r="Y14" s="268">
        <f t="shared" si="13"/>
        <v>3.1720000000000002</v>
      </c>
      <c r="Z14" s="268">
        <f t="shared" si="13"/>
        <v>3.5219999999999998</v>
      </c>
      <c r="AA14" s="268">
        <f t="shared" si="13"/>
        <v>0.34999999999999964</v>
      </c>
    </row>
    <row r="15" spans="1:27" x14ac:dyDescent="0.25">
      <c r="A15" s="265">
        <v>37530</v>
      </c>
      <c r="B15" s="266">
        <f>[1]Peak_Forward!B20</f>
        <v>36</v>
      </c>
      <c r="C15" s="266">
        <f>[1]Peak_Forward!F20</f>
        <v>31.75</v>
      </c>
      <c r="D15" s="266">
        <f>[1]Peak_Forward!G20</f>
        <v>36.25</v>
      </c>
      <c r="E15" s="266">
        <f>[1]Peak_Forward!J20</f>
        <v>34.999997711181599</v>
      </c>
      <c r="F15" s="266">
        <f>[1]Peak_Forward!K20</f>
        <v>41.5</v>
      </c>
      <c r="G15" s="266">
        <f>[1]Peak_Forward!L20</f>
        <v>48</v>
      </c>
      <c r="H15" s="266">
        <f>VLOOKUP($A15,[1]Fuel_Px!$I$7:$N$70,2,0)</f>
        <v>3.1739999999999999</v>
      </c>
      <c r="I15" s="266">
        <f>VLOOKUP($A15,[1]Fuel_Px!$I$7:$N$70,6,0)</f>
        <v>3.5539999999999998</v>
      </c>
      <c r="J15" s="266">
        <f t="shared" si="1"/>
        <v>0.37999999999999989</v>
      </c>
      <c r="R15" s="267">
        <v>37774</v>
      </c>
      <c r="S15" s="268">
        <f>B23</f>
        <v>43.5</v>
      </c>
      <c r="T15" s="268">
        <f t="shared" ref="T15:AA15" si="14">C23</f>
        <v>44.25</v>
      </c>
      <c r="U15" s="268">
        <f t="shared" si="14"/>
        <v>53.75</v>
      </c>
      <c r="V15" s="268">
        <f t="shared" si="14"/>
        <v>42.75</v>
      </c>
      <c r="W15" s="268">
        <f t="shared" si="14"/>
        <v>52</v>
      </c>
      <c r="X15" s="268">
        <f t="shared" si="14"/>
        <v>56.5</v>
      </c>
      <c r="Y15" s="268">
        <f t="shared" si="14"/>
        <v>3.2</v>
      </c>
      <c r="Z15" s="268">
        <f t="shared" si="14"/>
        <v>3.59</v>
      </c>
      <c r="AA15" s="268">
        <f t="shared" si="14"/>
        <v>0.38999999999999968</v>
      </c>
    </row>
    <row r="16" spans="1:27" x14ac:dyDescent="0.25">
      <c r="A16" s="265">
        <v>37561</v>
      </c>
      <c r="B16" s="266">
        <f>[1]Peak_Forward!B21</f>
        <v>36</v>
      </c>
      <c r="C16" s="266">
        <f>[1]Peak_Forward!F21</f>
        <v>31.75</v>
      </c>
      <c r="D16" s="266">
        <f>[1]Peak_Forward!G21</f>
        <v>36.25</v>
      </c>
      <c r="E16" s="266">
        <f>[1]Peak_Forward!J21</f>
        <v>34.999997711181599</v>
      </c>
      <c r="F16" s="266">
        <f>[1]Peak_Forward!K21</f>
        <v>41.5</v>
      </c>
      <c r="G16" s="266">
        <f>[1]Peak_Forward!L21</f>
        <v>48</v>
      </c>
      <c r="H16" s="266">
        <f>VLOOKUP($A16,[1]Fuel_Px!$I$7:$N$70,2,0)</f>
        <v>3.3290000000000002</v>
      </c>
      <c r="I16" s="266">
        <f>VLOOKUP($A16,[1]Fuel_Px!$I$7:$N$70,6,0)</f>
        <v>3.9089999999999998</v>
      </c>
      <c r="J16" s="266">
        <f t="shared" si="1"/>
        <v>0.57999999999999963</v>
      </c>
      <c r="R16" s="267" t="s">
        <v>212</v>
      </c>
      <c r="S16" s="268">
        <f>AVERAGE(B24:B25)</f>
        <v>52.5</v>
      </c>
      <c r="T16" s="268">
        <f t="shared" ref="T16:AA16" si="15">AVERAGE(C24:C25)</f>
        <v>55.5</v>
      </c>
      <c r="U16" s="268">
        <f t="shared" si="15"/>
        <v>69</v>
      </c>
      <c r="V16" s="268">
        <f t="shared" si="15"/>
        <v>56.5</v>
      </c>
      <c r="W16" s="268">
        <f t="shared" si="15"/>
        <v>73</v>
      </c>
      <c r="X16" s="268">
        <f t="shared" si="15"/>
        <v>83.5</v>
      </c>
      <c r="Y16" s="268">
        <f t="shared" si="15"/>
        <v>3.2560000000000002</v>
      </c>
      <c r="Z16" s="268">
        <f t="shared" si="15"/>
        <v>3.6859999999999999</v>
      </c>
      <c r="AA16" s="268">
        <f t="shared" si="15"/>
        <v>0.43000000000000016</v>
      </c>
    </row>
    <row r="17" spans="1:27" x14ac:dyDescent="0.25">
      <c r="A17" s="265">
        <v>37591</v>
      </c>
      <c r="B17" s="266">
        <f>[1]Peak_Forward!B22</f>
        <v>37.25</v>
      </c>
      <c r="C17" s="266">
        <f>[1]Peak_Forward!F22</f>
        <v>31.75</v>
      </c>
      <c r="D17" s="266">
        <f>[1]Peak_Forward!G22</f>
        <v>36.25</v>
      </c>
      <c r="E17" s="266">
        <f>[1]Peak_Forward!J22</f>
        <v>34.999997711181599</v>
      </c>
      <c r="F17" s="266">
        <f>[1]Peak_Forward!K22</f>
        <v>41.5</v>
      </c>
      <c r="G17" s="266">
        <f>[1]Peak_Forward!L22</f>
        <v>48</v>
      </c>
      <c r="H17" s="266">
        <f>VLOOKUP($A17,[1]Fuel_Px!$I$7:$N$70,2,0)</f>
        <v>3.5009999999999999</v>
      </c>
      <c r="I17" s="266">
        <f>VLOOKUP($A17,[1]Fuel_Px!$I$7:$N$70,6,0)</f>
        <v>4.3810000000000002</v>
      </c>
      <c r="J17" s="266">
        <f t="shared" si="1"/>
        <v>0.88000000000000034</v>
      </c>
      <c r="R17" s="269" t="s">
        <v>213</v>
      </c>
      <c r="S17" s="270">
        <f>AVERAGE(B18:B29)</f>
        <v>40.520833333333336</v>
      </c>
      <c r="T17" s="270">
        <f t="shared" ref="T17:AA17" si="16">AVERAGE(C18:C29)</f>
        <v>37.979166666666664</v>
      </c>
      <c r="U17" s="270">
        <f t="shared" si="16"/>
        <v>44.3125</v>
      </c>
      <c r="V17" s="270">
        <f t="shared" si="16"/>
        <v>39.99999974568685</v>
      </c>
      <c r="W17" s="270">
        <f t="shared" si="16"/>
        <v>48.479166666666664</v>
      </c>
      <c r="X17" s="270">
        <f t="shared" si="16"/>
        <v>55.166666666666664</v>
      </c>
      <c r="Y17" s="270">
        <f t="shared" si="16"/>
        <v>3.3360833333333333</v>
      </c>
      <c r="Z17" s="270">
        <f t="shared" si="16"/>
        <v>4.0352500000000004</v>
      </c>
      <c r="AA17" s="270">
        <f t="shared" si="16"/>
        <v>0.69916666666666671</v>
      </c>
    </row>
    <row r="18" spans="1:27" x14ac:dyDescent="0.25">
      <c r="A18" s="265">
        <v>37622</v>
      </c>
      <c r="B18" s="266">
        <f>[1]Peak_Forward!B23</f>
        <v>45.25</v>
      </c>
      <c r="C18" s="266">
        <f>[1]Peak_Forward!F23</f>
        <v>36.5</v>
      </c>
      <c r="D18" s="266">
        <f>[1]Peak_Forward!G23</f>
        <v>42</v>
      </c>
      <c r="E18" s="266">
        <f>[1]Peak_Forward!J23</f>
        <v>40.75</v>
      </c>
      <c r="F18" s="266">
        <f>[1]Peak_Forward!K23</f>
        <v>46.5</v>
      </c>
      <c r="G18" s="266">
        <f>[1]Peak_Forward!L23</f>
        <v>56.5</v>
      </c>
      <c r="H18" s="266">
        <f>VLOOKUP($A18,[1]Fuel_Px!$I$7:$N$70,2,0)</f>
        <v>3.581</v>
      </c>
      <c r="I18" s="266">
        <f>VLOOKUP($A18,[1]Fuel_Px!$I$7:$N$70,6,0)</f>
        <v>5.181</v>
      </c>
      <c r="J18" s="266">
        <f t="shared" si="1"/>
        <v>1.6</v>
      </c>
      <c r="R18" s="267">
        <v>37865</v>
      </c>
      <c r="S18" s="268">
        <f>B26</f>
        <v>35.25</v>
      </c>
      <c r="T18" s="268">
        <f t="shared" ref="T18:AA18" si="17">C26</f>
        <v>32.25</v>
      </c>
      <c r="U18" s="268">
        <f t="shared" si="17"/>
        <v>35.75</v>
      </c>
      <c r="V18" s="268">
        <f t="shared" si="17"/>
        <v>34.25</v>
      </c>
      <c r="W18" s="268">
        <f t="shared" si="17"/>
        <v>41.25</v>
      </c>
      <c r="X18" s="268">
        <f t="shared" si="17"/>
        <v>48.5</v>
      </c>
      <c r="Y18" s="268">
        <f t="shared" si="17"/>
        <v>3.2730000000000001</v>
      </c>
      <c r="Z18" s="268">
        <f t="shared" si="17"/>
        <v>3.653</v>
      </c>
      <c r="AA18" s="268">
        <f t="shared" si="17"/>
        <v>0.37999999999999989</v>
      </c>
    </row>
    <row r="19" spans="1:27" x14ac:dyDescent="0.25">
      <c r="A19" s="265">
        <v>37653</v>
      </c>
      <c r="B19" s="266">
        <f>[1]Peak_Forward!B24</f>
        <v>45.25</v>
      </c>
      <c r="C19" s="266">
        <f>[1]Peak_Forward!F24</f>
        <v>36.5</v>
      </c>
      <c r="D19" s="266">
        <f>[1]Peak_Forward!G24</f>
        <v>42</v>
      </c>
      <c r="E19" s="266">
        <f>[1]Peak_Forward!J24</f>
        <v>40.75</v>
      </c>
      <c r="F19" s="266">
        <f>[1]Peak_Forward!K24</f>
        <v>46.5</v>
      </c>
      <c r="G19" s="266">
        <f>[1]Peak_Forward!L24</f>
        <v>56.5</v>
      </c>
      <c r="H19" s="266">
        <f>VLOOKUP($A19,[1]Fuel_Px!$I$7:$N$70,2,0)</f>
        <v>3.4660000000000002</v>
      </c>
      <c r="I19" s="266">
        <f>VLOOKUP($A19,[1]Fuel_Px!$I$7:$N$70,6,0)</f>
        <v>5.0659999999999998</v>
      </c>
      <c r="J19" s="266">
        <f t="shared" si="1"/>
        <v>1.5999999999999996</v>
      </c>
      <c r="R19" s="267" t="s">
        <v>214</v>
      </c>
      <c r="S19" s="268">
        <f>AVERAGE(B27:B29)</f>
        <v>34.416666666666664</v>
      </c>
      <c r="T19" s="268">
        <f t="shared" ref="T19:AA19" si="18">AVERAGE(C27:C29)</f>
        <v>32</v>
      </c>
      <c r="U19" s="268">
        <f t="shared" si="18"/>
        <v>35.5</v>
      </c>
      <c r="V19" s="268">
        <f t="shared" si="18"/>
        <v>34.75</v>
      </c>
      <c r="W19" s="268">
        <f t="shared" si="18"/>
        <v>41.5</v>
      </c>
      <c r="X19" s="268">
        <f t="shared" si="18"/>
        <v>45.5</v>
      </c>
      <c r="Y19" s="268">
        <f t="shared" si="18"/>
        <v>3.438333333333333</v>
      </c>
      <c r="Z19" s="268">
        <f t="shared" si="18"/>
        <v>4.1516666666666664</v>
      </c>
      <c r="AA19" s="268">
        <f t="shared" si="18"/>
        <v>0.71333333333333337</v>
      </c>
    </row>
    <row r="20" spans="1:27" x14ac:dyDescent="0.25">
      <c r="A20" s="265">
        <v>37681</v>
      </c>
      <c r="B20" s="266">
        <f>[1]Peak_Forward!B25</f>
        <v>36</v>
      </c>
      <c r="C20" s="266">
        <f>[1]Peak_Forward!F25</f>
        <v>33.25</v>
      </c>
      <c r="D20" s="266">
        <f>[1]Peak_Forward!G25</f>
        <v>37.75</v>
      </c>
      <c r="E20" s="266">
        <f>[1]Peak_Forward!J25</f>
        <v>34.449998474121102</v>
      </c>
      <c r="F20" s="266">
        <f>[1]Peak_Forward!K25</f>
        <v>42</v>
      </c>
      <c r="G20" s="266">
        <f>[1]Peak_Forward!L25</f>
        <v>46.5</v>
      </c>
      <c r="H20" s="266">
        <f>VLOOKUP($A20,[1]Fuel_Px!$I$7:$N$70,2,0)</f>
        <v>3.347</v>
      </c>
      <c r="I20" s="266">
        <f>VLOOKUP($A20,[1]Fuel_Px!$I$7:$N$70,6,0)</f>
        <v>4.0170000000000003</v>
      </c>
      <c r="J20" s="266">
        <f t="shared" si="1"/>
        <v>0.67000000000000037</v>
      </c>
      <c r="R20" s="267" t="s">
        <v>215</v>
      </c>
      <c r="S20" s="268">
        <f>AVERAGE(B30:B31)</f>
        <v>44.75</v>
      </c>
      <c r="T20" s="268">
        <f t="shared" ref="T20:AA20" si="19">AVERAGE(C30:C31)</f>
        <v>36.5</v>
      </c>
      <c r="U20" s="268">
        <f t="shared" si="19"/>
        <v>41</v>
      </c>
      <c r="V20" s="268">
        <f t="shared" si="19"/>
        <v>41.75</v>
      </c>
      <c r="W20" s="268">
        <f t="shared" si="19"/>
        <v>46.5</v>
      </c>
      <c r="X20" s="268">
        <f t="shared" si="19"/>
        <v>56.5</v>
      </c>
      <c r="Y20" s="268">
        <f t="shared" si="19"/>
        <v>3.5979999999999999</v>
      </c>
      <c r="Z20" s="268">
        <f t="shared" si="19"/>
        <v>5.1980000000000004</v>
      </c>
      <c r="AA20" s="268">
        <f t="shared" si="19"/>
        <v>1.6</v>
      </c>
    </row>
    <row r="21" spans="1:27" x14ac:dyDescent="0.25">
      <c r="A21" s="265">
        <v>37712</v>
      </c>
      <c r="B21" s="266">
        <f>[1]Peak_Forward!B26</f>
        <v>36</v>
      </c>
      <c r="C21" s="266">
        <f>[1]Peak_Forward!F26</f>
        <v>32.25</v>
      </c>
      <c r="D21" s="266">
        <f>[1]Peak_Forward!G26</f>
        <v>36.75</v>
      </c>
      <c r="E21" s="266">
        <f>[1]Peak_Forward!J26</f>
        <v>34.449998474121102</v>
      </c>
      <c r="F21" s="266">
        <f>[1]Peak_Forward!K26</f>
        <v>41</v>
      </c>
      <c r="G21" s="266">
        <f>[1]Peak_Forward!L26</f>
        <v>46.5</v>
      </c>
      <c r="H21" s="266">
        <f>VLOOKUP($A21,[1]Fuel_Px!$I$7:$N$70,2,0)</f>
        <v>3.1669999999999998</v>
      </c>
      <c r="I21" s="266">
        <f>VLOOKUP($A21,[1]Fuel_Px!$I$7:$N$70,6,0)</f>
        <v>3.5670000000000002</v>
      </c>
      <c r="J21" s="266">
        <f t="shared" si="1"/>
        <v>0.40000000000000036</v>
      </c>
      <c r="R21" s="267" t="s">
        <v>216</v>
      </c>
      <c r="S21" s="268">
        <f>AVERAGE(B32:B33)</f>
        <v>35.5</v>
      </c>
      <c r="T21" s="268">
        <f t="shared" ref="T21:AA21" si="20">AVERAGE(C32:C33)</f>
        <v>32.25</v>
      </c>
      <c r="U21" s="268">
        <f t="shared" si="20"/>
        <v>35.75</v>
      </c>
      <c r="V21" s="268">
        <f t="shared" si="20"/>
        <v>34.449998474121102</v>
      </c>
      <c r="W21" s="268">
        <f t="shared" si="20"/>
        <v>41.5</v>
      </c>
      <c r="X21" s="268">
        <f t="shared" si="20"/>
        <v>45.5</v>
      </c>
      <c r="Y21" s="268">
        <f t="shared" si="20"/>
        <v>3.3099999999999996</v>
      </c>
      <c r="Z21" s="268">
        <f t="shared" si="20"/>
        <v>3.8650000000000002</v>
      </c>
      <c r="AA21" s="268">
        <f t="shared" si="20"/>
        <v>0.55500000000000016</v>
      </c>
    </row>
    <row r="22" spans="1:27" x14ac:dyDescent="0.25">
      <c r="A22" s="265">
        <v>37742</v>
      </c>
      <c r="B22" s="266">
        <f>[1]Peak_Forward!B27</f>
        <v>36.75</v>
      </c>
      <c r="C22" s="266">
        <f>[1]Peak_Forward!F27</f>
        <v>33.75</v>
      </c>
      <c r="D22" s="266">
        <f>[1]Peak_Forward!G27</f>
        <v>39.25</v>
      </c>
      <c r="E22" s="266">
        <f>[1]Peak_Forward!J27</f>
        <v>35.35</v>
      </c>
      <c r="F22" s="266">
        <f>[1]Peak_Forward!K27</f>
        <v>42</v>
      </c>
      <c r="G22" s="266">
        <f>[1]Peak_Forward!L27</f>
        <v>47.5</v>
      </c>
      <c r="H22" s="266">
        <f>VLOOKUP($A22,[1]Fuel_Px!$I$7:$N$70,2,0)</f>
        <v>3.1720000000000002</v>
      </c>
      <c r="I22" s="266">
        <f>VLOOKUP($A22,[1]Fuel_Px!$I$7:$N$70,6,0)</f>
        <v>3.5219999999999998</v>
      </c>
      <c r="J22" s="266">
        <f t="shared" si="1"/>
        <v>0.34999999999999964</v>
      </c>
      <c r="R22" s="267">
        <v>38108</v>
      </c>
      <c r="S22" s="268">
        <f>B34</f>
        <v>36.25</v>
      </c>
      <c r="T22" s="268">
        <f t="shared" ref="T22:AA22" si="21">C34</f>
        <v>34.5</v>
      </c>
      <c r="U22" s="268">
        <f t="shared" si="21"/>
        <v>39</v>
      </c>
      <c r="V22" s="268">
        <f t="shared" si="21"/>
        <v>35.85</v>
      </c>
      <c r="W22" s="268">
        <f t="shared" si="21"/>
        <v>42</v>
      </c>
      <c r="X22" s="268">
        <f t="shared" si="21"/>
        <v>47.5</v>
      </c>
      <c r="Y22" s="268">
        <f t="shared" si="21"/>
        <v>3.2069999999999999</v>
      </c>
      <c r="Z22" s="268">
        <f t="shared" si="21"/>
        <v>3.5569999999999999</v>
      </c>
      <c r="AA22" s="268">
        <f t="shared" si="21"/>
        <v>0.35000000000000009</v>
      </c>
    </row>
    <row r="23" spans="1:27" x14ac:dyDescent="0.25">
      <c r="A23" s="265">
        <v>37773</v>
      </c>
      <c r="B23" s="266">
        <f>[1]Peak_Forward!B28</f>
        <v>43.5</v>
      </c>
      <c r="C23" s="266">
        <f>[1]Peak_Forward!F28</f>
        <v>44.25</v>
      </c>
      <c r="D23" s="266">
        <f>[1]Peak_Forward!G28</f>
        <v>53.75</v>
      </c>
      <c r="E23" s="266">
        <f>[1]Peak_Forward!J28</f>
        <v>42.75</v>
      </c>
      <c r="F23" s="266">
        <f>[1]Peak_Forward!K28</f>
        <v>52</v>
      </c>
      <c r="G23" s="266">
        <f>[1]Peak_Forward!L28</f>
        <v>56.5</v>
      </c>
      <c r="H23" s="266">
        <f>VLOOKUP($A23,[1]Fuel_Px!$I$7:$N$70,2,0)</f>
        <v>3.2</v>
      </c>
      <c r="I23" s="266">
        <f>VLOOKUP($A23,[1]Fuel_Px!$I$7:$N$70,6,0)</f>
        <v>3.59</v>
      </c>
      <c r="J23" s="266">
        <f t="shared" si="1"/>
        <v>0.38999999999999968</v>
      </c>
      <c r="R23" s="267">
        <v>38140</v>
      </c>
      <c r="S23" s="268">
        <f>B35</f>
        <v>43</v>
      </c>
      <c r="T23" s="268">
        <f t="shared" ref="T23:AA23" si="22">C35</f>
        <v>44.25</v>
      </c>
      <c r="U23" s="268">
        <f t="shared" si="22"/>
        <v>53.75</v>
      </c>
      <c r="V23" s="268">
        <f t="shared" si="22"/>
        <v>42.25</v>
      </c>
      <c r="W23" s="268">
        <f t="shared" si="22"/>
        <v>52</v>
      </c>
      <c r="X23" s="268">
        <f t="shared" si="22"/>
        <v>55.5</v>
      </c>
      <c r="Y23" s="268">
        <f t="shared" si="22"/>
        <v>3.2389999999999999</v>
      </c>
      <c r="Z23" s="268">
        <f t="shared" si="22"/>
        <v>3.629</v>
      </c>
      <c r="AA23" s="268">
        <f t="shared" si="22"/>
        <v>0.39000000000000012</v>
      </c>
    </row>
    <row r="24" spans="1:27" x14ac:dyDescent="0.25">
      <c r="A24" s="265">
        <v>37803</v>
      </c>
      <c r="B24" s="266">
        <f>[1]Peak_Forward!B29</f>
        <v>52.5</v>
      </c>
      <c r="C24" s="266">
        <f>[1]Peak_Forward!F29</f>
        <v>55.5</v>
      </c>
      <c r="D24" s="266">
        <f>[1]Peak_Forward!G29</f>
        <v>70</v>
      </c>
      <c r="E24" s="266">
        <f>[1]Peak_Forward!J29</f>
        <v>56.5</v>
      </c>
      <c r="F24" s="266">
        <f>[1]Peak_Forward!K29</f>
        <v>73</v>
      </c>
      <c r="G24" s="266">
        <f>[1]Peak_Forward!L29</f>
        <v>83.5</v>
      </c>
      <c r="H24" s="266">
        <f>VLOOKUP($A24,[1]Fuel_Px!$I$7:$N$70,2,0)</f>
        <v>3.242</v>
      </c>
      <c r="I24" s="266">
        <f>VLOOKUP($A24,[1]Fuel_Px!$I$7:$N$70,6,0)</f>
        <v>3.6720000000000002</v>
      </c>
      <c r="J24" s="266">
        <f t="shared" si="1"/>
        <v>0.43000000000000016</v>
      </c>
      <c r="R24" s="267" t="s">
        <v>217</v>
      </c>
      <c r="S24" s="268">
        <f>AVERAGE(B36:B37)</f>
        <v>52</v>
      </c>
      <c r="T24" s="268">
        <f t="shared" ref="T24:AA24" si="23">AVERAGE(C36:C37)</f>
        <v>54.75</v>
      </c>
      <c r="U24" s="268">
        <f t="shared" si="23"/>
        <v>72.75</v>
      </c>
      <c r="V24" s="268">
        <f t="shared" si="23"/>
        <v>56.75</v>
      </c>
      <c r="W24" s="268">
        <f t="shared" si="23"/>
        <v>72</v>
      </c>
      <c r="X24" s="268">
        <f t="shared" si="23"/>
        <v>83.5</v>
      </c>
      <c r="Y24" s="268">
        <f t="shared" si="23"/>
        <v>3.306</v>
      </c>
      <c r="Z24" s="268">
        <f t="shared" si="23"/>
        <v>3.7359999999999998</v>
      </c>
      <c r="AA24" s="268">
        <f t="shared" si="23"/>
        <v>0.42999999999999994</v>
      </c>
    </row>
    <row r="25" spans="1:27" x14ac:dyDescent="0.25">
      <c r="A25" s="265">
        <v>37834</v>
      </c>
      <c r="B25" s="266">
        <f>[1]Peak_Forward!B30</f>
        <v>52.5</v>
      </c>
      <c r="C25" s="266">
        <f>[1]Peak_Forward!F30</f>
        <v>55.5</v>
      </c>
      <c r="D25" s="266">
        <f>[1]Peak_Forward!G30</f>
        <v>68</v>
      </c>
      <c r="E25" s="266">
        <f>[1]Peak_Forward!J30</f>
        <v>56.5</v>
      </c>
      <c r="F25" s="266">
        <f>[1]Peak_Forward!K30</f>
        <v>73</v>
      </c>
      <c r="G25" s="266">
        <f>[1]Peak_Forward!L30</f>
        <v>83.5</v>
      </c>
      <c r="H25" s="266">
        <f>VLOOKUP($A25,[1]Fuel_Px!$I$7:$N$70,2,0)</f>
        <v>3.27</v>
      </c>
      <c r="I25" s="266">
        <f>VLOOKUP($A25,[1]Fuel_Px!$I$7:$N$70,6,0)</f>
        <v>3.7</v>
      </c>
      <c r="J25" s="266">
        <f t="shared" si="1"/>
        <v>0.43000000000000016</v>
      </c>
      <c r="R25" s="269" t="s">
        <v>218</v>
      </c>
      <c r="S25" s="270">
        <f>AVERAGE(B30:B41)</f>
        <v>40.020833333333336</v>
      </c>
      <c r="T25" s="270">
        <f t="shared" ref="T25:AA25" si="24">AVERAGE(C30:C41)</f>
        <v>37.6875</v>
      </c>
      <c r="U25" s="270">
        <f t="shared" si="24"/>
        <v>44.520833333333336</v>
      </c>
      <c r="V25" s="270">
        <f t="shared" si="24"/>
        <v>40.333333079020186</v>
      </c>
      <c r="W25" s="270">
        <f t="shared" si="24"/>
        <v>48.333333333333336</v>
      </c>
      <c r="X25" s="270">
        <f t="shared" si="24"/>
        <v>55.083333333333336</v>
      </c>
      <c r="Y25" s="270">
        <f t="shared" si="24"/>
        <v>3.3895833333333338</v>
      </c>
      <c r="Z25" s="270">
        <f t="shared" si="24"/>
        <v>4.0933333333333346</v>
      </c>
      <c r="AA25" s="270">
        <f t="shared" si="24"/>
        <v>0.70374999999999999</v>
      </c>
    </row>
    <row r="26" spans="1:27" x14ac:dyDescent="0.25">
      <c r="A26" s="265">
        <v>37865</v>
      </c>
      <c r="B26" s="266">
        <f>[1]Peak_Forward!B31</f>
        <v>35.25</v>
      </c>
      <c r="C26" s="266">
        <f>[1]Peak_Forward!F31</f>
        <v>32.25</v>
      </c>
      <c r="D26" s="266">
        <f>[1]Peak_Forward!G31</f>
        <v>35.75</v>
      </c>
      <c r="E26" s="266">
        <f>[1]Peak_Forward!J31</f>
        <v>34.25</v>
      </c>
      <c r="F26" s="266">
        <f>[1]Peak_Forward!K31</f>
        <v>41.25</v>
      </c>
      <c r="G26" s="266">
        <f>[1]Peak_Forward!L31</f>
        <v>48.5</v>
      </c>
      <c r="H26" s="266">
        <f>VLOOKUP($A26,[1]Fuel_Px!$I$7:$N$70,2,0)</f>
        <v>3.2730000000000001</v>
      </c>
      <c r="I26" s="266">
        <f>VLOOKUP($A26,[1]Fuel_Px!$I$7:$N$70,6,0)</f>
        <v>3.653</v>
      </c>
      <c r="J26" s="266">
        <f t="shared" si="1"/>
        <v>0.37999999999999989</v>
      </c>
      <c r="R26" s="267">
        <v>38231</v>
      </c>
      <c r="S26" s="268">
        <f>B38</f>
        <v>34.75</v>
      </c>
      <c r="T26" s="268">
        <f t="shared" ref="T26:AA26" si="25">C38</f>
        <v>32</v>
      </c>
      <c r="U26" s="268">
        <f t="shared" si="25"/>
        <v>37.5</v>
      </c>
      <c r="V26" s="268">
        <f t="shared" si="25"/>
        <v>34.25</v>
      </c>
      <c r="W26" s="268">
        <f t="shared" si="25"/>
        <v>41.5</v>
      </c>
      <c r="X26" s="268">
        <f t="shared" si="25"/>
        <v>50.5</v>
      </c>
      <c r="Y26" s="268">
        <f t="shared" si="25"/>
        <v>3.3359999999999999</v>
      </c>
      <c r="Z26" s="268">
        <f t="shared" si="25"/>
        <v>3.7160000000000002</v>
      </c>
      <c r="AA26" s="268">
        <f t="shared" si="25"/>
        <v>0.38000000000000034</v>
      </c>
    </row>
    <row r="27" spans="1:27" x14ac:dyDescent="0.25">
      <c r="A27" s="265">
        <v>37895</v>
      </c>
      <c r="B27" s="266">
        <f>[1]Peak_Forward!B32</f>
        <v>34</v>
      </c>
      <c r="C27" s="266">
        <f>[1]Peak_Forward!F32</f>
        <v>32</v>
      </c>
      <c r="D27" s="266">
        <f>[1]Peak_Forward!G32</f>
        <v>35.5</v>
      </c>
      <c r="E27" s="266">
        <f>[1]Peak_Forward!J32</f>
        <v>34.75</v>
      </c>
      <c r="F27" s="266">
        <f>[1]Peak_Forward!K32</f>
        <v>41.5</v>
      </c>
      <c r="G27" s="266">
        <f>[1]Peak_Forward!L32</f>
        <v>45.5</v>
      </c>
      <c r="H27" s="266">
        <f>VLOOKUP($A27,[1]Fuel_Px!$I$7:$N$70,2,0)</f>
        <v>3.28</v>
      </c>
      <c r="I27" s="266">
        <f>VLOOKUP($A27,[1]Fuel_Px!$I$7:$N$70,6,0)</f>
        <v>3.7</v>
      </c>
      <c r="J27" s="266">
        <f t="shared" si="1"/>
        <v>0.42000000000000037</v>
      </c>
      <c r="R27" s="267" t="s">
        <v>219</v>
      </c>
      <c r="S27" s="268">
        <f>AVERAGE(B39:B41)</f>
        <v>33.916666666666664</v>
      </c>
      <c r="T27" s="268">
        <f t="shared" ref="T27:AA27" si="26">AVERAGE(C39:C41)</f>
        <v>31.5</v>
      </c>
      <c r="U27" s="268">
        <f t="shared" si="26"/>
        <v>35</v>
      </c>
      <c r="V27" s="268">
        <f t="shared" si="26"/>
        <v>35.25</v>
      </c>
      <c r="W27" s="268">
        <f t="shared" si="26"/>
        <v>41.5</v>
      </c>
      <c r="X27" s="268">
        <f t="shared" si="26"/>
        <v>45.5</v>
      </c>
      <c r="Y27" s="268">
        <f t="shared" si="26"/>
        <v>3.4883333333333333</v>
      </c>
      <c r="Z27" s="268">
        <f t="shared" si="26"/>
        <v>4.206666666666667</v>
      </c>
      <c r="AA27" s="268">
        <f t="shared" si="26"/>
        <v>0.71833333333333338</v>
      </c>
    </row>
    <row r="28" spans="1:27" x14ac:dyDescent="0.25">
      <c r="A28" s="265">
        <v>37926</v>
      </c>
      <c r="B28" s="266">
        <f>[1]Peak_Forward!B33</f>
        <v>34</v>
      </c>
      <c r="C28" s="266">
        <f>[1]Peak_Forward!F33</f>
        <v>32</v>
      </c>
      <c r="D28" s="266">
        <f>[1]Peak_Forward!G33</f>
        <v>35.5</v>
      </c>
      <c r="E28" s="266">
        <f>[1]Peak_Forward!J33</f>
        <v>34.75</v>
      </c>
      <c r="F28" s="266">
        <f>[1]Peak_Forward!K33</f>
        <v>41.5</v>
      </c>
      <c r="G28" s="266">
        <f>[1]Peak_Forward!L33</f>
        <v>45.5</v>
      </c>
      <c r="H28" s="266">
        <f>VLOOKUP($A28,[1]Fuel_Px!$I$7:$N$70,2,0)</f>
        <v>3.4350000000000001</v>
      </c>
      <c r="I28" s="266">
        <f>VLOOKUP($A28,[1]Fuel_Px!$I$7:$N$70,6,0)</f>
        <v>4.1550000000000002</v>
      </c>
      <c r="J28" s="266">
        <f t="shared" si="1"/>
        <v>0.7200000000000002</v>
      </c>
      <c r="R28" s="267" t="s">
        <v>220</v>
      </c>
    </row>
    <row r="29" spans="1:27" x14ac:dyDescent="0.25">
      <c r="A29" s="265">
        <v>37956</v>
      </c>
      <c r="B29" s="266">
        <f>[1]Peak_Forward!B34</f>
        <v>35.25</v>
      </c>
      <c r="C29" s="266">
        <f>[1]Peak_Forward!F34</f>
        <v>32</v>
      </c>
      <c r="D29" s="266">
        <f>[1]Peak_Forward!G34</f>
        <v>35.5</v>
      </c>
      <c r="E29" s="266">
        <f>[1]Peak_Forward!J34</f>
        <v>34.75</v>
      </c>
      <c r="F29" s="266">
        <f>[1]Peak_Forward!K34</f>
        <v>41.5</v>
      </c>
      <c r="G29" s="266">
        <f>[1]Peak_Forward!L34</f>
        <v>45.5</v>
      </c>
      <c r="H29" s="266">
        <f>VLOOKUP($A29,[1]Fuel_Px!$I$7:$N$70,2,0)</f>
        <v>3.6</v>
      </c>
      <c r="I29" s="266">
        <f>VLOOKUP($A29,[1]Fuel_Px!$I$7:$N$70,6,0)</f>
        <v>4.5999999999999996</v>
      </c>
      <c r="J29" s="266">
        <f t="shared" si="1"/>
        <v>0.99999999999999956</v>
      </c>
      <c r="R29" s="267" t="s">
        <v>221</v>
      </c>
    </row>
    <row r="30" spans="1:27" x14ac:dyDescent="0.25">
      <c r="A30" s="265">
        <v>37987</v>
      </c>
      <c r="B30" s="266">
        <f>[1]Peak_Forward!B35</f>
        <v>44.75</v>
      </c>
      <c r="C30" s="266">
        <f>[1]Peak_Forward!F35</f>
        <v>36.5</v>
      </c>
      <c r="D30" s="266">
        <f>[1]Peak_Forward!G35</f>
        <v>41</v>
      </c>
      <c r="E30" s="266">
        <f>[1]Peak_Forward!J35</f>
        <v>41.75</v>
      </c>
      <c r="F30" s="266">
        <f>[1]Peak_Forward!K35</f>
        <v>46.5</v>
      </c>
      <c r="G30" s="266">
        <f>[1]Peak_Forward!L35</f>
        <v>56.5</v>
      </c>
      <c r="H30" s="266">
        <f>VLOOKUP($A30,[1]Fuel_Px!$I$7:$N$70,2,0)</f>
        <v>3.6549999999999998</v>
      </c>
      <c r="I30" s="266">
        <f>VLOOKUP($A30,[1]Fuel_Px!$I$7:$N$70,6,0)</f>
        <v>5.2549999999999999</v>
      </c>
      <c r="J30" s="266">
        <f t="shared" si="1"/>
        <v>1.6</v>
      </c>
      <c r="R30" s="267">
        <v>38473</v>
      </c>
    </row>
    <row r="31" spans="1:27" x14ac:dyDescent="0.25">
      <c r="A31" s="265">
        <v>38018</v>
      </c>
      <c r="B31" s="266">
        <f>[1]Peak_Forward!B36</f>
        <v>44.75</v>
      </c>
      <c r="C31" s="266">
        <f>[1]Peak_Forward!F36</f>
        <v>36.5</v>
      </c>
      <c r="D31" s="266">
        <f>[1]Peak_Forward!G36</f>
        <v>41</v>
      </c>
      <c r="E31" s="266">
        <f>[1]Peak_Forward!J36</f>
        <v>41.75</v>
      </c>
      <c r="F31" s="266">
        <f>[1]Peak_Forward!K36</f>
        <v>46.5</v>
      </c>
      <c r="G31" s="266">
        <f>[1]Peak_Forward!L36</f>
        <v>56.5</v>
      </c>
      <c r="H31" s="266">
        <f>VLOOKUP($A31,[1]Fuel_Px!$I$7:$N$70,2,0)</f>
        <v>3.5409999999999999</v>
      </c>
      <c r="I31" s="266">
        <f>VLOOKUP($A31,[1]Fuel_Px!$I$7:$N$70,6,0)</f>
        <v>5.141</v>
      </c>
      <c r="J31" s="266">
        <f t="shared" si="1"/>
        <v>1.6</v>
      </c>
      <c r="R31" s="267">
        <v>38505</v>
      </c>
    </row>
    <row r="32" spans="1:27" x14ac:dyDescent="0.25">
      <c r="A32" s="265">
        <v>38047</v>
      </c>
      <c r="B32" s="266">
        <f>[1]Peak_Forward!B37</f>
        <v>35.5</v>
      </c>
      <c r="C32" s="266">
        <f>[1]Peak_Forward!F37</f>
        <v>32.5</v>
      </c>
      <c r="D32" s="266">
        <f>[1]Peak_Forward!G37</f>
        <v>36</v>
      </c>
      <c r="E32" s="266">
        <f>[1]Peak_Forward!J37</f>
        <v>34.449998474121102</v>
      </c>
      <c r="F32" s="266">
        <f>[1]Peak_Forward!K37</f>
        <v>42</v>
      </c>
      <c r="G32" s="266">
        <f>[1]Peak_Forward!L37</f>
        <v>45.5</v>
      </c>
      <c r="H32" s="266">
        <f>VLOOKUP($A32,[1]Fuel_Px!$I$7:$N$70,2,0)</f>
        <v>3.4089999999999998</v>
      </c>
      <c r="I32" s="266">
        <f>VLOOKUP($A32,[1]Fuel_Px!$I$7:$N$70,6,0)</f>
        <v>4.1189999999999998</v>
      </c>
      <c r="J32" s="266">
        <f t="shared" si="1"/>
        <v>0.71</v>
      </c>
      <c r="R32" s="267" t="s">
        <v>222</v>
      </c>
    </row>
    <row r="33" spans="1:27" x14ac:dyDescent="0.25">
      <c r="A33" s="265">
        <v>38078</v>
      </c>
      <c r="B33" s="266">
        <f>[1]Peak_Forward!B38</f>
        <v>35.5</v>
      </c>
      <c r="C33" s="266">
        <f>[1]Peak_Forward!F38</f>
        <v>32</v>
      </c>
      <c r="D33" s="266">
        <f>[1]Peak_Forward!G38</f>
        <v>35.5</v>
      </c>
      <c r="E33" s="266">
        <f>[1]Peak_Forward!J38</f>
        <v>34.449998474121102</v>
      </c>
      <c r="F33" s="266">
        <f>[1]Peak_Forward!K38</f>
        <v>41</v>
      </c>
      <c r="G33" s="266">
        <f>[1]Peak_Forward!L38</f>
        <v>45.5</v>
      </c>
      <c r="H33" s="266">
        <f>VLOOKUP($A33,[1]Fuel_Px!$I$7:$N$70,2,0)</f>
        <v>3.2109999999999999</v>
      </c>
      <c r="I33" s="266">
        <f>VLOOKUP($A33,[1]Fuel_Px!$I$7:$N$70,6,0)</f>
        <v>3.6110000000000002</v>
      </c>
      <c r="J33" s="266">
        <f t="shared" si="1"/>
        <v>0.40000000000000036</v>
      </c>
    </row>
    <row r="34" spans="1:27" x14ac:dyDescent="0.25">
      <c r="A34" s="265">
        <v>38108</v>
      </c>
      <c r="B34" s="266">
        <f>[1]Peak_Forward!B39</f>
        <v>36.25</v>
      </c>
      <c r="C34" s="266">
        <f>[1]Peak_Forward!F39</f>
        <v>34.5</v>
      </c>
      <c r="D34" s="266">
        <f>[1]Peak_Forward!G39</f>
        <v>39</v>
      </c>
      <c r="E34" s="266">
        <f>[1]Peak_Forward!J39</f>
        <v>35.85</v>
      </c>
      <c r="F34" s="266">
        <f>[1]Peak_Forward!K39</f>
        <v>42</v>
      </c>
      <c r="G34" s="266">
        <f>[1]Peak_Forward!L39</f>
        <v>47.5</v>
      </c>
      <c r="H34" s="266">
        <f>VLOOKUP($A34,[1]Fuel_Px!$I$7:$N$70,2,0)</f>
        <v>3.2069999999999999</v>
      </c>
      <c r="I34" s="266">
        <f>VLOOKUP($A34,[1]Fuel_Px!$I$7:$N$70,6,0)</f>
        <v>3.5569999999999999</v>
      </c>
      <c r="J34" s="266">
        <f t="shared" si="1"/>
        <v>0.35000000000000009</v>
      </c>
      <c r="R34" t="s">
        <v>223</v>
      </c>
      <c r="S34" s="268">
        <f>AVERAGE(B4:B8)</f>
        <v>42.85</v>
      </c>
      <c r="T34" s="268">
        <f t="shared" ref="T34:AA34" si="27">AVERAGE(C4:C8)</f>
        <v>33.15</v>
      </c>
      <c r="U34" s="268">
        <f t="shared" si="27"/>
        <v>38.049999999999997</v>
      </c>
      <c r="V34" s="268">
        <f t="shared" si="27"/>
        <v>36.65</v>
      </c>
      <c r="W34" s="268">
        <f t="shared" si="27"/>
        <v>43.8</v>
      </c>
      <c r="X34" s="268">
        <f t="shared" si="27"/>
        <v>50</v>
      </c>
      <c r="Y34" s="268">
        <f t="shared" si="27"/>
        <v>3.0394000000000001</v>
      </c>
      <c r="Z34" s="268">
        <f t="shared" si="27"/>
        <v>4.1794000000000002</v>
      </c>
      <c r="AA34" s="268">
        <f t="shared" si="27"/>
        <v>1.1400000000000001</v>
      </c>
    </row>
    <row r="35" spans="1:27" x14ac:dyDescent="0.25">
      <c r="A35" s="265">
        <v>38139</v>
      </c>
      <c r="B35" s="266">
        <f>[1]Peak_Forward!B40</f>
        <v>43</v>
      </c>
      <c r="C35" s="266">
        <f>[1]Peak_Forward!F40</f>
        <v>44.25</v>
      </c>
      <c r="D35" s="266">
        <f>[1]Peak_Forward!G40</f>
        <v>53.75</v>
      </c>
      <c r="E35" s="266">
        <f>[1]Peak_Forward!J40</f>
        <v>42.25</v>
      </c>
      <c r="F35" s="266">
        <f>[1]Peak_Forward!K40</f>
        <v>52</v>
      </c>
      <c r="G35" s="266">
        <f>[1]Peak_Forward!L40</f>
        <v>55.5</v>
      </c>
      <c r="H35" s="266">
        <f>VLOOKUP($A35,[1]Fuel_Px!$I$7:$N$70,2,0)</f>
        <v>3.2389999999999999</v>
      </c>
      <c r="I35" s="266">
        <f>VLOOKUP($A35,[1]Fuel_Px!$I$7:$N$70,6,0)</f>
        <v>3.629</v>
      </c>
      <c r="J35" s="266">
        <f t="shared" si="1"/>
        <v>0.39000000000000012</v>
      </c>
      <c r="R35" t="s">
        <v>224</v>
      </c>
      <c r="S35" s="268">
        <f>AVERAGE(B16:B20)</f>
        <v>39.950000000000003</v>
      </c>
      <c r="T35" s="268">
        <f t="shared" ref="T35:AA35" si="28">AVERAGE(C16:C20)</f>
        <v>33.950000000000003</v>
      </c>
      <c r="U35" s="268">
        <f t="shared" si="28"/>
        <v>38.85</v>
      </c>
      <c r="V35" s="268">
        <f t="shared" si="28"/>
        <v>37.189998779296864</v>
      </c>
      <c r="W35" s="268">
        <f t="shared" si="28"/>
        <v>43.6</v>
      </c>
      <c r="X35" s="268">
        <f t="shared" si="28"/>
        <v>51.1</v>
      </c>
      <c r="Y35" s="268">
        <f t="shared" si="28"/>
        <v>3.4447999999999999</v>
      </c>
      <c r="Z35" s="268">
        <f t="shared" si="28"/>
        <v>4.5107999999999997</v>
      </c>
      <c r="AA35" s="268">
        <f t="shared" si="28"/>
        <v>1.0660000000000001</v>
      </c>
    </row>
    <row r="36" spans="1:27" x14ac:dyDescent="0.25">
      <c r="A36" s="265">
        <v>38169</v>
      </c>
      <c r="B36" s="266">
        <f>[1]Peak_Forward!B41</f>
        <v>52</v>
      </c>
      <c r="C36" s="266">
        <f>[1]Peak_Forward!F41</f>
        <v>54.75</v>
      </c>
      <c r="D36" s="266">
        <f>[1]Peak_Forward!G41</f>
        <v>73.25</v>
      </c>
      <c r="E36" s="266">
        <f>[1]Peak_Forward!J41</f>
        <v>56.75</v>
      </c>
      <c r="F36" s="266">
        <f>[1]Peak_Forward!K41</f>
        <v>72</v>
      </c>
      <c r="G36" s="266">
        <f>[1]Peak_Forward!L41</f>
        <v>83.5</v>
      </c>
      <c r="H36" s="266">
        <f>VLOOKUP($A36,[1]Fuel_Px!$I$7:$N$70,2,0)</f>
        <v>3.2890000000000001</v>
      </c>
      <c r="I36" s="266">
        <f>VLOOKUP($A36,[1]Fuel_Px!$I$7:$N$70,6,0)</f>
        <v>3.7189999999999999</v>
      </c>
      <c r="J36" s="266">
        <f t="shared" si="1"/>
        <v>0.42999999999999972</v>
      </c>
      <c r="R36" t="s">
        <v>225</v>
      </c>
      <c r="S36" s="268">
        <f>AVERAGE(B28:B32)</f>
        <v>38.85</v>
      </c>
      <c r="T36" s="268">
        <f t="shared" ref="T36:AA36" si="29">AVERAGE(C28:C32)</f>
        <v>33.9</v>
      </c>
      <c r="U36" s="268">
        <f t="shared" si="29"/>
        <v>37.799999999999997</v>
      </c>
      <c r="V36" s="268">
        <f t="shared" si="29"/>
        <v>37.48999969482422</v>
      </c>
      <c r="W36" s="268">
        <f t="shared" si="29"/>
        <v>43.6</v>
      </c>
      <c r="X36" s="268">
        <f t="shared" si="29"/>
        <v>49.9</v>
      </c>
      <c r="Y36" s="268">
        <f t="shared" si="29"/>
        <v>3.528</v>
      </c>
      <c r="Z36" s="268">
        <f t="shared" si="29"/>
        <v>4.653999999999999</v>
      </c>
      <c r="AA36" s="268">
        <f t="shared" si="29"/>
        <v>1.1259999999999999</v>
      </c>
    </row>
    <row r="37" spans="1:27" x14ac:dyDescent="0.25">
      <c r="A37" s="265">
        <v>38200</v>
      </c>
      <c r="B37" s="266">
        <f>[1]Peak_Forward!B42</f>
        <v>52</v>
      </c>
      <c r="C37" s="266">
        <f>[1]Peak_Forward!F42</f>
        <v>54.75</v>
      </c>
      <c r="D37" s="266">
        <f>[1]Peak_Forward!G42</f>
        <v>72.25</v>
      </c>
      <c r="E37" s="266">
        <f>[1]Peak_Forward!J42</f>
        <v>56.75</v>
      </c>
      <c r="F37" s="266">
        <f>[1]Peak_Forward!K42</f>
        <v>72</v>
      </c>
      <c r="G37" s="266">
        <f>[1]Peak_Forward!L42</f>
        <v>83.5</v>
      </c>
      <c r="H37" s="266">
        <f>VLOOKUP($A37,[1]Fuel_Px!$I$7:$N$70,2,0)</f>
        <v>3.323</v>
      </c>
      <c r="I37" s="266">
        <f>VLOOKUP($A37,[1]Fuel_Px!$I$7:$N$70,6,0)</f>
        <v>3.7530000000000001</v>
      </c>
      <c r="J37" s="266">
        <f t="shared" si="1"/>
        <v>0.43000000000000016</v>
      </c>
    </row>
    <row r="38" spans="1:27" x14ac:dyDescent="0.25">
      <c r="A38" s="265">
        <v>38231</v>
      </c>
      <c r="B38" s="266">
        <f>[1]Peak_Forward!B43</f>
        <v>34.75</v>
      </c>
      <c r="C38" s="266">
        <f>[1]Peak_Forward!F43</f>
        <v>32</v>
      </c>
      <c r="D38" s="266">
        <f>[1]Peak_Forward!G43</f>
        <v>37.5</v>
      </c>
      <c r="E38" s="266">
        <f>[1]Peak_Forward!J43</f>
        <v>34.25</v>
      </c>
      <c r="F38" s="266">
        <f>[1]Peak_Forward!K43</f>
        <v>41.5</v>
      </c>
      <c r="G38" s="266">
        <f>[1]Peak_Forward!L43</f>
        <v>50.5</v>
      </c>
      <c r="H38" s="266">
        <f>VLOOKUP($A38,[1]Fuel_Px!$I$7:$N$70,2,0)</f>
        <v>3.3359999999999999</v>
      </c>
      <c r="I38" s="266">
        <f>VLOOKUP($A38,[1]Fuel_Px!$I$7:$N$70,6,0)</f>
        <v>3.7160000000000002</v>
      </c>
      <c r="J38" s="266">
        <f t="shared" si="1"/>
        <v>0.38000000000000034</v>
      </c>
    </row>
    <row r="39" spans="1:27" x14ac:dyDescent="0.25">
      <c r="A39" s="265">
        <v>38261</v>
      </c>
      <c r="B39" s="266">
        <f>[1]Peak_Forward!B44</f>
        <v>33.5</v>
      </c>
      <c r="C39" s="266">
        <f>[1]Peak_Forward!F44</f>
        <v>31.5</v>
      </c>
      <c r="D39" s="266">
        <f>[1]Peak_Forward!G44</f>
        <v>35</v>
      </c>
      <c r="E39" s="266">
        <f>[1]Peak_Forward!J44</f>
        <v>35.25</v>
      </c>
      <c r="F39" s="266">
        <f>[1]Peak_Forward!K44</f>
        <v>41.5</v>
      </c>
      <c r="G39" s="266">
        <f>[1]Peak_Forward!L44</f>
        <v>45.5</v>
      </c>
      <c r="H39" s="266">
        <f>VLOOKUP($A39,[1]Fuel_Px!$I$7:$N$70,2,0)</f>
        <v>3.335</v>
      </c>
      <c r="I39" s="266">
        <f>VLOOKUP($A39,[1]Fuel_Px!$I$7:$N$70,6,0)</f>
        <v>3.7549999999999999</v>
      </c>
      <c r="J39" s="266">
        <f t="shared" si="1"/>
        <v>0.41999999999999993</v>
      </c>
    </row>
    <row r="40" spans="1:27" x14ac:dyDescent="0.25">
      <c r="A40" s="265">
        <v>38292</v>
      </c>
      <c r="B40" s="266">
        <f>[1]Peak_Forward!B45</f>
        <v>33.5</v>
      </c>
      <c r="C40" s="266">
        <f>[1]Peak_Forward!F45</f>
        <v>31.5</v>
      </c>
      <c r="D40" s="266">
        <f>[1]Peak_Forward!G45</f>
        <v>35</v>
      </c>
      <c r="E40" s="266">
        <f>[1]Peak_Forward!J45</f>
        <v>35.25</v>
      </c>
      <c r="F40" s="266">
        <f>[1]Peak_Forward!K45</f>
        <v>41.5</v>
      </c>
      <c r="G40" s="266">
        <f>[1]Peak_Forward!L45</f>
        <v>45.5</v>
      </c>
      <c r="H40" s="266">
        <f>VLOOKUP($A40,[1]Fuel_Px!$I$7:$N$70,2,0)</f>
        <v>3.4849999999999999</v>
      </c>
      <c r="I40" s="266">
        <f>VLOOKUP($A40,[1]Fuel_Px!$I$7:$N$70,6,0)</f>
        <v>4.21</v>
      </c>
      <c r="J40" s="266">
        <f t="shared" si="1"/>
        <v>0.72500000000000009</v>
      </c>
    </row>
    <row r="41" spans="1:27" x14ac:dyDescent="0.25">
      <c r="A41" s="265">
        <v>38322</v>
      </c>
      <c r="B41" s="266">
        <f>[1]Peak_Forward!B46</f>
        <v>34.75</v>
      </c>
      <c r="C41" s="266">
        <f>[1]Peak_Forward!F46</f>
        <v>31.5</v>
      </c>
      <c r="D41" s="266">
        <f>[1]Peak_Forward!G46</f>
        <v>35</v>
      </c>
      <c r="E41" s="266">
        <f>[1]Peak_Forward!J46</f>
        <v>35.25</v>
      </c>
      <c r="F41" s="266">
        <f>[1]Peak_Forward!K46</f>
        <v>41.5</v>
      </c>
      <c r="G41" s="266">
        <f>[1]Peak_Forward!L46</f>
        <v>45.5</v>
      </c>
      <c r="H41" s="266">
        <f>VLOOKUP($A41,[1]Fuel_Px!$I$7:$N$70,2,0)</f>
        <v>3.645</v>
      </c>
      <c r="I41" s="266">
        <f>VLOOKUP($A41,[1]Fuel_Px!$I$7:$N$70,6,0)</f>
        <v>4.6550000000000002</v>
      </c>
      <c r="J41" s="266">
        <f t="shared" si="1"/>
        <v>1.0100000000000002</v>
      </c>
    </row>
    <row r="42" spans="1:27" x14ac:dyDescent="0.25">
      <c r="A42" s="265"/>
    </row>
    <row r="43" spans="1:27" x14ac:dyDescent="0.25">
      <c r="A43" s="2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zoomScale="75" workbookViewId="0">
      <selection activeCell="L35" sqref="L35"/>
    </sheetView>
  </sheetViews>
  <sheetFormatPr defaultColWidth="9.109375" defaultRowHeight="13.2" x14ac:dyDescent="0.25"/>
  <cols>
    <col min="1" max="6" width="9.109375" style="58"/>
    <col min="7" max="7" width="8.88671875" style="58" customWidth="1"/>
    <col min="8" max="9" width="9.109375" style="58"/>
    <col min="10" max="10" width="0" style="58" hidden="1" customWidth="1"/>
    <col min="11" max="14" width="9.109375" style="58"/>
    <col min="15" max="15" width="11.109375" style="58" customWidth="1"/>
    <col min="16" max="16384" width="9.109375" style="58"/>
  </cols>
  <sheetData>
    <row r="1" spans="1:18" ht="16.2" thickBot="1" x14ac:dyDescent="0.35">
      <c r="A1" s="271" t="s">
        <v>226</v>
      </c>
      <c r="B1" s="272" t="s">
        <v>227</v>
      </c>
      <c r="C1" s="272" t="s">
        <v>228</v>
      </c>
      <c r="D1" s="272" t="s">
        <v>229</v>
      </c>
      <c r="E1" s="272" t="s">
        <v>195</v>
      </c>
      <c r="F1" s="273" t="s">
        <v>230</v>
      </c>
      <c r="G1" s="274" t="s">
        <v>231</v>
      </c>
      <c r="H1" s="275" t="s">
        <v>231</v>
      </c>
      <c r="I1" s="63" t="s">
        <v>231</v>
      </c>
      <c r="K1" s="276"/>
      <c r="L1" s="277"/>
      <c r="M1" s="277"/>
      <c r="N1" s="278" t="s">
        <v>232</v>
      </c>
      <c r="O1" s="277"/>
      <c r="P1" s="277"/>
      <c r="Q1" s="279"/>
      <c r="R1" s="51"/>
    </row>
    <row r="2" spans="1:18" ht="15.6" x14ac:dyDescent="0.3">
      <c r="A2" s="280"/>
      <c r="B2" s="48" t="s">
        <v>233</v>
      </c>
      <c r="C2" s="48" t="s">
        <v>233</v>
      </c>
      <c r="D2" s="48" t="s">
        <v>233</v>
      </c>
      <c r="E2" s="48" t="s">
        <v>233</v>
      </c>
      <c r="F2" s="281" t="s">
        <v>233</v>
      </c>
      <c r="G2" s="282" t="s">
        <v>234</v>
      </c>
      <c r="H2" s="62" t="s">
        <v>195</v>
      </c>
      <c r="I2" s="283" t="s">
        <v>230</v>
      </c>
      <c r="K2" s="284" t="s">
        <v>235</v>
      </c>
      <c r="L2" s="520" t="s">
        <v>236</v>
      </c>
      <c r="M2" s="521"/>
      <c r="N2" s="522"/>
      <c r="O2" s="520" t="s">
        <v>237</v>
      </c>
      <c r="P2" s="521"/>
      <c r="Q2" s="522"/>
    </row>
    <row r="3" spans="1:18" ht="13.8" thickBot="1" x14ac:dyDescent="0.3">
      <c r="A3" s="285"/>
      <c r="B3" s="286" t="s">
        <v>238</v>
      </c>
      <c r="C3" s="286"/>
      <c r="D3" s="286"/>
      <c r="E3" s="286"/>
      <c r="F3" s="287"/>
      <c r="G3" s="132"/>
      <c r="H3" s="288"/>
      <c r="I3" s="289"/>
      <c r="K3" s="206"/>
      <c r="L3" s="290" t="s">
        <v>227</v>
      </c>
      <c r="M3" s="290" t="s">
        <v>228</v>
      </c>
      <c r="N3" s="291" t="s">
        <v>229</v>
      </c>
      <c r="O3" s="290" t="s">
        <v>227</v>
      </c>
      <c r="P3" s="290" t="s">
        <v>228</v>
      </c>
      <c r="Q3" s="291" t="s">
        <v>229</v>
      </c>
    </row>
    <row r="4" spans="1:18" x14ac:dyDescent="0.25">
      <c r="A4" s="292">
        <f>+[3]Summary!U5</f>
        <v>37135</v>
      </c>
      <c r="B4" s="415">
        <v>0</v>
      </c>
      <c r="C4" s="415">
        <v>0</v>
      </c>
      <c r="D4" s="415">
        <v>0</v>
      </c>
      <c r="E4" s="415">
        <v>0</v>
      </c>
      <c r="F4" s="416">
        <v>0</v>
      </c>
      <c r="G4" s="295">
        <f>+B4+C4+D4</f>
        <v>0</v>
      </c>
      <c r="H4" s="296">
        <f>+E4</f>
        <v>0</v>
      </c>
      <c r="I4" s="297">
        <f>+F4</f>
        <v>0</v>
      </c>
      <c r="K4" s="292">
        <f t="shared" ref="K4:K27" si="0">A4</f>
        <v>37135</v>
      </c>
      <c r="L4" s="298">
        <f>'ZONE A POSITIONS'!E4</f>
        <v>0</v>
      </c>
      <c r="M4" s="298">
        <v>0</v>
      </c>
      <c r="N4" s="299">
        <v>0</v>
      </c>
      <c r="O4" s="300">
        <f>'[3]NYISO A'!H12</f>
        <v>30.28</v>
      </c>
      <c r="P4" s="300">
        <f>'[3]NYISO G'!H12</f>
        <v>35.71</v>
      </c>
      <c r="Q4" s="301">
        <f>'[3]NYISO J'!H12</f>
        <v>36.979999999999997</v>
      </c>
    </row>
    <row r="5" spans="1:18" ht="15.75" customHeight="1" x14ac:dyDescent="0.25">
      <c r="A5" s="292">
        <f>+[3]Summary!U6</f>
        <v>37136</v>
      </c>
      <c r="B5" s="415">
        <v>0</v>
      </c>
      <c r="C5" s="415">
        <v>0</v>
      </c>
      <c r="D5" s="415">
        <v>0</v>
      </c>
      <c r="E5" s="415">
        <v>0</v>
      </c>
      <c r="F5" s="416">
        <v>0</v>
      </c>
      <c r="G5" s="295">
        <f t="shared" ref="G5:G27" si="1">+B5+C5+D5</f>
        <v>0</v>
      </c>
      <c r="H5" s="296">
        <f>+E5</f>
        <v>0</v>
      </c>
      <c r="I5" s="297">
        <f t="shared" ref="I5:I33" si="2">+F5</f>
        <v>0</v>
      </c>
      <c r="K5" s="292">
        <f t="shared" si="0"/>
        <v>37136</v>
      </c>
      <c r="L5" s="298">
        <f>'ZONE A POSITIONS'!E5</f>
        <v>0</v>
      </c>
      <c r="M5" s="298">
        <v>0</v>
      </c>
      <c r="N5" s="299">
        <v>0</v>
      </c>
      <c r="O5" s="300">
        <f>'[3]NYISO A'!H13</f>
        <v>34</v>
      </c>
      <c r="P5" s="300">
        <f>'[3]NYISO G'!H13</f>
        <v>38</v>
      </c>
      <c r="Q5" s="301">
        <f>'[3]NYISO J'!H13</f>
        <v>42</v>
      </c>
    </row>
    <row r="6" spans="1:18" ht="13.5" customHeight="1" x14ac:dyDescent="0.25">
      <c r="A6" s="292">
        <f>+[3]Summary!U7</f>
        <v>37137</v>
      </c>
      <c r="B6" s="415">
        <v>0</v>
      </c>
      <c r="C6" s="415">
        <v>0</v>
      </c>
      <c r="D6" s="415">
        <v>0</v>
      </c>
      <c r="E6" s="293">
        <v>0</v>
      </c>
      <c r="F6" s="294">
        <v>0</v>
      </c>
      <c r="G6" s="295">
        <f t="shared" ref="G6:G11" si="3">+B6+C6+D6</f>
        <v>0</v>
      </c>
      <c r="H6" s="296">
        <f t="shared" ref="H6:I11" si="4">+E6</f>
        <v>0</v>
      </c>
      <c r="I6" s="297">
        <f t="shared" si="4"/>
        <v>0</v>
      </c>
      <c r="K6" s="292">
        <f t="shared" si="0"/>
        <v>37137</v>
      </c>
      <c r="L6" s="298">
        <f>'ZONE A POSITIONS'!E6</f>
        <v>0</v>
      </c>
      <c r="M6" s="298">
        <v>0</v>
      </c>
      <c r="N6" s="299">
        <v>0</v>
      </c>
      <c r="O6" s="300">
        <f>'[3]NYISO A'!H14</f>
        <v>34</v>
      </c>
      <c r="P6" s="300">
        <f>'[3]NYISO G'!H14</f>
        <v>44</v>
      </c>
      <c r="Q6" s="301">
        <f>'[3]NYISO J'!H14</f>
        <v>45</v>
      </c>
      <c r="R6" s="302">
        <f t="shared" ref="R6:R11" si="5">+P6-O6</f>
        <v>10</v>
      </c>
    </row>
    <row r="7" spans="1:18" x14ac:dyDescent="0.25">
      <c r="A7" s="292">
        <f>+[3]Summary!U8</f>
        <v>37138</v>
      </c>
      <c r="B7" s="293">
        <f>'ZONE A POSITIONS'!I8</f>
        <v>0</v>
      </c>
      <c r="C7" s="415">
        <v>0</v>
      </c>
      <c r="D7" s="415">
        <v>0</v>
      </c>
      <c r="E7" s="293">
        <v>0</v>
      </c>
      <c r="F7" s="294">
        <v>0</v>
      </c>
      <c r="G7" s="295">
        <f t="shared" si="3"/>
        <v>0</v>
      </c>
      <c r="H7" s="296">
        <f t="shared" si="4"/>
        <v>0</v>
      </c>
      <c r="I7" s="297">
        <f t="shared" si="4"/>
        <v>0</v>
      </c>
      <c r="K7" s="292">
        <f t="shared" si="0"/>
        <v>37138</v>
      </c>
      <c r="L7" s="298">
        <f>'ZONE A POSITIONS'!E8</f>
        <v>35</v>
      </c>
      <c r="M7" s="298">
        <f>'ZONE G POSITIONS'!E8</f>
        <v>35</v>
      </c>
      <c r="N7" s="299">
        <f>'ZONE J POSITIONS'!E8</f>
        <v>35</v>
      </c>
      <c r="O7" s="300">
        <f>'[3]NYISO A'!H15</f>
        <v>38.5</v>
      </c>
      <c r="P7" s="300">
        <f>'[3]NYISO G'!H15</f>
        <v>49.5</v>
      </c>
      <c r="Q7" s="301">
        <f>'[3]NYISO J'!H15</f>
        <v>53</v>
      </c>
      <c r="R7" s="302">
        <f t="shared" si="5"/>
        <v>11</v>
      </c>
    </row>
    <row r="8" spans="1:18" x14ac:dyDescent="0.25">
      <c r="A8" s="292">
        <f>+[3]Summary!U9</f>
        <v>37139</v>
      </c>
      <c r="B8" s="293">
        <f>'ZONE A POSITIONS'!I9</f>
        <v>0</v>
      </c>
      <c r="C8" s="293">
        <f>'ZONE G POSITIONS'!I9</f>
        <v>0</v>
      </c>
      <c r="D8" s="293">
        <f>'ZONE J POSITIONS'!I9</f>
        <v>0</v>
      </c>
      <c r="E8" s="293">
        <v>0</v>
      </c>
      <c r="F8" s="294">
        <v>0</v>
      </c>
      <c r="G8" s="295">
        <f t="shared" si="3"/>
        <v>0</v>
      </c>
      <c r="H8" s="296">
        <f t="shared" si="4"/>
        <v>0</v>
      </c>
      <c r="I8" s="297">
        <f t="shared" si="4"/>
        <v>0</v>
      </c>
      <c r="K8" s="292">
        <f t="shared" si="0"/>
        <v>37139</v>
      </c>
      <c r="L8" s="298">
        <f>'ZONE A POSITIONS'!E9</f>
        <v>35</v>
      </c>
      <c r="M8" s="298">
        <f>'ZONE G POSITIONS'!E9</f>
        <v>35</v>
      </c>
      <c r="N8" s="299">
        <f>'ZONE J POSITIONS'!E9</f>
        <v>35</v>
      </c>
      <c r="O8" s="300">
        <f>'[3]NYISO A'!H16</f>
        <v>41</v>
      </c>
      <c r="P8" s="300">
        <f>'[3]NYISO G'!H16</f>
        <v>49.5</v>
      </c>
      <c r="Q8" s="301">
        <f>'[3]NYISO J'!H16</f>
        <v>53</v>
      </c>
      <c r="R8" s="302">
        <f t="shared" si="5"/>
        <v>8.5</v>
      </c>
    </row>
    <row r="9" spans="1:18" x14ac:dyDescent="0.25">
      <c r="A9" s="292">
        <f>+[3]Summary!U10</f>
        <v>37140</v>
      </c>
      <c r="B9" s="293">
        <f>'ZONE A POSITIONS'!I10</f>
        <v>0</v>
      </c>
      <c r="C9" s="293">
        <f>'ZONE G POSITIONS'!I10</f>
        <v>0</v>
      </c>
      <c r="D9" s="293">
        <f>'ZONE J POSITIONS'!I10</f>
        <v>0</v>
      </c>
      <c r="E9" s="293">
        <v>-50</v>
      </c>
      <c r="F9" s="294">
        <v>0</v>
      </c>
      <c r="G9" s="295">
        <f t="shared" si="3"/>
        <v>0</v>
      </c>
      <c r="H9" s="296">
        <f t="shared" si="4"/>
        <v>-50</v>
      </c>
      <c r="I9" s="297">
        <f t="shared" si="4"/>
        <v>0</v>
      </c>
      <c r="K9" s="292">
        <f t="shared" si="0"/>
        <v>37140</v>
      </c>
      <c r="L9" s="298">
        <f>'ZONE A POSITIONS'!E10</f>
        <v>35</v>
      </c>
      <c r="M9" s="298">
        <f>'ZONE G POSITIONS'!E10</f>
        <v>35</v>
      </c>
      <c r="N9" s="299">
        <f>'ZONE J POSITIONS'!E10</f>
        <v>35</v>
      </c>
      <c r="O9" s="300">
        <f>'[3]NYISO A'!H17</f>
        <v>41</v>
      </c>
      <c r="P9" s="300">
        <f>'[3]NYISO G'!H17</f>
        <v>49.5</v>
      </c>
      <c r="Q9" s="301">
        <f>'[3]NYISO J'!H17</f>
        <v>53</v>
      </c>
      <c r="R9" s="302">
        <f t="shared" si="5"/>
        <v>8.5</v>
      </c>
    </row>
    <row r="10" spans="1:18" ht="14.25" customHeight="1" x14ac:dyDescent="0.25">
      <c r="A10" s="292">
        <f>+[3]Summary!U11</f>
        <v>37141</v>
      </c>
      <c r="B10" s="293">
        <f>'ZONE A POSITIONS'!I11</f>
        <v>0</v>
      </c>
      <c r="C10" s="293">
        <f>'ZONE G POSITIONS'!I11</f>
        <v>0</v>
      </c>
      <c r="D10" s="293">
        <f>'ZONE J POSITIONS'!I11</f>
        <v>0</v>
      </c>
      <c r="E10" s="293">
        <v>-50</v>
      </c>
      <c r="F10" s="294">
        <v>0</v>
      </c>
      <c r="G10" s="295">
        <f t="shared" si="3"/>
        <v>0</v>
      </c>
      <c r="H10" s="296">
        <f t="shared" si="4"/>
        <v>-50</v>
      </c>
      <c r="I10" s="297">
        <f t="shared" si="4"/>
        <v>0</v>
      </c>
      <c r="K10" s="292">
        <f t="shared" si="0"/>
        <v>37141</v>
      </c>
      <c r="L10" s="298">
        <f>'ZONE A POSITIONS'!E11</f>
        <v>32.25</v>
      </c>
      <c r="M10" s="298">
        <f>'ZONE G POSITIONS'!E11</f>
        <v>37.25</v>
      </c>
      <c r="N10" s="299">
        <f>'ZONE J POSITIONS'!E11</f>
        <v>38.75</v>
      </c>
      <c r="O10" s="300">
        <f>'[3]NYISO A'!H18</f>
        <v>41</v>
      </c>
      <c r="P10" s="300">
        <f>'[3]NYISO G'!H18</f>
        <v>38</v>
      </c>
      <c r="Q10" s="301">
        <f>'[3]NYISO J'!H18</f>
        <v>48.25</v>
      </c>
      <c r="R10" s="302">
        <f t="shared" si="5"/>
        <v>-3</v>
      </c>
    </row>
    <row r="11" spans="1:18" x14ac:dyDescent="0.25">
      <c r="A11" s="292">
        <f>+[3]Summary!U14</f>
        <v>37144</v>
      </c>
      <c r="B11" s="293">
        <f>'ZONE A POSITIONS'!R14</f>
        <v>0</v>
      </c>
      <c r="C11" s="293">
        <f>'ZONE G POSITIONS'!R14</f>
        <v>0</v>
      </c>
      <c r="D11" s="293">
        <f>'ZONE J POSITIONS'!R14</f>
        <v>0</v>
      </c>
      <c r="E11" s="293">
        <v>-50</v>
      </c>
      <c r="F11" s="294">
        <v>0</v>
      </c>
      <c r="G11" s="295">
        <f t="shared" si="3"/>
        <v>0</v>
      </c>
      <c r="H11" s="296">
        <f t="shared" si="4"/>
        <v>-50</v>
      </c>
      <c r="I11" s="297">
        <f t="shared" si="4"/>
        <v>0</v>
      </c>
      <c r="K11" s="292">
        <f t="shared" si="0"/>
        <v>37144</v>
      </c>
      <c r="L11" s="298">
        <f>'ZONE A POSITIONS'!E12</f>
        <v>32.25</v>
      </c>
      <c r="M11" s="298">
        <f>'ZONE G POSITIONS'!E12</f>
        <v>37.25</v>
      </c>
      <c r="N11" s="299">
        <f>'ZONE J POSITIONS'!E12</f>
        <v>38.75</v>
      </c>
      <c r="O11" s="300">
        <f>'[3]NYISO A'!H21</f>
        <v>34.5</v>
      </c>
      <c r="P11" s="300">
        <f>'[3]NYISO G'!H21</f>
        <v>40.5</v>
      </c>
      <c r="Q11" s="301">
        <f>'[3]NYISO J'!H21</f>
        <v>45.75</v>
      </c>
      <c r="R11" s="302">
        <f t="shared" si="5"/>
        <v>6</v>
      </c>
    </row>
    <row r="12" spans="1:18" x14ac:dyDescent="0.25">
      <c r="A12" s="292">
        <f>+[3]Summary!U15</f>
        <v>37145</v>
      </c>
      <c r="B12" s="293">
        <f>'ZONE A POSITIONS'!R15</f>
        <v>0</v>
      </c>
      <c r="C12" s="293">
        <f>'ZONE G POSITIONS'!R15</f>
        <v>0</v>
      </c>
      <c r="D12" s="293">
        <f>'ZONE J POSITIONS'!R15</f>
        <v>0</v>
      </c>
      <c r="E12" s="293">
        <v>0</v>
      </c>
      <c r="F12" s="294">
        <v>0</v>
      </c>
      <c r="G12" s="295">
        <f t="shared" si="1"/>
        <v>0</v>
      </c>
      <c r="H12" s="296">
        <f t="shared" ref="H12:H27" si="6">+E12</f>
        <v>0</v>
      </c>
      <c r="I12" s="297">
        <f t="shared" si="2"/>
        <v>0</v>
      </c>
      <c r="K12" s="292">
        <f t="shared" si="0"/>
        <v>37145</v>
      </c>
      <c r="L12" s="298">
        <f>'ZONE A POSITIONS'!E13</f>
        <v>32.25</v>
      </c>
      <c r="M12" s="298">
        <f>'ZONE G POSITIONS'!E13</f>
        <v>37.25</v>
      </c>
      <c r="N12" s="299">
        <f>'ZONE J POSITIONS'!E13</f>
        <v>38.75</v>
      </c>
      <c r="O12" s="300">
        <f>'[3]NYISO A'!H22</f>
        <v>34.5</v>
      </c>
      <c r="P12" s="300">
        <f>'[3]NYISO G'!H22</f>
        <v>40.5</v>
      </c>
      <c r="Q12" s="301">
        <f>'[3]NYISO J'!H22</f>
        <v>45.75</v>
      </c>
    </row>
    <row r="13" spans="1:18" x14ac:dyDescent="0.25">
      <c r="A13" s="292">
        <f>+[3]Summary!U16</f>
        <v>37146</v>
      </c>
      <c r="B13" s="293">
        <f>'ZONE A POSITIONS'!R16</f>
        <v>0</v>
      </c>
      <c r="C13" s="293">
        <f>'ZONE G POSITIONS'!R16</f>
        <v>0</v>
      </c>
      <c r="D13" s="293">
        <f>'ZONE J POSITIONS'!R16</f>
        <v>0</v>
      </c>
      <c r="E13" s="293">
        <v>-50</v>
      </c>
      <c r="F13" s="294">
        <v>0</v>
      </c>
      <c r="G13" s="295">
        <f t="shared" si="1"/>
        <v>0</v>
      </c>
      <c r="H13" s="296">
        <f t="shared" si="6"/>
        <v>-50</v>
      </c>
      <c r="I13" s="297">
        <f t="shared" si="2"/>
        <v>0</v>
      </c>
      <c r="K13" s="292">
        <f t="shared" si="0"/>
        <v>37146</v>
      </c>
      <c r="L13" s="298">
        <f>'ZONE A POSITIONS'!E14</f>
        <v>32.25</v>
      </c>
      <c r="M13" s="298">
        <f>'ZONE G POSITIONS'!E14</f>
        <v>37.25</v>
      </c>
      <c r="N13" s="299">
        <f>'ZONE J POSITIONS'!E14</f>
        <v>38.75</v>
      </c>
      <c r="O13" s="300">
        <f>'[3]NYISO A'!H23</f>
        <v>34.5</v>
      </c>
      <c r="P13" s="300">
        <f>'[3]NYISO G'!H23</f>
        <v>40.5</v>
      </c>
      <c r="Q13" s="301">
        <f>'[3]NYISO J'!H23</f>
        <v>45.75</v>
      </c>
    </row>
    <row r="14" spans="1:18" x14ac:dyDescent="0.25">
      <c r="A14" s="292">
        <f>+[3]Summary!U17</f>
        <v>37147</v>
      </c>
      <c r="B14" s="293">
        <f>'ZONE A POSITIONS'!R17</f>
        <v>0</v>
      </c>
      <c r="C14" s="293">
        <f>'ZONE G POSITIONS'!R17</f>
        <v>0</v>
      </c>
      <c r="D14" s="293">
        <f>'ZONE J POSITIONS'!R17</f>
        <v>0</v>
      </c>
      <c r="E14" s="293">
        <v>-50</v>
      </c>
      <c r="F14" s="294">
        <v>0</v>
      </c>
      <c r="G14" s="295">
        <f t="shared" si="1"/>
        <v>0</v>
      </c>
      <c r="H14" s="296">
        <f t="shared" si="6"/>
        <v>-50</v>
      </c>
      <c r="I14" s="297">
        <f t="shared" si="2"/>
        <v>0</v>
      </c>
      <c r="K14" s="292">
        <f t="shared" si="0"/>
        <v>37147</v>
      </c>
      <c r="L14" s="298">
        <f>'ZONE A POSITIONS'!E15</f>
        <v>32.25</v>
      </c>
      <c r="M14" s="298">
        <f>'ZONE G POSITIONS'!E15</f>
        <v>37.25</v>
      </c>
      <c r="N14" s="299">
        <f>'ZONE J POSITIONS'!E15</f>
        <v>38.75</v>
      </c>
      <c r="O14" s="300">
        <f>'[3]NYISO A'!H24</f>
        <v>34.5</v>
      </c>
      <c r="P14" s="300">
        <f>'[3]NYISO G'!H24</f>
        <v>40.5</v>
      </c>
      <c r="Q14" s="301">
        <f>'[3]NYISO J'!H24</f>
        <v>45.75</v>
      </c>
    </row>
    <row r="15" spans="1:18" ht="13.5" customHeight="1" x14ac:dyDescent="0.25">
      <c r="A15" s="292">
        <f>+[3]Summary!U18</f>
        <v>37148</v>
      </c>
      <c r="B15" s="293">
        <f>'ZONE A POSITIONS'!R18</f>
        <v>0</v>
      </c>
      <c r="C15" s="293">
        <f>'ZONE G POSITIONS'!R18</f>
        <v>0</v>
      </c>
      <c r="D15" s="293">
        <f>'ZONE J POSITIONS'!R18</f>
        <v>0</v>
      </c>
      <c r="E15" s="293">
        <v>-50</v>
      </c>
      <c r="F15" s="294">
        <v>0</v>
      </c>
      <c r="G15" s="295">
        <f t="shared" si="1"/>
        <v>0</v>
      </c>
      <c r="H15" s="296">
        <f t="shared" si="6"/>
        <v>-50</v>
      </c>
      <c r="I15" s="297">
        <f t="shared" si="2"/>
        <v>0</v>
      </c>
      <c r="K15" s="292">
        <f t="shared" si="0"/>
        <v>37148</v>
      </c>
      <c r="L15" s="298">
        <f>'ZONE A POSITIONS'!E16</f>
        <v>29.549999999999997</v>
      </c>
      <c r="M15" s="298">
        <f>'ZONE G POSITIONS'!E16</f>
        <v>33.5</v>
      </c>
      <c r="N15" s="299">
        <f>'ZONE J POSITIONS'!E16</f>
        <v>35.75</v>
      </c>
      <c r="O15" s="300">
        <f>'[3]NYISO A'!H25</f>
        <v>34.5</v>
      </c>
      <c r="P15" s="300">
        <f>'[3]NYISO G'!H25</f>
        <v>40.5</v>
      </c>
      <c r="Q15" s="301">
        <f>'[3]NYISO J'!H25</f>
        <v>45.75</v>
      </c>
    </row>
    <row r="16" spans="1:18" x14ac:dyDescent="0.25">
      <c r="A16" s="292">
        <f>+[3]Summary!U21</f>
        <v>37151</v>
      </c>
      <c r="B16" s="293">
        <f>'ZONE A POSITIONS'!R19</f>
        <v>0</v>
      </c>
      <c r="C16" s="293">
        <f>'ZONE G POSITIONS'!R19</f>
        <v>0</v>
      </c>
      <c r="D16" s="293">
        <f>'ZONE J POSITIONS'!R19</f>
        <v>0</v>
      </c>
      <c r="E16" s="293">
        <v>0</v>
      </c>
      <c r="F16" s="294">
        <v>0</v>
      </c>
      <c r="G16" s="295">
        <f t="shared" si="1"/>
        <v>0</v>
      </c>
      <c r="H16" s="296">
        <f t="shared" si="6"/>
        <v>0</v>
      </c>
      <c r="I16" s="297">
        <f t="shared" si="2"/>
        <v>0</v>
      </c>
      <c r="K16" s="292">
        <f t="shared" si="0"/>
        <v>37151</v>
      </c>
      <c r="L16" s="298">
        <f>'ZONE A POSITIONS'!E17</f>
        <v>32.25</v>
      </c>
      <c r="M16" s="298">
        <f>'ZONE G POSITIONS'!E17</f>
        <v>33.625</v>
      </c>
      <c r="N16" s="299">
        <f>'ZONE J POSITIONS'!E17</f>
        <v>36</v>
      </c>
      <c r="O16" s="300">
        <f>'[3]NYISO A'!H28</f>
        <v>34.5</v>
      </c>
      <c r="P16" s="300">
        <f>'[3]NYISO G'!H28</f>
        <v>40.5</v>
      </c>
      <c r="Q16" s="301">
        <f>'[3]NYISO J'!H28</f>
        <v>45.75</v>
      </c>
    </row>
    <row r="17" spans="1:17" x14ac:dyDescent="0.25">
      <c r="A17" s="292">
        <f>+[3]Summary!U22</f>
        <v>37152</v>
      </c>
      <c r="B17" s="293">
        <f>'ZONE A POSITIONS'!R20</f>
        <v>0</v>
      </c>
      <c r="C17" s="293">
        <f>'ZONE G POSITIONS'!R20</f>
        <v>0</v>
      </c>
      <c r="D17" s="293">
        <f>'ZONE J POSITIONS'!R20</f>
        <v>0</v>
      </c>
      <c r="E17" s="293">
        <v>0</v>
      </c>
      <c r="F17" s="294">
        <v>0</v>
      </c>
      <c r="G17" s="295">
        <f t="shared" si="1"/>
        <v>0</v>
      </c>
      <c r="H17" s="296">
        <f t="shared" si="6"/>
        <v>0</v>
      </c>
      <c r="I17" s="297">
        <f t="shared" si="2"/>
        <v>0</v>
      </c>
      <c r="K17" s="292">
        <f t="shared" si="0"/>
        <v>37152</v>
      </c>
      <c r="L17" s="298">
        <f>'ZONE A POSITIONS'!E18</f>
        <v>32.25</v>
      </c>
      <c r="M17" s="298">
        <f>'ZONE G POSITIONS'!E18</f>
        <v>37.25</v>
      </c>
      <c r="N17" s="299">
        <f>'ZONE J POSITIONS'!E18</f>
        <v>38.75</v>
      </c>
      <c r="O17" s="300">
        <f>'[3]NYISO A'!H29</f>
        <v>34.5</v>
      </c>
      <c r="P17" s="300">
        <f>'[3]NYISO G'!H29</f>
        <v>40.5</v>
      </c>
      <c r="Q17" s="301">
        <f>'[3]NYISO J'!H29</f>
        <v>45.75</v>
      </c>
    </row>
    <row r="18" spans="1:17" x14ac:dyDescent="0.25">
      <c r="A18" s="292">
        <f>+[3]Summary!U23</f>
        <v>37153</v>
      </c>
      <c r="B18" s="293">
        <f>'ZONE A POSITIONS'!R21</f>
        <v>0</v>
      </c>
      <c r="C18" s="293">
        <f>'ZONE G POSITIONS'!R21</f>
        <v>0</v>
      </c>
      <c r="D18" s="293">
        <f>'ZONE J POSITIONS'!R21</f>
        <v>0</v>
      </c>
      <c r="E18" s="293">
        <v>-50</v>
      </c>
      <c r="F18" s="294">
        <v>0</v>
      </c>
      <c r="G18" s="295">
        <f t="shared" si="1"/>
        <v>0</v>
      </c>
      <c r="H18" s="296">
        <f t="shared" si="6"/>
        <v>-50</v>
      </c>
      <c r="I18" s="297">
        <f t="shared" si="2"/>
        <v>0</v>
      </c>
      <c r="K18" s="292">
        <f t="shared" si="0"/>
        <v>37153</v>
      </c>
      <c r="L18" s="298">
        <f>'ZONE A POSITIONS'!E19</f>
        <v>32.25</v>
      </c>
      <c r="M18" s="298">
        <f>'ZONE G POSITIONS'!E19</f>
        <v>37.25</v>
      </c>
      <c r="N18" s="299">
        <f>'ZONE J POSITIONS'!E19</f>
        <v>38.75</v>
      </c>
      <c r="O18" s="300">
        <f>'[3]NYISO A'!H30</f>
        <v>34.5</v>
      </c>
      <c r="P18" s="300">
        <f>'[3]NYISO G'!H30</f>
        <v>40.5</v>
      </c>
      <c r="Q18" s="301">
        <f>'[3]NYISO J'!H30</f>
        <v>45.75</v>
      </c>
    </row>
    <row r="19" spans="1:17" ht="12" customHeight="1" x14ac:dyDescent="0.25">
      <c r="A19" s="292">
        <f>+[3]Summary!U24</f>
        <v>37154</v>
      </c>
      <c r="B19" s="293">
        <f>'ZONE A POSITIONS'!R22</f>
        <v>0</v>
      </c>
      <c r="C19" s="293">
        <f>'ZONE G POSITIONS'!R22</f>
        <v>0</v>
      </c>
      <c r="D19" s="293">
        <f>'ZONE J POSITIONS'!R22</f>
        <v>0</v>
      </c>
      <c r="E19" s="293">
        <v>-50</v>
      </c>
      <c r="F19" s="294">
        <v>0</v>
      </c>
      <c r="G19" s="295">
        <f t="shared" si="1"/>
        <v>0</v>
      </c>
      <c r="H19" s="296">
        <f t="shared" si="6"/>
        <v>-50</v>
      </c>
      <c r="I19" s="297">
        <f t="shared" si="2"/>
        <v>0</v>
      </c>
      <c r="K19" s="292">
        <f t="shared" si="0"/>
        <v>37154</v>
      </c>
      <c r="L19" s="298">
        <f>'ZONE A POSITIONS'!E20</f>
        <v>32.25</v>
      </c>
      <c r="M19" s="298">
        <f>'ZONE G POSITIONS'!E20</f>
        <v>37.25</v>
      </c>
      <c r="N19" s="299">
        <f>'ZONE J POSITIONS'!E20</f>
        <v>38.75</v>
      </c>
      <c r="O19" s="300">
        <f>'[3]NYISO A'!H31</f>
        <v>34.5</v>
      </c>
      <c r="P19" s="300">
        <f>'[3]NYISO G'!H31</f>
        <v>40.5</v>
      </c>
      <c r="Q19" s="301">
        <f>'[3]NYISO J'!H31</f>
        <v>45.75</v>
      </c>
    </row>
    <row r="20" spans="1:17" x14ac:dyDescent="0.25">
      <c r="A20" s="292">
        <f>+[3]Summary!U25</f>
        <v>37155</v>
      </c>
      <c r="B20" s="293">
        <f>'ZONE A POSITIONS'!R23</f>
        <v>0</v>
      </c>
      <c r="C20" s="293">
        <f>'ZONE G POSITIONS'!R23</f>
        <v>0</v>
      </c>
      <c r="D20" s="293">
        <f>'ZONE J POSITIONS'!R23</f>
        <v>0</v>
      </c>
      <c r="E20" s="293">
        <v>-50</v>
      </c>
      <c r="F20" s="294">
        <v>0</v>
      </c>
      <c r="G20" s="295">
        <f t="shared" si="1"/>
        <v>0</v>
      </c>
      <c r="H20" s="296">
        <f t="shared" si="6"/>
        <v>-50</v>
      </c>
      <c r="I20" s="297">
        <f t="shared" si="2"/>
        <v>0</v>
      </c>
      <c r="K20" s="292">
        <f t="shared" si="0"/>
        <v>37155</v>
      </c>
      <c r="L20" s="298">
        <f>'ZONE A POSITIONS'!E21</f>
        <v>32.25</v>
      </c>
      <c r="M20" s="298">
        <f>'ZONE G POSITIONS'!E21</f>
        <v>37.25</v>
      </c>
      <c r="N20" s="299">
        <f>'ZONE J POSITIONS'!E21</f>
        <v>38.75</v>
      </c>
      <c r="O20" s="300">
        <f>'[3]NYISO A'!H32</f>
        <v>34.5</v>
      </c>
      <c r="P20" s="300">
        <f>'[3]NYISO G'!H32</f>
        <v>40.5</v>
      </c>
      <c r="Q20" s="301">
        <f>'[3]NYISO J'!H32</f>
        <v>45.75</v>
      </c>
    </row>
    <row r="21" spans="1:17" x14ac:dyDescent="0.25">
      <c r="A21" s="292">
        <f>+[3]Summary!U28</f>
        <v>37158</v>
      </c>
      <c r="B21" s="293">
        <f>'ZONE A POSITIONS'!R24</f>
        <v>0</v>
      </c>
      <c r="C21" s="293">
        <f>'ZONE G POSITIONS'!R24</f>
        <v>0</v>
      </c>
      <c r="D21" s="293">
        <f>'ZONE J POSITIONS'!R24</f>
        <v>0</v>
      </c>
      <c r="E21" s="293">
        <v>-50</v>
      </c>
      <c r="F21" s="294">
        <v>0</v>
      </c>
      <c r="G21" s="295">
        <f t="shared" si="1"/>
        <v>0</v>
      </c>
      <c r="H21" s="296">
        <f t="shared" si="6"/>
        <v>-50</v>
      </c>
      <c r="I21" s="297">
        <f t="shared" si="2"/>
        <v>0</v>
      </c>
      <c r="K21" s="292">
        <f t="shared" si="0"/>
        <v>37158</v>
      </c>
      <c r="L21" s="298">
        <f>'ZONE A POSITIONS'!E22</f>
        <v>32.25</v>
      </c>
      <c r="M21" s="298">
        <f>'ZONE G POSITIONS'!E22</f>
        <v>37.25</v>
      </c>
      <c r="N21" s="299">
        <f>'ZONE J POSITIONS'!E22</f>
        <v>38.75</v>
      </c>
      <c r="O21" s="300">
        <f>'[3]NYISO A'!H35</f>
        <v>34.5</v>
      </c>
      <c r="P21" s="300">
        <f>'[3]NYISO G'!H35</f>
        <v>40.5</v>
      </c>
      <c r="Q21" s="301">
        <f>'[3]NYISO J'!H35</f>
        <v>45.75</v>
      </c>
    </row>
    <row r="22" spans="1:17" x14ac:dyDescent="0.25">
      <c r="A22" s="292">
        <f>+[3]Summary!U29</f>
        <v>37159</v>
      </c>
      <c r="B22" s="293">
        <f>'ZONE A POSITIONS'!R25</f>
        <v>0</v>
      </c>
      <c r="C22" s="293">
        <f>'ZONE G POSITIONS'!R25</f>
        <v>0</v>
      </c>
      <c r="D22" s="293">
        <f>'ZONE J POSITIONS'!R25</f>
        <v>0</v>
      </c>
      <c r="E22" s="293">
        <v>-50</v>
      </c>
      <c r="F22" s="294">
        <v>0</v>
      </c>
      <c r="G22" s="295">
        <f t="shared" si="1"/>
        <v>0</v>
      </c>
      <c r="H22" s="296">
        <f t="shared" si="6"/>
        <v>-50</v>
      </c>
      <c r="I22" s="297">
        <f t="shared" si="2"/>
        <v>0</v>
      </c>
      <c r="K22" s="292">
        <f t="shared" si="0"/>
        <v>37159</v>
      </c>
      <c r="L22" s="298">
        <f>'ZONE A POSITIONS'!E23</f>
        <v>32.25</v>
      </c>
      <c r="M22" s="298">
        <f>'ZONE G POSITIONS'!E23</f>
        <v>37.25</v>
      </c>
      <c r="N22" s="299">
        <f>'ZONE J POSITIONS'!E23</f>
        <v>38.75</v>
      </c>
      <c r="O22" s="300">
        <f>'[3]NYISO A'!H36</f>
        <v>34.5</v>
      </c>
      <c r="P22" s="300">
        <f>'[3]NYISO G'!H36</f>
        <v>40.5</v>
      </c>
      <c r="Q22" s="301">
        <f>'[3]NYISO J'!H36</f>
        <v>45.75</v>
      </c>
    </row>
    <row r="23" spans="1:17" x14ac:dyDescent="0.25">
      <c r="A23" s="292">
        <f>+[3]Summary!U30</f>
        <v>37160</v>
      </c>
      <c r="B23" s="293">
        <f>'ZONE A POSITIONS'!R26</f>
        <v>-100</v>
      </c>
      <c r="C23" s="293">
        <f>'ZONE G POSITIONS'!R26</f>
        <v>-500</v>
      </c>
      <c r="D23" s="293">
        <f>'ZONE J POSITIONS'!R26</f>
        <v>-150</v>
      </c>
      <c r="E23" s="293">
        <v>-50</v>
      </c>
      <c r="F23" s="294">
        <v>0</v>
      </c>
      <c r="G23" s="295">
        <f t="shared" si="1"/>
        <v>-750</v>
      </c>
      <c r="H23" s="296">
        <f t="shared" si="6"/>
        <v>-50</v>
      </c>
      <c r="I23" s="297">
        <f t="shared" si="2"/>
        <v>0</v>
      </c>
      <c r="K23" s="292">
        <f t="shared" si="0"/>
        <v>37160</v>
      </c>
      <c r="L23" s="298">
        <f>'ZONE A POSITIONS'!E24</f>
        <v>29.549999999999997</v>
      </c>
      <c r="M23" s="298">
        <f>'ZONE G POSITIONS'!E24</f>
        <v>33.625</v>
      </c>
      <c r="N23" s="299">
        <f>'ZONE J POSITIONS'!E24</f>
        <v>36</v>
      </c>
      <c r="O23" s="300">
        <f>'[3]NYISO A'!H37</f>
        <v>34.5</v>
      </c>
      <c r="P23" s="300">
        <f>'[3]NYISO G'!H37</f>
        <v>40.5</v>
      </c>
      <c r="Q23" s="301">
        <f>'[3]NYISO J'!H37</f>
        <v>45.75</v>
      </c>
    </row>
    <row r="24" spans="1:17" x14ac:dyDescent="0.25">
      <c r="A24" s="292">
        <f>+[3]Summary!U31</f>
        <v>37161</v>
      </c>
      <c r="B24" s="293">
        <f>'ZONE A POSITIONS'!R27</f>
        <v>-100</v>
      </c>
      <c r="C24" s="293">
        <f>'ZONE G POSITIONS'!R27</f>
        <v>-500</v>
      </c>
      <c r="D24" s="293">
        <f>'ZONE J POSITIONS'!R27</f>
        <v>-150</v>
      </c>
      <c r="E24" s="293">
        <v>-50</v>
      </c>
      <c r="F24" s="294">
        <v>0</v>
      </c>
      <c r="G24" s="295">
        <f t="shared" si="1"/>
        <v>-750</v>
      </c>
      <c r="H24" s="296">
        <f t="shared" si="6"/>
        <v>-50</v>
      </c>
      <c r="I24" s="297">
        <f t="shared" si="2"/>
        <v>0</v>
      </c>
      <c r="K24" s="292">
        <f t="shared" si="0"/>
        <v>37161</v>
      </c>
      <c r="L24" s="298">
        <f>'ZONE A POSITIONS'!E25</f>
        <v>29.549999999999997</v>
      </c>
      <c r="M24" s="298">
        <f>'ZONE G POSITIONS'!E25</f>
        <v>33.625</v>
      </c>
      <c r="N24" s="299">
        <f>'ZONE J POSITIONS'!E25</f>
        <v>36</v>
      </c>
      <c r="O24" s="300">
        <f>'[3]NYISO A'!H38</f>
        <v>34.5</v>
      </c>
      <c r="P24" s="300">
        <f>'[3]NYISO G'!H38</f>
        <v>40.5</v>
      </c>
      <c r="Q24" s="301">
        <f>'[3]NYISO J'!H38</f>
        <v>45.75</v>
      </c>
    </row>
    <row r="25" spans="1:17" x14ac:dyDescent="0.25">
      <c r="A25" s="292">
        <f>+[3]Summary!U32</f>
        <v>37162</v>
      </c>
      <c r="B25" s="293">
        <f>'ZONE A POSITIONS'!R28</f>
        <v>-100</v>
      </c>
      <c r="C25" s="293">
        <f>'ZONE G POSITIONS'!R28</f>
        <v>-500</v>
      </c>
      <c r="D25" s="293">
        <f>'ZONE J POSITIONS'!R28</f>
        <v>-150</v>
      </c>
      <c r="E25" s="293">
        <v>-50</v>
      </c>
      <c r="F25" s="294">
        <v>0</v>
      </c>
      <c r="G25" s="295">
        <f t="shared" si="1"/>
        <v>-750</v>
      </c>
      <c r="H25" s="296">
        <f t="shared" si="6"/>
        <v>-50</v>
      </c>
      <c r="I25" s="297">
        <f t="shared" si="2"/>
        <v>0</v>
      </c>
      <c r="K25" s="292">
        <f t="shared" si="0"/>
        <v>37162</v>
      </c>
      <c r="L25" s="298">
        <f>'ZONE A POSITIONS'!E26</f>
        <v>29.549999999999997</v>
      </c>
      <c r="M25" s="298">
        <f>'ZONE G POSITIONS'!E26</f>
        <v>33.625</v>
      </c>
      <c r="N25" s="299">
        <f>'ZONE J POSITIONS'!E26</f>
        <v>36</v>
      </c>
      <c r="O25" s="300">
        <f>'[3]NYISO A'!H39</f>
        <v>34.5</v>
      </c>
      <c r="P25" s="300">
        <f>'[3]NYISO G'!H39</f>
        <v>40.5</v>
      </c>
      <c r="Q25" s="301">
        <f>'[3]NYISO J'!H39</f>
        <v>45.75</v>
      </c>
    </row>
    <row r="26" spans="1:17" x14ac:dyDescent="0.25">
      <c r="A26" s="292">
        <f>+[3]Summary!U33</f>
        <v>37163</v>
      </c>
      <c r="B26" s="293">
        <f>'ZONE A POSITIONS'!R29</f>
        <v>0</v>
      </c>
      <c r="C26" s="293">
        <f>'ZONE G POSITIONS'!R29</f>
        <v>0</v>
      </c>
      <c r="D26" s="293">
        <f>'ZONE J POSITIONS'!R29</f>
        <v>0</v>
      </c>
      <c r="E26" s="293">
        <v>-50</v>
      </c>
      <c r="F26" s="294">
        <v>0</v>
      </c>
      <c r="G26" s="295">
        <f t="shared" si="1"/>
        <v>0</v>
      </c>
      <c r="H26" s="296">
        <f t="shared" si="6"/>
        <v>-50</v>
      </c>
      <c r="I26" s="297">
        <f t="shared" si="2"/>
        <v>0</v>
      </c>
      <c r="K26" s="292">
        <f t="shared" si="0"/>
        <v>37163</v>
      </c>
      <c r="L26" s="298">
        <f>'ZONE A POSITIONS'!E27</f>
        <v>0</v>
      </c>
      <c r="M26" s="298">
        <f>'ZONE G POSITIONS'!E27</f>
        <v>0</v>
      </c>
      <c r="N26" s="299">
        <f>'ZONE J POSITIONS'!E27</f>
        <v>0</v>
      </c>
      <c r="O26" s="300">
        <f>'[3]NYISO A'!H40</f>
        <v>33</v>
      </c>
      <c r="P26" s="300">
        <f>'[3]NYISO G'!H40</f>
        <v>38</v>
      </c>
      <c r="Q26" s="301">
        <f>'[3]NYISO J'!H40</f>
        <v>47</v>
      </c>
    </row>
    <row r="27" spans="1:17" x14ac:dyDescent="0.25">
      <c r="A27" s="292">
        <f>+[3]Summary!U34</f>
        <v>37164</v>
      </c>
      <c r="B27" s="293">
        <f>'ZONE A POSITIONS'!R30</f>
        <v>0</v>
      </c>
      <c r="C27" s="293">
        <f>'ZONE G POSITIONS'!R30</f>
        <v>0</v>
      </c>
      <c r="D27" s="293">
        <f>'ZONE J POSITIONS'!R30</f>
        <v>0</v>
      </c>
      <c r="E27" s="293">
        <v>-50</v>
      </c>
      <c r="F27" s="294">
        <v>0</v>
      </c>
      <c r="G27" s="295">
        <f t="shared" si="1"/>
        <v>0</v>
      </c>
      <c r="H27" s="296">
        <f t="shared" si="6"/>
        <v>-50</v>
      </c>
      <c r="I27" s="297">
        <f t="shared" si="2"/>
        <v>0</v>
      </c>
      <c r="K27" s="292">
        <f t="shared" si="0"/>
        <v>37164</v>
      </c>
      <c r="L27" s="298">
        <f>'ZONE A POSITIONS'!E28</f>
        <v>30.878571428571419</v>
      </c>
      <c r="M27" s="298">
        <f>'ZONE G POSITIONS'!E28</f>
        <v>34.333333333333336</v>
      </c>
      <c r="N27" s="299">
        <f>'ZONE J POSITIONS'!E28</f>
        <v>35.678571428571431</v>
      </c>
      <c r="O27" s="300">
        <f>'[3]NYISO A'!H41</f>
        <v>33</v>
      </c>
      <c r="P27" s="300">
        <f>'[3]NYISO G'!H41</f>
        <v>38</v>
      </c>
      <c r="Q27" s="301">
        <f>'[3]NYISO J'!H41</f>
        <v>47</v>
      </c>
    </row>
    <row r="28" spans="1:17" ht="13.8" thickBot="1" x14ac:dyDescent="0.3">
      <c r="A28" s="303"/>
      <c r="B28" s="304"/>
      <c r="C28" s="304"/>
      <c r="D28" s="304"/>
      <c r="E28" s="304"/>
      <c r="F28" s="305"/>
      <c r="G28" s="306"/>
      <c r="H28" s="307"/>
      <c r="I28" s="308"/>
      <c r="K28" s="303"/>
      <c r="L28" s="309"/>
      <c r="M28" s="309"/>
      <c r="N28" s="310"/>
      <c r="O28" s="311"/>
      <c r="P28" s="311"/>
      <c r="Q28" s="312"/>
    </row>
    <row r="29" spans="1:17" ht="13.8" thickBot="1" x14ac:dyDescent="0.3">
      <c r="A29" s="313"/>
      <c r="B29" s="51"/>
      <c r="C29" s="51"/>
      <c r="D29" s="51"/>
      <c r="E29" s="51"/>
      <c r="F29" s="51"/>
      <c r="H29" s="314"/>
      <c r="I29" s="314"/>
      <c r="K29" s="292"/>
      <c r="L29" s="315"/>
      <c r="M29" s="315"/>
      <c r="N29" s="316"/>
      <c r="O29" s="315"/>
      <c r="P29" s="315"/>
      <c r="Q29" s="316"/>
    </row>
    <row r="30" spans="1:17" ht="13.8" thickBot="1" x14ac:dyDescent="0.3">
      <c r="A30" s="54" t="s">
        <v>306</v>
      </c>
      <c r="B30" s="516">
        <v>37152</v>
      </c>
      <c r="C30" s="51"/>
      <c r="D30" s="51"/>
      <c r="E30" s="51"/>
      <c r="F30" s="51"/>
      <c r="H30" s="314"/>
      <c r="I30" s="314"/>
      <c r="K30" s="292"/>
      <c r="L30" s="315"/>
      <c r="M30" s="315"/>
      <c r="N30" s="316"/>
      <c r="O30" s="315"/>
      <c r="P30" s="315"/>
      <c r="Q30" s="316"/>
    </row>
    <row r="31" spans="1:17" ht="13.8" thickBot="1" x14ac:dyDescent="0.3">
      <c r="A31" s="313"/>
      <c r="B31" s="51"/>
      <c r="C31" s="51"/>
      <c r="D31" s="51"/>
      <c r="E31" s="51"/>
      <c r="F31" s="51"/>
      <c r="H31" s="314"/>
      <c r="I31" s="314"/>
      <c r="K31" s="303"/>
      <c r="L31" s="514"/>
      <c r="M31" s="514"/>
      <c r="N31" s="515"/>
      <c r="O31" s="514"/>
      <c r="P31" s="514"/>
      <c r="Q31" s="515"/>
    </row>
    <row r="32" spans="1:17" x14ac:dyDescent="0.25">
      <c r="A32" s="271" t="s">
        <v>239</v>
      </c>
      <c r="B32" s="272" t="s">
        <v>227</v>
      </c>
      <c r="C32" s="272" t="s">
        <v>228</v>
      </c>
      <c r="D32" s="272" t="s">
        <v>229</v>
      </c>
      <c r="E32" s="272" t="s">
        <v>195</v>
      </c>
      <c r="F32" s="273" t="s">
        <v>230</v>
      </c>
      <c r="G32" s="274" t="s">
        <v>234</v>
      </c>
      <c r="H32" s="317" t="str">
        <f>+E32</f>
        <v>Nepool</v>
      </c>
      <c r="I32" s="318" t="str">
        <f t="shared" si="2"/>
        <v>PJM</v>
      </c>
      <c r="K32" s="511" t="str">
        <f t="shared" ref="K32:K46" si="7">A32</f>
        <v>Term</v>
      </c>
      <c r="L32" s="512" t="s">
        <v>302</v>
      </c>
      <c r="M32" s="293"/>
      <c r="N32" s="294"/>
      <c r="O32" s="293"/>
      <c r="P32" s="293"/>
      <c r="Q32" s="294"/>
    </row>
    <row r="33" spans="1:17" x14ac:dyDescent="0.25">
      <c r="A33" s="280"/>
      <c r="B33" s="48" t="s">
        <v>233</v>
      </c>
      <c r="C33" s="48" t="s">
        <v>233</v>
      </c>
      <c r="D33" s="48" t="s">
        <v>233</v>
      </c>
      <c r="E33" s="48" t="s">
        <v>233</v>
      </c>
      <c r="F33" s="281" t="s">
        <v>233</v>
      </c>
      <c r="G33" s="296" t="str">
        <f>+D33</f>
        <v>Position</v>
      </c>
      <c r="H33" s="296" t="str">
        <f>+E33</f>
        <v>Position</v>
      </c>
      <c r="I33" s="297" t="str">
        <f t="shared" si="2"/>
        <v>Position</v>
      </c>
      <c r="K33" s="292"/>
      <c r="L33" s="293"/>
      <c r="M33" s="293"/>
      <c r="N33" s="294"/>
      <c r="O33" s="293"/>
      <c r="P33" s="293"/>
      <c r="Q33" s="294"/>
    </row>
    <row r="34" spans="1:17" ht="13.8" thickBot="1" x14ac:dyDescent="0.3">
      <c r="A34" s="285"/>
      <c r="B34" s="286" t="s">
        <v>238</v>
      </c>
      <c r="C34" s="286" t="s">
        <v>238</v>
      </c>
      <c r="D34" s="286" t="s">
        <v>238</v>
      </c>
      <c r="E34" s="286" t="s">
        <v>238</v>
      </c>
      <c r="F34" s="286" t="s">
        <v>238</v>
      </c>
      <c r="G34" s="132"/>
      <c r="H34" s="307"/>
      <c r="I34" s="308"/>
      <c r="K34" s="292"/>
      <c r="L34" s="293"/>
      <c r="M34" s="293"/>
      <c r="N34" s="294"/>
      <c r="O34" s="293"/>
      <c r="P34" s="293"/>
      <c r="Q34" s="294"/>
    </row>
    <row r="35" spans="1:17" x14ac:dyDescent="0.25">
      <c r="A35" s="319">
        <v>37165</v>
      </c>
      <c r="B35" s="415">
        <v>100</v>
      </c>
      <c r="C35" s="415">
        <v>-50</v>
      </c>
      <c r="D35" s="415">
        <v>-150</v>
      </c>
      <c r="E35" s="415">
        <v>0</v>
      </c>
      <c r="F35" s="416">
        <v>0</v>
      </c>
      <c r="G35" s="295">
        <f t="shared" ref="G35:G46" si="8">+B35+C35+D35</f>
        <v>-100</v>
      </c>
      <c r="H35" s="296">
        <f>+E35</f>
        <v>0</v>
      </c>
      <c r="I35" s="297">
        <f>+F35</f>
        <v>0</v>
      </c>
      <c r="K35" s="292">
        <f t="shared" si="7"/>
        <v>37165</v>
      </c>
      <c r="L35" s="513">
        <v>32</v>
      </c>
      <c r="M35" s="513">
        <v>36.125</v>
      </c>
      <c r="N35" s="517">
        <v>38.5</v>
      </c>
      <c r="O35" s="293">
        <f>'[3]NYISO A'!H44</f>
        <v>35</v>
      </c>
      <c r="P35" s="293">
        <f>'[3]NYISO G'!H44</f>
        <v>41.5</v>
      </c>
      <c r="Q35" s="294">
        <f>'[3]NYISO J'!H44</f>
        <v>46.5</v>
      </c>
    </row>
    <row r="36" spans="1:17" x14ac:dyDescent="0.25">
      <c r="A36" s="319">
        <v>37196</v>
      </c>
      <c r="B36" s="415">
        <v>0</v>
      </c>
      <c r="C36" s="415">
        <v>0</v>
      </c>
      <c r="D36" s="415">
        <v>0</v>
      </c>
      <c r="E36" s="415">
        <v>0</v>
      </c>
      <c r="F36" s="416">
        <v>0</v>
      </c>
      <c r="G36" s="295">
        <f t="shared" si="8"/>
        <v>0</v>
      </c>
      <c r="H36" s="296">
        <f>+E36</f>
        <v>0</v>
      </c>
      <c r="I36" s="297">
        <f>+F36</f>
        <v>0</v>
      </c>
      <c r="K36" s="292">
        <f t="shared" si="7"/>
        <v>37196</v>
      </c>
      <c r="L36" s="293">
        <v>0</v>
      </c>
      <c r="M36" s="293">
        <v>0</v>
      </c>
      <c r="N36" s="294">
        <f>N35</f>
        <v>38.5</v>
      </c>
      <c r="O36" s="293">
        <f>'[3]NYISO A'!H45</f>
        <v>35</v>
      </c>
      <c r="P36" s="293">
        <f>'[3]NYISO G'!H45</f>
        <v>41.5</v>
      </c>
      <c r="Q36" s="294">
        <f>'[3]NYISO J'!H45</f>
        <v>46.5</v>
      </c>
    </row>
    <row r="37" spans="1:17" x14ac:dyDescent="0.25">
      <c r="A37" s="319">
        <v>37226</v>
      </c>
      <c r="B37" s="415">
        <v>0</v>
      </c>
      <c r="C37" s="415">
        <v>0</v>
      </c>
      <c r="D37" s="415">
        <v>0</v>
      </c>
      <c r="E37" s="415">
        <v>0</v>
      </c>
      <c r="F37" s="416">
        <v>0</v>
      </c>
      <c r="G37" s="295">
        <f t="shared" si="8"/>
        <v>0</v>
      </c>
      <c r="H37" s="296">
        <f t="shared" ref="H37:H49" si="9">+E37</f>
        <v>0</v>
      </c>
      <c r="I37" s="297">
        <f t="shared" ref="I37:I49" si="10">+F37</f>
        <v>0</v>
      </c>
      <c r="K37" s="292">
        <f t="shared" si="7"/>
        <v>37226</v>
      </c>
      <c r="L37" s="293">
        <v>0</v>
      </c>
      <c r="M37" s="293">
        <v>0</v>
      </c>
      <c r="N37" s="294">
        <f t="shared" ref="N37:N49" si="11">N36</f>
        <v>38.5</v>
      </c>
      <c r="O37" s="293">
        <f>'[3]NYISO A'!H46</f>
        <v>38.5</v>
      </c>
      <c r="P37" s="293">
        <f>'[3]NYISO G'!H46</f>
        <v>42.5</v>
      </c>
      <c r="Q37" s="294">
        <f>'[3]NYISO J'!H46</f>
        <v>45.75</v>
      </c>
    </row>
    <row r="38" spans="1:17" x14ac:dyDescent="0.25">
      <c r="A38" s="319">
        <v>37257</v>
      </c>
      <c r="B38" s="415">
        <v>0</v>
      </c>
      <c r="C38" s="415">
        <v>0</v>
      </c>
      <c r="D38" s="415">
        <v>0</v>
      </c>
      <c r="E38" s="415">
        <v>0</v>
      </c>
      <c r="F38" s="416">
        <v>0</v>
      </c>
      <c r="G38" s="295">
        <f t="shared" si="8"/>
        <v>0</v>
      </c>
      <c r="H38" s="296">
        <f t="shared" si="9"/>
        <v>0</v>
      </c>
      <c r="I38" s="297">
        <f t="shared" si="10"/>
        <v>0</v>
      </c>
      <c r="K38" s="292">
        <f t="shared" si="7"/>
        <v>37257</v>
      </c>
      <c r="L38" s="293">
        <v>0</v>
      </c>
      <c r="M38" s="293">
        <v>0</v>
      </c>
      <c r="N38" s="294">
        <f t="shared" si="11"/>
        <v>38.5</v>
      </c>
      <c r="O38" s="293">
        <f>'[3]NYISO A'!H47</f>
        <v>38.5</v>
      </c>
      <c r="P38" s="293">
        <f>'[3]NYISO G'!H47</f>
        <v>47.25</v>
      </c>
      <c r="Q38" s="294">
        <f>'[3]NYISO J'!H47</f>
        <v>70</v>
      </c>
    </row>
    <row r="39" spans="1:17" x14ac:dyDescent="0.25">
      <c r="A39" s="319">
        <v>37288</v>
      </c>
      <c r="B39" s="415">
        <v>0</v>
      </c>
      <c r="C39" s="415">
        <v>0</v>
      </c>
      <c r="D39" s="415">
        <v>0</v>
      </c>
      <c r="E39" s="415">
        <v>0</v>
      </c>
      <c r="F39" s="416">
        <v>0</v>
      </c>
      <c r="G39" s="295">
        <f t="shared" si="8"/>
        <v>0</v>
      </c>
      <c r="H39" s="296">
        <f t="shared" si="9"/>
        <v>0</v>
      </c>
      <c r="I39" s="297">
        <f t="shared" si="10"/>
        <v>0</v>
      </c>
      <c r="K39" s="292">
        <f t="shared" si="7"/>
        <v>37288</v>
      </c>
      <c r="L39" s="293">
        <v>0</v>
      </c>
      <c r="M39" s="293">
        <v>0</v>
      </c>
      <c r="N39" s="294">
        <f t="shared" si="11"/>
        <v>38.5</v>
      </c>
      <c r="O39" s="293">
        <f>'[3]NYISO A'!H48</f>
        <v>34.75</v>
      </c>
      <c r="P39" s="293">
        <f>'[3]NYISO G'!H48</f>
        <v>47.25</v>
      </c>
      <c r="Q39" s="294">
        <f>'[3]NYISO J'!H48</f>
        <v>87.5</v>
      </c>
    </row>
    <row r="40" spans="1:17" x14ac:dyDescent="0.25">
      <c r="A40" s="319">
        <v>37316</v>
      </c>
      <c r="B40" s="415">
        <v>0</v>
      </c>
      <c r="C40" s="415">
        <v>0</v>
      </c>
      <c r="D40" s="415">
        <v>0</v>
      </c>
      <c r="E40" s="415">
        <v>0</v>
      </c>
      <c r="F40" s="416">
        <v>0</v>
      </c>
      <c r="G40" s="295">
        <f t="shared" si="8"/>
        <v>0</v>
      </c>
      <c r="H40" s="296">
        <f t="shared" si="9"/>
        <v>0</v>
      </c>
      <c r="I40" s="297">
        <f t="shared" si="10"/>
        <v>0</v>
      </c>
      <c r="K40" s="292">
        <f t="shared" si="7"/>
        <v>37316</v>
      </c>
      <c r="L40" s="293">
        <v>0</v>
      </c>
      <c r="M40" s="293">
        <v>0</v>
      </c>
      <c r="N40" s="294">
        <f t="shared" si="11"/>
        <v>38.5</v>
      </c>
      <c r="O40" s="293">
        <f>'[3]NYISO A'!H49</f>
        <v>34.75</v>
      </c>
      <c r="P40" s="293">
        <f>'[3]NYISO G'!H49</f>
        <v>111</v>
      </c>
      <c r="Q40" s="294">
        <f>'[3]NYISO J'!H49</f>
        <v>133.5</v>
      </c>
    </row>
    <row r="41" spans="1:17" x14ac:dyDescent="0.25">
      <c r="A41" s="319">
        <f>+[3]Summary!U47</f>
        <v>37377</v>
      </c>
      <c r="B41" s="415">
        <v>0</v>
      </c>
      <c r="C41" s="415">
        <v>0</v>
      </c>
      <c r="D41" s="415">
        <v>0</v>
      </c>
      <c r="E41" s="415">
        <v>0</v>
      </c>
      <c r="F41" s="416">
        <v>0</v>
      </c>
      <c r="G41" s="295">
        <f t="shared" si="8"/>
        <v>0</v>
      </c>
      <c r="H41" s="296">
        <f t="shared" si="9"/>
        <v>0</v>
      </c>
      <c r="I41" s="297">
        <f t="shared" si="10"/>
        <v>0</v>
      </c>
      <c r="K41" s="292">
        <f t="shared" si="7"/>
        <v>37377</v>
      </c>
      <c r="L41" s="293">
        <v>0</v>
      </c>
      <c r="M41" s="293">
        <v>0</v>
      </c>
      <c r="N41" s="294">
        <f t="shared" si="11"/>
        <v>38.5</v>
      </c>
      <c r="O41" s="293">
        <f>'[3]NYISO A'!H50</f>
        <v>36</v>
      </c>
      <c r="P41" s="293">
        <f>'[3]NYISO G'!H50</f>
        <v>43</v>
      </c>
      <c r="Q41" s="294">
        <f>'[3]NYISO J'!H50</f>
        <v>133</v>
      </c>
    </row>
    <row r="42" spans="1:17" x14ac:dyDescent="0.25">
      <c r="A42" s="319">
        <f>+[3]Summary!U48</f>
        <v>37408</v>
      </c>
      <c r="B42" s="415">
        <v>0</v>
      </c>
      <c r="C42" s="415">
        <v>0</v>
      </c>
      <c r="D42" s="415">
        <v>0</v>
      </c>
      <c r="E42" s="415">
        <v>0</v>
      </c>
      <c r="F42" s="416">
        <v>0</v>
      </c>
      <c r="G42" s="295">
        <f t="shared" si="8"/>
        <v>0</v>
      </c>
      <c r="H42" s="296">
        <f t="shared" si="9"/>
        <v>0</v>
      </c>
      <c r="I42" s="297">
        <f t="shared" si="10"/>
        <v>0</v>
      </c>
      <c r="K42" s="292">
        <f t="shared" si="7"/>
        <v>37408</v>
      </c>
      <c r="L42" s="293">
        <v>0</v>
      </c>
      <c r="M42" s="293">
        <v>0</v>
      </c>
      <c r="N42" s="294">
        <f t="shared" si="11"/>
        <v>38.5</v>
      </c>
      <c r="O42" s="293">
        <f>'[3]NYISO A'!H51</f>
        <v>43.5</v>
      </c>
      <c r="P42" s="293">
        <f>'[3]NYISO G'!H51</f>
        <v>51.5</v>
      </c>
      <c r="Q42" s="294">
        <f>'[3]NYISO J'!H51</f>
        <v>58.5</v>
      </c>
    </row>
    <row r="43" spans="1:17" x14ac:dyDescent="0.25">
      <c r="A43" s="319">
        <f>+[3]Summary!U49</f>
        <v>37438</v>
      </c>
      <c r="B43" s="415">
        <v>0</v>
      </c>
      <c r="C43" s="415">
        <v>0</v>
      </c>
      <c r="D43" s="415">
        <v>0</v>
      </c>
      <c r="E43" s="415">
        <v>0</v>
      </c>
      <c r="F43" s="416">
        <v>0</v>
      </c>
      <c r="G43" s="295">
        <f t="shared" si="8"/>
        <v>0</v>
      </c>
      <c r="H43" s="296">
        <f t="shared" si="9"/>
        <v>0</v>
      </c>
      <c r="I43" s="297">
        <f t="shared" si="10"/>
        <v>0</v>
      </c>
      <c r="K43" s="292">
        <f t="shared" si="7"/>
        <v>37438</v>
      </c>
      <c r="L43" s="293">
        <v>0</v>
      </c>
      <c r="M43" s="293">
        <v>0</v>
      </c>
      <c r="N43" s="294">
        <f t="shared" si="11"/>
        <v>38.5</v>
      </c>
      <c r="O43" s="293">
        <f>'[3]NYISO A'!H52</f>
        <v>57.25</v>
      </c>
      <c r="P43" s="293">
        <f>'[3]NYISO G'!H52</f>
        <v>74</v>
      </c>
      <c r="Q43" s="294">
        <f>'[3]NYISO J'!H52</f>
        <v>60.5</v>
      </c>
    </row>
    <row r="44" spans="1:17" x14ac:dyDescent="0.25">
      <c r="A44" s="319">
        <f>+[3]Summary!U50</f>
        <v>37469</v>
      </c>
      <c r="B44" s="415">
        <v>0</v>
      </c>
      <c r="C44" s="415">
        <v>0</v>
      </c>
      <c r="D44" s="415">
        <v>0</v>
      </c>
      <c r="E44" s="415">
        <v>0</v>
      </c>
      <c r="F44" s="416">
        <v>0</v>
      </c>
      <c r="G44" s="295">
        <f t="shared" si="8"/>
        <v>0</v>
      </c>
      <c r="H44" s="296">
        <f t="shared" si="9"/>
        <v>0</v>
      </c>
      <c r="I44" s="297">
        <f t="shared" si="10"/>
        <v>0</v>
      </c>
      <c r="K44" s="292">
        <f t="shared" si="7"/>
        <v>37469</v>
      </c>
      <c r="L44" s="293">
        <v>0</v>
      </c>
      <c r="M44" s="293">
        <v>0</v>
      </c>
      <c r="N44" s="294">
        <f t="shared" si="11"/>
        <v>38.5</v>
      </c>
      <c r="O44" s="293">
        <f>'[3]NYISO A'!H53</f>
        <v>57.25</v>
      </c>
      <c r="P44" s="293">
        <f>'[3]NYISO G'!H53</f>
        <v>74</v>
      </c>
      <c r="Q44" s="294">
        <f>'[3]NYISO J'!H53</f>
        <v>61.5</v>
      </c>
    </row>
    <row r="45" spans="1:17" x14ac:dyDescent="0.25">
      <c r="A45" s="319">
        <f>+[3]Summary!U51</f>
        <v>37500</v>
      </c>
      <c r="B45" s="415">
        <v>0</v>
      </c>
      <c r="C45" s="415">
        <v>0</v>
      </c>
      <c r="D45" s="415">
        <v>0</v>
      </c>
      <c r="E45" s="415">
        <v>0</v>
      </c>
      <c r="F45" s="416">
        <v>0</v>
      </c>
      <c r="G45" s="295">
        <f t="shared" si="8"/>
        <v>0</v>
      </c>
      <c r="H45" s="296">
        <f t="shared" si="9"/>
        <v>0</v>
      </c>
      <c r="I45" s="297">
        <f t="shared" si="10"/>
        <v>0</v>
      </c>
      <c r="K45" s="292">
        <f t="shared" si="7"/>
        <v>37500</v>
      </c>
      <c r="L45" s="293">
        <v>0</v>
      </c>
      <c r="M45" s="293">
        <v>0</v>
      </c>
      <c r="N45" s="294">
        <f t="shared" si="11"/>
        <v>38.5</v>
      </c>
      <c r="O45" s="293">
        <f>'[3]NYISO A'!H54</f>
        <v>35</v>
      </c>
      <c r="P45" s="293">
        <f>'[3]NYISO G'!H54</f>
        <v>71</v>
      </c>
      <c r="Q45" s="294">
        <f>'[3]NYISO J'!H54</f>
        <v>61.5</v>
      </c>
    </row>
    <row r="46" spans="1:17" x14ac:dyDescent="0.25">
      <c r="A46" s="319">
        <f>+[3]Summary!U52</f>
        <v>37530</v>
      </c>
      <c r="B46" s="415">
        <v>0</v>
      </c>
      <c r="C46" s="415">
        <v>0</v>
      </c>
      <c r="D46" s="415">
        <v>0</v>
      </c>
      <c r="E46" s="415">
        <v>0</v>
      </c>
      <c r="F46" s="416">
        <v>0</v>
      </c>
      <c r="G46" s="295">
        <f t="shared" si="8"/>
        <v>0</v>
      </c>
      <c r="H46" s="296">
        <f t="shared" si="9"/>
        <v>0</v>
      </c>
      <c r="I46" s="297">
        <f t="shared" si="10"/>
        <v>0</v>
      </c>
      <c r="K46" s="292">
        <f t="shared" si="7"/>
        <v>37530</v>
      </c>
      <c r="L46" s="293">
        <v>0</v>
      </c>
      <c r="M46" s="293">
        <v>0</v>
      </c>
      <c r="N46" s="294">
        <f t="shared" si="11"/>
        <v>38.5</v>
      </c>
      <c r="O46" s="293">
        <f>'[3]NYISO A'!H55</f>
        <v>35</v>
      </c>
      <c r="P46" s="293">
        <f>'[3]NYISO G'!H55</f>
        <v>42.25</v>
      </c>
      <c r="Q46" s="294">
        <f>'[3]NYISO J'!H55</f>
        <v>85</v>
      </c>
    </row>
    <row r="47" spans="1:17" x14ac:dyDescent="0.25">
      <c r="A47" s="319">
        <f>+[3]Summary!U53</f>
        <v>37561</v>
      </c>
      <c r="B47" s="415">
        <v>0</v>
      </c>
      <c r="C47" s="415">
        <v>0</v>
      </c>
      <c r="D47" s="415">
        <v>0</v>
      </c>
      <c r="E47" s="415">
        <v>0</v>
      </c>
      <c r="F47" s="416">
        <v>0</v>
      </c>
      <c r="G47" s="295">
        <f>+B47+C47+D47</f>
        <v>0</v>
      </c>
      <c r="H47" s="296">
        <f t="shared" si="9"/>
        <v>0</v>
      </c>
      <c r="I47" s="297">
        <f t="shared" si="10"/>
        <v>0</v>
      </c>
      <c r="K47" s="292">
        <f>A47</f>
        <v>37561</v>
      </c>
      <c r="L47" s="293">
        <v>0</v>
      </c>
      <c r="M47" s="293">
        <v>0</v>
      </c>
      <c r="N47" s="294">
        <f t="shared" si="11"/>
        <v>38.5</v>
      </c>
      <c r="O47" s="293">
        <f>'[3]NYISO A'!H56</f>
        <v>35</v>
      </c>
      <c r="P47" s="293">
        <f>'[3]NYISO G'!H56</f>
        <v>42.25</v>
      </c>
      <c r="Q47" s="294">
        <f>'[3]NYISO J'!H56</f>
        <v>85</v>
      </c>
    </row>
    <row r="48" spans="1:17" x14ac:dyDescent="0.25">
      <c r="A48" s="319">
        <f>+[3]Summary!U54</f>
        <v>37591</v>
      </c>
      <c r="B48" s="415">
        <v>0</v>
      </c>
      <c r="C48" s="415">
        <v>0</v>
      </c>
      <c r="D48" s="415">
        <v>0</v>
      </c>
      <c r="E48" s="415">
        <v>0</v>
      </c>
      <c r="F48" s="416">
        <v>0</v>
      </c>
      <c r="G48" s="295">
        <f>+B48+C48+D48</f>
        <v>0</v>
      </c>
      <c r="H48" s="296">
        <f t="shared" si="9"/>
        <v>0</v>
      </c>
      <c r="I48" s="297">
        <f t="shared" si="10"/>
        <v>0</v>
      </c>
      <c r="K48" s="292">
        <f>A48</f>
        <v>37591</v>
      </c>
      <c r="L48" s="293">
        <v>0</v>
      </c>
      <c r="M48" s="293">
        <v>0</v>
      </c>
      <c r="N48" s="294">
        <f t="shared" si="11"/>
        <v>38.5</v>
      </c>
      <c r="O48" s="293">
        <f>'[3]NYISO A'!H57</f>
        <v>35</v>
      </c>
      <c r="P48" s="293">
        <f>'[3]NYISO G'!H57</f>
        <v>42.25</v>
      </c>
      <c r="Q48" s="294">
        <f>'[3]NYISO J'!H61</f>
        <v>0</v>
      </c>
    </row>
    <row r="49" spans="1:17" ht="13.8" thickBot="1" x14ac:dyDescent="0.3">
      <c r="A49" s="320">
        <f>+[3]Summary!U55</f>
        <v>37622</v>
      </c>
      <c r="B49" s="417">
        <v>0</v>
      </c>
      <c r="C49" s="417">
        <v>0</v>
      </c>
      <c r="D49" s="417">
        <v>0</v>
      </c>
      <c r="E49" s="417">
        <v>0</v>
      </c>
      <c r="F49" s="418">
        <v>0</v>
      </c>
      <c r="G49" s="306">
        <f>+B49+C49+D49</f>
        <v>0</v>
      </c>
      <c r="H49" s="307">
        <f t="shared" si="9"/>
        <v>0</v>
      </c>
      <c r="I49" s="308">
        <f t="shared" si="10"/>
        <v>0</v>
      </c>
      <c r="J49" s="321"/>
      <c r="K49" s="303">
        <f>A49</f>
        <v>37622</v>
      </c>
      <c r="L49" s="304">
        <v>0</v>
      </c>
      <c r="M49" s="304">
        <f>'[3]NYISO G'!F58</f>
        <v>0</v>
      </c>
      <c r="N49" s="305">
        <f t="shared" si="11"/>
        <v>38.5</v>
      </c>
      <c r="O49" s="304">
        <f>'[3]NYISO A'!H58</f>
        <v>39.5</v>
      </c>
      <c r="P49" s="304">
        <f>'[3]NYISO G'!H58</f>
        <v>55.5</v>
      </c>
      <c r="Q49" s="305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Z49"/>
  <sheetViews>
    <sheetView topLeftCell="A10" workbookViewId="0">
      <selection activeCell="J20" sqref="J20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9" max="9" width="10.109375" customWidth="1"/>
    <col min="10" max="10" width="9.33203125" customWidth="1"/>
    <col min="11" max="11" width="11.6640625" customWidth="1"/>
    <col min="17" max="17" width="3.44140625" customWidth="1"/>
    <col min="18" max="18" width="11.6640625" customWidth="1"/>
    <col min="19" max="19" width="11.33203125" customWidth="1"/>
    <col min="20" max="20" width="2" customWidth="1"/>
    <col min="21" max="21" width="13.33203125" customWidth="1"/>
    <col min="104" max="104" width="12" customWidth="1"/>
  </cols>
  <sheetData>
    <row r="1" spans="1:104" ht="34.5" customHeight="1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8" thickBot="1" x14ac:dyDescent="0.3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A DAY AHEAD'!I25</f>
        <v>31.79</v>
      </c>
      <c r="O3" s="24">
        <f>'ZONE A DAY AHEAD'!H13</f>
        <v>73.8</v>
      </c>
      <c r="P3" s="25">
        <f>O3-N3</f>
        <v>42.01</v>
      </c>
      <c r="Q3" s="86"/>
      <c r="R3" s="436"/>
      <c r="S3" s="436"/>
    </row>
    <row r="4" spans="1:104" ht="13.8" thickBot="1" x14ac:dyDescent="0.3">
      <c r="A4" s="76"/>
      <c r="B4" s="76"/>
      <c r="C4" s="74"/>
      <c r="D4" s="68"/>
      <c r="E4" s="71"/>
      <c r="F4" s="98"/>
      <c r="G4" s="73"/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6"/>
      <c r="R4" s="450" t="s">
        <v>305</v>
      </c>
      <c r="S4" s="451">
        <f>DATE(2001,9,10)</f>
        <v>37144</v>
      </c>
    </row>
    <row r="5" spans="1:104" ht="13.8" thickBot="1" x14ac:dyDescent="0.3">
      <c r="A5" s="218"/>
      <c r="B5" s="218">
        <v>37136</v>
      </c>
      <c r="C5" s="81"/>
      <c r="D5" s="29"/>
      <c r="E5" s="80"/>
      <c r="F5" s="195"/>
      <c r="G5" s="152"/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6"/>
      <c r="R5" s="444" t="s">
        <v>231</v>
      </c>
      <c r="S5" s="445" t="s">
        <v>310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/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29"/>
    </row>
    <row r="6" spans="1:104" ht="13.8" thickBot="1" x14ac:dyDescent="0.3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A DAY AHEAD'!I28</f>
        <v>34.26</v>
      </c>
      <c r="O6" s="165">
        <f>'ZONE A DAY AHEAD'!K13</f>
        <v>81.73</v>
      </c>
      <c r="P6" s="25">
        <f t="shared" si="0"/>
        <v>47.470000000000006</v>
      </c>
      <c r="Q6" s="86"/>
      <c r="R6" s="447" t="s">
        <v>311</v>
      </c>
      <c r="S6" s="446" t="s">
        <v>255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/>
      <c r="AE6" s="336"/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42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>(C7+D7)/2</f>
        <v>38.25</v>
      </c>
      <c r="F7" s="398">
        <v>0</v>
      </c>
      <c r="G7" s="413">
        <f t="shared" ref="G7:G12" si="1">E7-F7</f>
        <v>38.25</v>
      </c>
      <c r="H7" s="402">
        <f>'EOL LINKS'!I7</f>
        <v>1091.3705583756346</v>
      </c>
      <c r="I7" s="403"/>
      <c r="J7" s="428"/>
      <c r="K7" s="414">
        <f t="shared" ref="K7:K12" si="2">(I7*16)*G7</f>
        <v>0</v>
      </c>
      <c r="L7" s="22"/>
      <c r="M7" s="27">
        <v>12</v>
      </c>
      <c r="N7" s="165">
        <f>'ZONE A DAY AHEAD'!I29</f>
        <v>34.83</v>
      </c>
      <c r="O7" s="165">
        <f>'ZONE A DAY AHEAD'!L13</f>
        <v>55.04</v>
      </c>
      <c r="P7" s="25">
        <f t="shared" si="0"/>
        <v>20.21</v>
      </c>
      <c r="Q7" s="86"/>
      <c r="R7" s="447"/>
      <c r="S7" s="446"/>
      <c r="U7" s="368"/>
      <c r="V7" s="342"/>
      <c r="W7" s="343"/>
      <c r="X7" s="342"/>
      <c r="Y7" s="344"/>
      <c r="Z7" s="345"/>
      <c r="AA7" s="346"/>
      <c r="AB7" s="342"/>
      <c r="AC7" s="344"/>
      <c r="AD7" s="342"/>
      <c r="AE7" s="344"/>
      <c r="AF7" s="342"/>
      <c r="AG7" s="344"/>
      <c r="AH7" s="342"/>
      <c r="AI7" s="508"/>
      <c r="AJ7" s="342"/>
      <c r="AK7" s="344"/>
      <c r="AL7" s="342"/>
      <c r="AM7" s="344"/>
      <c r="AN7" s="342"/>
      <c r="AO7" s="344"/>
      <c r="AP7" s="342"/>
      <c r="AQ7" s="344"/>
      <c r="AR7" s="342"/>
      <c r="AS7" s="344"/>
      <c r="AT7" s="342"/>
      <c r="AU7" s="344"/>
      <c r="AV7" s="342"/>
      <c r="AW7" s="344"/>
      <c r="AX7" s="342"/>
      <c r="AY7" s="344"/>
      <c r="AZ7" s="342"/>
      <c r="BA7" s="344"/>
      <c r="BB7" s="342"/>
      <c r="BC7" s="344"/>
      <c r="BD7" s="342"/>
      <c r="BE7" s="344"/>
      <c r="BF7" s="342"/>
      <c r="BG7" s="344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>U7</f>
        <v>0</v>
      </c>
    </row>
    <row r="8" spans="1:104" ht="16.2" thickBot="1" x14ac:dyDescent="0.35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>(C8+D8)/2</f>
        <v>35</v>
      </c>
      <c r="F8" s="398">
        <v>0</v>
      </c>
      <c r="G8" s="201">
        <f t="shared" si="1"/>
        <v>35</v>
      </c>
      <c r="H8" s="172">
        <f>'EOL LINKS'!I5</f>
        <v>1184.4331641285958</v>
      </c>
      <c r="I8" s="79"/>
      <c r="J8" s="79"/>
      <c r="K8" s="203">
        <f t="shared" si="2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6"/>
      <c r="R8" s="452">
        <f>'Zone A'!CE5</f>
        <v>0</v>
      </c>
      <c r="S8" s="482">
        <f>'Zone A'!CF5</f>
        <v>0</v>
      </c>
      <c r="U8" s="368"/>
      <c r="V8" s="342"/>
      <c r="W8" s="343"/>
      <c r="X8" s="342"/>
      <c r="Y8" s="344"/>
      <c r="Z8" s="345"/>
      <c r="AA8" s="353"/>
      <c r="AB8" s="342"/>
      <c r="AC8" s="344"/>
      <c r="AD8" s="342"/>
      <c r="AE8" s="344"/>
      <c r="AF8" s="345"/>
      <c r="AG8" s="346"/>
      <c r="AH8" s="345"/>
      <c r="AI8" s="346"/>
      <c r="AJ8" s="345"/>
      <c r="AK8" s="346"/>
      <c r="AL8" s="345"/>
      <c r="AM8" s="344"/>
      <c r="AN8" s="345"/>
      <c r="AO8" s="346"/>
      <c r="AP8" s="354"/>
      <c r="AQ8" s="346"/>
      <c r="AR8" s="354"/>
      <c r="AS8" s="346"/>
      <c r="AT8" s="355"/>
      <c r="AU8" s="356"/>
      <c r="AV8" s="357"/>
      <c r="AW8" s="350"/>
      <c r="AX8" s="349"/>
      <c r="AY8" s="350"/>
      <c r="AZ8" s="349"/>
      <c r="BA8" s="350"/>
      <c r="BB8" s="357"/>
      <c r="BC8" s="350"/>
      <c r="BD8" s="349"/>
      <c r="BE8" s="350"/>
      <c r="BF8" s="357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ref="CX8:CX30" si="3">V8+X8+Z8+AB8+AD8+AF8+AH8+AJ8+AL8+AN8+AP8+AR8+AT8+AV8+AX8+AZ8+BB8+BD8+BF8+BH8+BJ8+BL8+BN8+BP8+BR8+BT8+BV8+BX8+BZ8+CB8+CD8+CF8+CH8+CJ8+CL8+CN8+CP8+CR8+CT8+CV8</f>
        <v>0</v>
      </c>
      <c r="CY8" s="352">
        <f>IF(AND(CX8=0,DB8=0),0,(DE8+DF8)/DB8)</f>
        <v>0</v>
      </c>
      <c r="CZ8" s="368">
        <f t="shared" ref="CZ8:CZ30" si="4">U8</f>
        <v>0</v>
      </c>
    </row>
    <row r="9" spans="1:104" ht="16.2" thickBot="1" x14ac:dyDescent="0.35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ref="E9:E26" si="5">(C9+D9)/2</f>
        <v>35</v>
      </c>
      <c r="F9" s="398">
        <v>0</v>
      </c>
      <c r="G9" s="72">
        <f t="shared" si="1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2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6"/>
      <c r="R9" s="452">
        <f>'Zone A'!CE6</f>
        <v>0</v>
      </c>
      <c r="S9" s="482">
        <f>'Zone A'!CF6</f>
        <v>0</v>
      </c>
      <c r="U9" s="368">
        <f>B7</f>
        <v>37137</v>
      </c>
      <c r="V9" s="342"/>
      <c r="W9" s="343"/>
      <c r="X9" s="342"/>
      <c r="Y9" s="344"/>
      <c r="Z9" s="345"/>
      <c r="AA9" s="346"/>
      <c r="AB9" s="342"/>
      <c r="AC9" s="344"/>
      <c r="AD9" s="342"/>
      <c r="AE9" s="344"/>
      <c r="AF9" s="345"/>
      <c r="AG9" s="346"/>
      <c r="AH9" s="345"/>
      <c r="AI9" s="346"/>
      <c r="AJ9" s="345"/>
      <c r="AK9" s="346"/>
      <c r="AL9" s="345"/>
      <c r="AM9" s="358"/>
      <c r="AN9" s="345"/>
      <c r="AO9" s="346"/>
      <c r="AP9" s="354"/>
      <c r="AQ9" s="346"/>
      <c r="AR9" s="354"/>
      <c r="AS9" s="346"/>
      <c r="AT9" s="355"/>
      <c r="AU9" s="356"/>
      <c r="AV9" s="357"/>
      <c r="AW9" s="350"/>
      <c r="AX9" s="349"/>
      <c r="AY9" s="350"/>
      <c r="AZ9" s="349"/>
      <c r="BA9" s="350"/>
      <c r="BB9" s="357"/>
      <c r="BC9" s="350"/>
      <c r="BD9" s="349"/>
      <c r="BE9" s="350"/>
      <c r="BF9" s="357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4"/>
        <v>37137</v>
      </c>
    </row>
    <row r="10" spans="1:104" ht="16.2" thickBot="1" x14ac:dyDescent="0.35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5"/>
        <v>35</v>
      </c>
      <c r="F10" s="398">
        <v>0</v>
      </c>
      <c r="G10" s="72">
        <f t="shared" si="1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2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6"/>
      <c r="R10" s="452">
        <f>'Zone A'!CE7</f>
        <v>0</v>
      </c>
      <c r="S10" s="482">
        <f>'Zone A'!CF7</f>
        <v>0</v>
      </c>
      <c r="U10" s="368">
        <f>B8</f>
        <v>37138</v>
      </c>
      <c r="V10" s="345"/>
      <c r="W10" s="344"/>
      <c r="X10" s="342"/>
      <c r="Y10" s="343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46"/>
      <c r="AT10" s="355"/>
      <c r="AU10" s="356"/>
      <c r="AV10" s="357"/>
      <c r="AW10" s="350"/>
      <c r="AX10" s="349"/>
      <c r="AY10" s="350"/>
      <c r="AZ10" s="349"/>
      <c r="BA10" s="350"/>
      <c r="BB10" s="357"/>
      <c r="BC10" s="350"/>
      <c r="BD10" s="349"/>
      <c r="BE10" s="350"/>
      <c r="BF10" s="357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4"/>
        <v>37138</v>
      </c>
    </row>
    <row r="11" spans="1:104" ht="16.2" thickBot="1" x14ac:dyDescent="0.35">
      <c r="A11" s="379" t="s">
        <v>245</v>
      </c>
      <c r="B11" s="379">
        <f>B10+1</f>
        <v>37141</v>
      </c>
      <c r="C11" s="32">
        <f>'EOL LINKS'!B2</f>
        <v>32.200000000000003</v>
      </c>
      <c r="D11" s="32">
        <f>'EOL LINKS'!C2</f>
        <v>32.299999999999997</v>
      </c>
      <c r="E11" s="78">
        <f t="shared" si="5"/>
        <v>32.25</v>
      </c>
      <c r="F11" s="398">
        <v>0</v>
      </c>
      <c r="G11" s="177">
        <f t="shared" si="1"/>
        <v>32.25</v>
      </c>
      <c r="H11" s="153">
        <f>H10</f>
        <v>1184.4331641285958</v>
      </c>
      <c r="I11" s="376">
        <f t="shared" si="6"/>
        <v>0</v>
      </c>
      <c r="J11" s="432">
        <f t="shared" si="6"/>
        <v>0</v>
      </c>
      <c r="K11" s="178">
        <f t="shared" si="2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6"/>
      <c r="R11" s="452">
        <f>'Zone A'!CE8</f>
        <v>0</v>
      </c>
      <c r="S11" s="482">
        <f>'Zone A'!CF8</f>
        <v>0</v>
      </c>
      <c r="U11" s="368">
        <f>B9</f>
        <v>37139</v>
      </c>
      <c r="V11" s="345"/>
      <c r="W11" s="344"/>
      <c r="X11" s="342"/>
      <c r="Y11" s="343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57"/>
      <c r="BC11" s="350"/>
      <c r="BD11" s="349"/>
      <c r="BE11" s="350"/>
      <c r="BF11" s="357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3"/>
        <v>0</v>
      </c>
      <c r="CY11" s="352">
        <f>(W11+Y11+AA11+AC11+AE11+AG11+AI11+AK11)/8</f>
        <v>0</v>
      </c>
      <c r="CZ11" s="368">
        <f t="shared" si="4"/>
        <v>37139</v>
      </c>
    </row>
    <row r="12" spans="1:104" ht="16.2" thickBot="1" x14ac:dyDescent="0.35">
      <c r="A12" s="424" t="str">
        <f>A7</f>
        <v>mon</v>
      </c>
      <c r="B12" s="405">
        <f>B11+3</f>
        <v>37144</v>
      </c>
      <c r="C12" s="386">
        <f>'EOL LINKS'!B2</f>
        <v>32.200000000000003</v>
      </c>
      <c r="D12" s="386">
        <f>'EOL LINKS'!C2</f>
        <v>32.299999999999997</v>
      </c>
      <c r="E12" s="387">
        <f t="shared" si="5"/>
        <v>32.25</v>
      </c>
      <c r="F12" s="398">
        <v>0</v>
      </c>
      <c r="G12" s="389">
        <f t="shared" si="1"/>
        <v>32.25</v>
      </c>
      <c r="H12" s="390">
        <f>H11</f>
        <v>1184.4331641285958</v>
      </c>
      <c r="I12" s="412">
        <f t="shared" si="6"/>
        <v>0</v>
      </c>
      <c r="J12" s="432">
        <f t="shared" si="6"/>
        <v>0</v>
      </c>
      <c r="K12" s="419">
        <f t="shared" si="2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7"/>
      <c r="R12" s="452">
        <f>'Zone A'!CE9</f>
        <v>0</v>
      </c>
      <c r="S12" s="482">
        <f>'Zone A'!CF9</f>
        <v>0</v>
      </c>
      <c r="U12" s="368">
        <f t="shared" ref="U12:U28" si="7">B10</f>
        <v>37140</v>
      </c>
      <c r="V12" s="345"/>
      <c r="W12" s="344"/>
      <c r="X12" s="342"/>
      <c r="Y12" s="343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57"/>
      <c r="BC12" s="350"/>
      <c r="BD12" s="349"/>
      <c r="BE12" s="350"/>
      <c r="BF12" s="357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3"/>
        <v>0</v>
      </c>
      <c r="CY12" s="352">
        <f>(W12+Y12+AA12+AC12)/4</f>
        <v>0</v>
      </c>
      <c r="CZ12" s="368">
        <f t="shared" si="4"/>
        <v>37140</v>
      </c>
    </row>
    <row r="13" spans="1:104" ht="16.2" thickBot="1" x14ac:dyDescent="0.35">
      <c r="A13" s="322" t="str">
        <f>A8</f>
        <v>tues</v>
      </c>
      <c r="B13" s="322">
        <f>B12+1</f>
        <v>37145</v>
      </c>
      <c r="C13" s="375">
        <f>'EOL LINKS'!B2</f>
        <v>32.200000000000003</v>
      </c>
      <c r="D13" s="375">
        <f>'EOL LINKS'!C2</f>
        <v>32.299999999999997</v>
      </c>
      <c r="E13" s="372">
        <f t="shared" si="5"/>
        <v>32.25</v>
      </c>
      <c r="F13" s="398">
        <v>0</v>
      </c>
      <c r="G13" s="201">
        <f t="shared" ref="G13:G26" si="8">E13-F13</f>
        <v>32.25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ref="K13:K27" si="9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7"/>
      <c r="R13" s="452">
        <f>'Zone A'!CE10</f>
        <v>0</v>
      </c>
      <c r="S13" s="482">
        <f>'Zone A'!CF10</f>
        <v>0</v>
      </c>
      <c r="U13" s="368">
        <f t="shared" si="7"/>
        <v>37141</v>
      </c>
      <c r="V13" s="345"/>
      <c r="W13" s="344"/>
      <c r="X13" s="342"/>
      <c r="Y13" s="343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57"/>
      <c r="BC13" s="350"/>
      <c r="BD13" s="349"/>
      <c r="BE13" s="350"/>
      <c r="BF13" s="357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3"/>
        <v>0</v>
      </c>
      <c r="CY13" s="352">
        <f>(W13+Y13)/2</f>
        <v>0</v>
      </c>
      <c r="CZ13" s="368">
        <f t="shared" si="4"/>
        <v>37141</v>
      </c>
    </row>
    <row r="14" spans="1:104" ht="16.2" thickBot="1" x14ac:dyDescent="0.35">
      <c r="A14" s="322" t="str">
        <f>A9</f>
        <v>wed</v>
      </c>
      <c r="B14" s="322">
        <f>B13+1</f>
        <v>37146</v>
      </c>
      <c r="C14" s="454">
        <f>'EOL LINKS'!B2</f>
        <v>32.200000000000003</v>
      </c>
      <c r="D14" s="454">
        <f>'EOL LINKS'!C2</f>
        <v>32.299999999999997</v>
      </c>
      <c r="E14" s="373">
        <f t="shared" si="5"/>
        <v>32.25</v>
      </c>
      <c r="F14" s="398">
        <v>0</v>
      </c>
      <c r="G14" s="72">
        <f t="shared" si="8"/>
        <v>32.25</v>
      </c>
      <c r="H14" s="100">
        <f>H13</f>
        <v>1260.5752961082912</v>
      </c>
      <c r="I14" s="377">
        <f t="shared" ref="I14:I26" si="10">R16</f>
        <v>0</v>
      </c>
      <c r="J14" s="432">
        <f t="shared" ref="J14:J26" si="11">S16</f>
        <v>0</v>
      </c>
      <c r="K14" s="421">
        <f t="shared" si="9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7"/>
      <c r="R14" s="452">
        <v>0</v>
      </c>
      <c r="S14" s="482">
        <f>'Zone A'!CF11</f>
        <v>0</v>
      </c>
      <c r="U14" s="368">
        <f t="shared" si="7"/>
        <v>37144</v>
      </c>
      <c r="V14" s="345"/>
      <c r="W14" s="344"/>
      <c r="X14" s="342"/>
      <c r="Y14" s="343"/>
      <c r="Z14" s="345"/>
      <c r="AA14" s="359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345"/>
      <c r="AO14" s="346"/>
      <c r="AP14" s="345"/>
      <c r="AQ14" s="346"/>
      <c r="AR14" s="345"/>
      <c r="AS14" s="346"/>
      <c r="AT14" s="345"/>
      <c r="AU14" s="346"/>
      <c r="AV14" s="357"/>
      <c r="AW14" s="350"/>
      <c r="AX14" s="349"/>
      <c r="AY14" s="350"/>
      <c r="AZ14" s="349"/>
      <c r="BA14" s="350"/>
      <c r="BB14" s="357"/>
      <c r="BC14" s="350"/>
      <c r="BD14" s="349"/>
      <c r="BE14" s="350"/>
      <c r="BF14" s="357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3"/>
        <v>0</v>
      </c>
      <c r="CY14" s="352">
        <f>(W14+Y14+AA14+AE14+AI14+AK14+AM14+AO14+AQ14+AS14)/10</f>
        <v>0</v>
      </c>
      <c r="CZ14" s="368">
        <f t="shared" si="4"/>
        <v>37144</v>
      </c>
    </row>
    <row r="15" spans="1:104" ht="16.2" thickBot="1" x14ac:dyDescent="0.35">
      <c r="A15" s="322" t="str">
        <f>A10</f>
        <v>thurs</v>
      </c>
      <c r="B15" s="322">
        <f>B14+1</f>
        <v>37147</v>
      </c>
      <c r="C15" s="454">
        <f>'EOL LINKS'!B2</f>
        <v>32.200000000000003</v>
      </c>
      <c r="D15" s="454">
        <f>'EOL LINKS'!C2</f>
        <v>32.299999999999997</v>
      </c>
      <c r="E15" s="373">
        <f t="shared" si="5"/>
        <v>32.25</v>
      </c>
      <c r="F15" s="398">
        <v>0</v>
      </c>
      <c r="G15" s="72">
        <f t="shared" si="8"/>
        <v>32.25</v>
      </c>
      <c r="H15" s="100">
        <f t="shared" ref="H15:H26" si="12">H14</f>
        <v>1260.5752961082912</v>
      </c>
      <c r="I15" s="377">
        <f t="shared" si="10"/>
        <v>0</v>
      </c>
      <c r="J15" s="432">
        <f t="shared" si="11"/>
        <v>0</v>
      </c>
      <c r="K15" s="421">
        <f t="shared" si="9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8"/>
      <c r="R15" s="452">
        <v>0</v>
      </c>
      <c r="S15" s="482">
        <f>'Zone A'!CF12</f>
        <v>0</v>
      </c>
      <c r="U15" s="368">
        <f t="shared" si="7"/>
        <v>37145</v>
      </c>
      <c r="V15" s="345"/>
      <c r="W15" s="344"/>
      <c r="X15" s="342"/>
      <c r="Y15" s="343"/>
      <c r="Z15" s="345"/>
      <c r="AA15" s="359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46"/>
      <c r="AT15" s="345"/>
      <c r="AU15" s="346"/>
      <c r="AV15" s="357"/>
      <c r="AW15" s="350"/>
      <c r="AX15" s="349"/>
      <c r="AY15" s="350"/>
      <c r="AZ15" s="349"/>
      <c r="BA15" s="350"/>
      <c r="BB15" s="357"/>
      <c r="BC15" s="350"/>
      <c r="BD15" s="349"/>
      <c r="BE15" s="350"/>
      <c r="BF15" s="357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3"/>
        <v>0</v>
      </c>
      <c r="CY15" s="352">
        <f>(W15+Y15+AA15+AC15+AE15)/5</f>
        <v>0</v>
      </c>
      <c r="CZ15" s="368">
        <f t="shared" si="4"/>
        <v>37145</v>
      </c>
    </row>
    <row r="16" spans="1:104" ht="16.2" thickBot="1" x14ac:dyDescent="0.35">
      <c r="A16" s="380" t="str">
        <f>A11</f>
        <v>fri</v>
      </c>
      <c r="B16" s="380">
        <f>B15+1</f>
        <v>37148</v>
      </c>
      <c r="C16" s="217">
        <f>'EOL LINKS'!B3</f>
        <v>29.4</v>
      </c>
      <c r="D16" s="217">
        <f>'EOL LINKS'!C3</f>
        <v>29.7</v>
      </c>
      <c r="E16" s="371">
        <f t="shared" si="5"/>
        <v>29.549999999999997</v>
      </c>
      <c r="F16" s="398">
        <v>0</v>
      </c>
      <c r="G16" s="177">
        <f t="shared" si="8"/>
        <v>29.549999999999997</v>
      </c>
      <c r="H16" s="153">
        <f t="shared" si="12"/>
        <v>1260.5752961082912</v>
      </c>
      <c r="I16" s="378">
        <f t="shared" si="10"/>
        <v>0</v>
      </c>
      <c r="J16" s="435">
        <f t="shared" si="11"/>
        <v>0</v>
      </c>
      <c r="K16" s="422">
        <f t="shared" si="9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7"/>
      <c r="R16" s="452">
        <f>'Zone A'!CE13</f>
        <v>0</v>
      </c>
      <c r="S16" s="482">
        <f>'Zone A'!CF13</f>
        <v>0</v>
      </c>
      <c r="U16" s="368">
        <f t="shared" si="7"/>
        <v>37146</v>
      </c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57"/>
      <c r="AM16" s="350"/>
      <c r="AN16" s="349"/>
      <c r="AO16" s="350"/>
      <c r="AP16" s="345"/>
      <c r="AQ16" s="346"/>
      <c r="AR16" s="345"/>
      <c r="AS16" s="346"/>
      <c r="AT16" s="345"/>
      <c r="AU16" s="346"/>
      <c r="AV16" s="357"/>
      <c r="AW16" s="350"/>
      <c r="AX16" s="349"/>
      <c r="AY16" s="350"/>
      <c r="AZ16" s="349"/>
      <c r="BA16" s="350"/>
      <c r="BB16" s="357"/>
      <c r="BC16" s="350"/>
      <c r="BD16" s="349"/>
      <c r="BE16" s="350"/>
      <c r="BF16" s="357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3"/>
        <v>0</v>
      </c>
      <c r="CY16" s="352">
        <f>(AG16+AI16+AM16)/3</f>
        <v>0</v>
      </c>
      <c r="CZ16" s="368">
        <f t="shared" si="4"/>
        <v>37146</v>
      </c>
    </row>
    <row r="17" spans="1:104" ht="16.2" thickBot="1" x14ac:dyDescent="0.35">
      <c r="A17" s="395" t="s">
        <v>241</v>
      </c>
      <c r="B17" s="395">
        <f>B16+3</f>
        <v>37151</v>
      </c>
      <c r="C17" s="455">
        <f>'EOL LINKS'!B2</f>
        <v>32.200000000000003</v>
      </c>
      <c r="D17" s="455">
        <f>'EOL LINKS'!C2</f>
        <v>32.299999999999997</v>
      </c>
      <c r="E17" s="397">
        <f t="shared" si="5"/>
        <v>32.25</v>
      </c>
      <c r="F17" s="398">
        <v>0</v>
      </c>
      <c r="G17" s="389">
        <f t="shared" si="8"/>
        <v>32.25</v>
      </c>
      <c r="H17" s="390">
        <f t="shared" si="12"/>
        <v>1260.5752961082912</v>
      </c>
      <c r="I17" s="377">
        <f t="shared" si="10"/>
        <v>0</v>
      </c>
      <c r="J17" s="434">
        <f t="shared" si="11"/>
        <v>0</v>
      </c>
      <c r="K17" s="391">
        <f t="shared" si="9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7"/>
      <c r="R17" s="452">
        <v>0</v>
      </c>
      <c r="S17" s="482">
        <f>'Zone A'!CF14</f>
        <v>0</v>
      </c>
      <c r="U17" s="368">
        <f t="shared" si="7"/>
        <v>37147</v>
      </c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57"/>
      <c r="AM17" s="350"/>
      <c r="AN17" s="349"/>
      <c r="AO17" s="350"/>
      <c r="AP17" s="345"/>
      <c r="AQ17" s="346"/>
      <c r="AR17" s="345"/>
      <c r="AS17" s="346"/>
      <c r="AT17" s="345"/>
      <c r="AU17" s="346"/>
      <c r="AV17" s="357"/>
      <c r="AW17" s="350"/>
      <c r="AX17" s="349"/>
      <c r="AY17" s="350"/>
      <c r="AZ17" s="349"/>
      <c r="BA17" s="350"/>
      <c r="BB17" s="357"/>
      <c r="BC17" s="350"/>
      <c r="BD17" s="349"/>
      <c r="BE17" s="350"/>
      <c r="BF17" s="357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3"/>
        <v>0</v>
      </c>
      <c r="CY17" s="352">
        <f>(AG17+AI17+AK17+AQ17+AS17+AU17)/6</f>
        <v>0</v>
      </c>
      <c r="CZ17" s="368">
        <f t="shared" si="4"/>
        <v>37147</v>
      </c>
    </row>
    <row r="18" spans="1:104" ht="16.2" thickBot="1" x14ac:dyDescent="0.35">
      <c r="A18" s="193" t="s">
        <v>242</v>
      </c>
      <c r="B18" s="193">
        <f>B17+1</f>
        <v>37152</v>
      </c>
      <c r="C18" s="506">
        <f>'EOL LINKS'!B2</f>
        <v>32.200000000000003</v>
      </c>
      <c r="D18" s="506">
        <f>'EOL LINKS'!C2</f>
        <v>32.299999999999997</v>
      </c>
      <c r="E18" s="170">
        <f t="shared" si="5"/>
        <v>32.25</v>
      </c>
      <c r="F18" s="398">
        <v>0</v>
      </c>
      <c r="G18" s="201">
        <f t="shared" si="8"/>
        <v>32.25</v>
      </c>
      <c r="H18" s="172">
        <f t="shared" si="12"/>
        <v>1260.5752961082912</v>
      </c>
      <c r="I18" s="377">
        <f t="shared" si="10"/>
        <v>0</v>
      </c>
      <c r="J18" s="432">
        <f t="shared" si="11"/>
        <v>0</v>
      </c>
      <c r="K18" s="203">
        <f t="shared" si="9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7"/>
      <c r="R18" s="452">
        <v>0</v>
      </c>
      <c r="S18" s="482">
        <f>'Zone A'!CF15</f>
        <v>0</v>
      </c>
      <c r="U18" s="368">
        <f t="shared" si="7"/>
        <v>37148</v>
      </c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57"/>
      <c r="AM18" s="350"/>
      <c r="AN18" s="349"/>
      <c r="AO18" s="350"/>
      <c r="AP18" s="345"/>
      <c r="AQ18" s="346"/>
      <c r="AR18" s="345"/>
      <c r="AS18" s="346"/>
      <c r="AT18" s="345"/>
      <c r="AU18" s="346"/>
      <c r="AV18" s="357"/>
      <c r="AW18" s="350"/>
      <c r="AX18" s="349"/>
      <c r="AY18" s="350"/>
      <c r="AZ18" s="349"/>
      <c r="BA18" s="350"/>
      <c r="BB18" s="357"/>
      <c r="BC18" s="350"/>
      <c r="BD18" s="349"/>
      <c r="BE18" s="350"/>
      <c r="BF18" s="357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3"/>
        <v>0</v>
      </c>
      <c r="CY18" s="352">
        <f>(AG18+AI18+AK18+AQ18+AS18+AU18)/6</f>
        <v>0</v>
      </c>
      <c r="CZ18" s="368">
        <f t="shared" si="4"/>
        <v>37148</v>
      </c>
    </row>
    <row r="19" spans="1:104" ht="16.2" thickBot="1" x14ac:dyDescent="0.35">
      <c r="A19" s="194" t="s">
        <v>243</v>
      </c>
      <c r="B19" s="194">
        <f>B18+1</f>
        <v>37153</v>
      </c>
      <c r="C19" s="507">
        <f>'EOL LINKS'!B2</f>
        <v>32.200000000000003</v>
      </c>
      <c r="D19" s="507">
        <f>'EOL LINKS'!C2</f>
        <v>32.299999999999997</v>
      </c>
      <c r="E19" s="70">
        <f t="shared" si="5"/>
        <v>32.25</v>
      </c>
      <c r="F19" s="398">
        <v>0</v>
      </c>
      <c r="G19" s="72">
        <f t="shared" si="8"/>
        <v>32.25</v>
      </c>
      <c r="H19" s="100">
        <f t="shared" si="12"/>
        <v>1260.5752961082912</v>
      </c>
      <c r="I19" s="377">
        <f t="shared" si="10"/>
        <v>0</v>
      </c>
      <c r="J19" s="432">
        <f t="shared" si="11"/>
        <v>0</v>
      </c>
      <c r="K19" s="33">
        <f t="shared" si="9"/>
        <v>0</v>
      </c>
      <c r="L19" s="62" t="s">
        <v>26</v>
      </c>
      <c r="M19" s="63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9"/>
      <c r="R19" s="452">
        <v>0</v>
      </c>
      <c r="S19" s="482">
        <f>'Zone A'!CF16</f>
        <v>0</v>
      </c>
      <c r="U19" s="368">
        <f t="shared" si="7"/>
        <v>37151</v>
      </c>
      <c r="V19" s="345"/>
      <c r="W19" s="346"/>
      <c r="X19" s="342"/>
      <c r="Y19" s="343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46"/>
      <c r="AT19" s="355"/>
      <c r="AU19" s="356"/>
      <c r="AV19" s="357"/>
      <c r="AW19" s="350"/>
      <c r="AX19" s="349"/>
      <c r="AY19" s="350"/>
      <c r="AZ19" s="349"/>
      <c r="BA19" s="350"/>
      <c r="BB19" s="357"/>
      <c r="BC19" s="350"/>
      <c r="BD19" s="349"/>
      <c r="BE19" s="350"/>
      <c r="BF19" s="357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3"/>
        <v>0</v>
      </c>
      <c r="CY19" s="352">
        <f>(BA19)</f>
        <v>0</v>
      </c>
      <c r="CZ19" s="368">
        <f t="shared" si="4"/>
        <v>37151</v>
      </c>
    </row>
    <row r="20" spans="1:104" ht="16.2" thickBot="1" x14ac:dyDescent="0.35">
      <c r="A20" s="194" t="s">
        <v>244</v>
      </c>
      <c r="B20" s="194">
        <f>B19+1</f>
        <v>37154</v>
      </c>
      <c r="C20" s="507">
        <f>'EOL LINKS'!B2</f>
        <v>32.200000000000003</v>
      </c>
      <c r="D20" s="507">
        <f>'EOL LINKS'!C2</f>
        <v>32.299999999999997</v>
      </c>
      <c r="E20" s="70">
        <f t="shared" si="5"/>
        <v>32.25</v>
      </c>
      <c r="F20" s="398">
        <v>0</v>
      </c>
      <c r="G20" s="72">
        <f t="shared" si="8"/>
        <v>32.25</v>
      </c>
      <c r="H20" s="100">
        <f t="shared" si="12"/>
        <v>1260.5752961082912</v>
      </c>
      <c r="I20" s="377">
        <f t="shared" si="10"/>
        <v>0</v>
      </c>
      <c r="J20" s="432">
        <f t="shared" si="11"/>
        <v>33.875</v>
      </c>
      <c r="K20" s="33">
        <f t="shared" si="9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2">
        <v>0</v>
      </c>
      <c r="S20" s="482">
        <f>'Zone A'!CF17</f>
        <v>0</v>
      </c>
      <c r="U20" s="368">
        <f t="shared" si="7"/>
        <v>37152</v>
      </c>
      <c r="V20" s="345"/>
      <c r="W20" s="346"/>
      <c r="X20" s="342"/>
      <c r="Y20" s="343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46"/>
      <c r="AT20" s="355"/>
      <c r="AU20" s="356"/>
      <c r="AV20" s="357"/>
      <c r="AW20" s="350"/>
      <c r="AX20" s="349"/>
      <c r="AY20" s="350"/>
      <c r="AZ20" s="349"/>
      <c r="BA20" s="350"/>
      <c r="BB20" s="357"/>
      <c r="BC20" s="350"/>
      <c r="BD20" s="349"/>
      <c r="BE20" s="350"/>
      <c r="BF20" s="357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3"/>
        <v>0</v>
      </c>
      <c r="CY20" s="352">
        <f>(W20+Y20+AA20+AC20)/4</f>
        <v>0</v>
      </c>
      <c r="CZ20" s="368">
        <f t="shared" si="4"/>
        <v>37152</v>
      </c>
    </row>
    <row r="21" spans="1:104" ht="16.2" thickBot="1" x14ac:dyDescent="0.35">
      <c r="A21" s="205" t="s">
        <v>245</v>
      </c>
      <c r="B21" s="205">
        <f>B20+1</f>
        <v>37155</v>
      </c>
      <c r="C21" s="32">
        <f>'EOL LINKS'!B2</f>
        <v>32.200000000000003</v>
      </c>
      <c r="D21" s="32">
        <f>'EOL LINKS'!C2</f>
        <v>32.299999999999997</v>
      </c>
      <c r="E21" s="78">
        <f t="shared" si="5"/>
        <v>32.25</v>
      </c>
      <c r="F21" s="398">
        <v>0</v>
      </c>
      <c r="G21" s="177">
        <f t="shared" si="8"/>
        <v>32.25</v>
      </c>
      <c r="H21" s="153">
        <f t="shared" si="12"/>
        <v>1260.5752961082912</v>
      </c>
      <c r="I21" s="378">
        <f t="shared" si="10"/>
        <v>0</v>
      </c>
      <c r="J21" s="435">
        <f t="shared" si="11"/>
        <v>33.875</v>
      </c>
      <c r="K21" s="178">
        <f t="shared" si="9"/>
        <v>0</v>
      </c>
      <c r="L21" s="51"/>
      <c r="M21" s="51"/>
      <c r="N21" s="38"/>
      <c r="R21" s="452">
        <v>0</v>
      </c>
      <c r="S21" s="482">
        <f>'Zone A'!CF18</f>
        <v>0</v>
      </c>
      <c r="U21" s="368">
        <f t="shared" si="7"/>
        <v>37153</v>
      </c>
      <c r="V21" s="345"/>
      <c r="W21" s="346"/>
      <c r="X21" s="342"/>
      <c r="Y21" s="343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44"/>
      <c r="AT21" s="355"/>
      <c r="AU21" s="356"/>
      <c r="AV21" s="357"/>
      <c r="AW21" s="350"/>
      <c r="AX21" s="349"/>
      <c r="AY21" s="350"/>
      <c r="AZ21" s="349"/>
      <c r="BA21" s="350"/>
      <c r="BB21" s="357"/>
      <c r="BC21" s="350"/>
      <c r="BD21" s="349"/>
      <c r="BE21" s="350"/>
      <c r="BF21" s="357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3"/>
        <v>0</v>
      </c>
      <c r="CY21" s="352">
        <f>(W21+Y21+AA21+AC21)/4</f>
        <v>0</v>
      </c>
      <c r="CZ21" s="368">
        <f t="shared" si="4"/>
        <v>37153</v>
      </c>
    </row>
    <row r="22" spans="1:104" ht="16.2" thickBot="1" x14ac:dyDescent="0.35">
      <c r="A22" s="399" t="s">
        <v>241</v>
      </c>
      <c r="B22" s="399">
        <f>B21+3</f>
        <v>37158</v>
      </c>
      <c r="C22" s="398">
        <f>'EOL LINKS'!B2</f>
        <v>32.200000000000003</v>
      </c>
      <c r="D22" s="398">
        <f>'EOL LINKS'!C2</f>
        <v>32.299999999999997</v>
      </c>
      <c r="E22" s="387">
        <f t="shared" si="5"/>
        <v>32.25</v>
      </c>
      <c r="F22" s="398">
        <v>0</v>
      </c>
      <c r="G22" s="389">
        <f t="shared" si="8"/>
        <v>32.25</v>
      </c>
      <c r="H22" s="390">
        <f t="shared" si="12"/>
        <v>1260.5752961082912</v>
      </c>
      <c r="I22" s="377">
        <f t="shared" si="10"/>
        <v>0</v>
      </c>
      <c r="J22" s="434">
        <f t="shared" si="11"/>
        <v>32.325099999999999</v>
      </c>
      <c r="K22" s="419">
        <f t="shared" si="9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A'!CF19</f>
        <v>33.875</v>
      </c>
      <c r="U22" s="368">
        <f t="shared" si="7"/>
        <v>37154</v>
      </c>
      <c r="V22" s="345"/>
      <c r="W22" s="346"/>
      <c r="X22" s="342"/>
      <c r="Y22" s="343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2"/>
      <c r="AS22" s="343"/>
      <c r="AT22" s="355"/>
      <c r="AU22" s="356"/>
      <c r="AV22" s="357"/>
      <c r="AW22" s="350"/>
      <c r="AX22" s="349"/>
      <c r="AY22" s="350"/>
      <c r="AZ22" s="349"/>
      <c r="BA22" s="350"/>
      <c r="BB22" s="357"/>
      <c r="BC22" s="350"/>
      <c r="BD22" s="349"/>
      <c r="BE22" s="350"/>
      <c r="BF22" s="357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3"/>
        <v>0</v>
      </c>
      <c r="CY22" s="352">
        <f>(W22+Y22+AA22+AC22)/4</f>
        <v>0</v>
      </c>
      <c r="CZ22" s="368">
        <f t="shared" si="4"/>
        <v>37154</v>
      </c>
    </row>
    <row r="23" spans="1:104" ht="16.2" thickBot="1" x14ac:dyDescent="0.35">
      <c r="A23" s="324" t="s">
        <v>242</v>
      </c>
      <c r="B23" s="324">
        <f>B22+1</f>
        <v>37159</v>
      </c>
      <c r="C23" s="328">
        <f>'EOL LINKS'!B2</f>
        <v>32.200000000000003</v>
      </c>
      <c r="D23" s="328">
        <f>'EOL LINKS'!C2</f>
        <v>32.299999999999997</v>
      </c>
      <c r="E23" s="372">
        <f t="shared" si="5"/>
        <v>32.25</v>
      </c>
      <c r="F23" s="398">
        <v>0</v>
      </c>
      <c r="G23" s="201">
        <f t="shared" si="8"/>
        <v>32.25</v>
      </c>
      <c r="H23" s="172">
        <f t="shared" si="12"/>
        <v>1260.5752961082912</v>
      </c>
      <c r="I23" s="377">
        <f t="shared" si="10"/>
        <v>0</v>
      </c>
      <c r="J23" s="432">
        <f t="shared" si="11"/>
        <v>32.325000000000003</v>
      </c>
      <c r="K23" s="420">
        <f t="shared" si="9"/>
        <v>0</v>
      </c>
      <c r="L23" s="51"/>
      <c r="M23" s="46" t="s">
        <v>34</v>
      </c>
      <c r="N23" s="64">
        <v>25.25</v>
      </c>
      <c r="O23" s="43">
        <v>200</v>
      </c>
      <c r="P23" s="44">
        <v>200</v>
      </c>
      <c r="Q23" s="49"/>
      <c r="R23" s="452">
        <f>'Zone A'!CE20</f>
        <v>0</v>
      </c>
      <c r="S23" s="482">
        <f>'Zone A'!CF20</f>
        <v>33.875</v>
      </c>
      <c r="U23" s="368">
        <f t="shared" si="7"/>
        <v>37155</v>
      </c>
      <c r="V23" s="345"/>
      <c r="W23" s="346"/>
      <c r="X23" s="342"/>
      <c r="Y23" s="343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46"/>
      <c r="AT23" s="355"/>
      <c r="AU23" s="356"/>
      <c r="AV23" s="357"/>
      <c r="AW23" s="350"/>
      <c r="AX23" s="349"/>
      <c r="AY23" s="350"/>
      <c r="AZ23" s="349"/>
      <c r="BA23" s="350"/>
      <c r="BB23" s="357"/>
      <c r="BC23" s="350"/>
      <c r="BD23" s="349"/>
      <c r="BE23" s="350"/>
      <c r="BF23" s="357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3"/>
        <v>0</v>
      </c>
      <c r="CY23" s="352">
        <f>(W23+Y23+AA23+AC23)/4</f>
        <v>0</v>
      </c>
      <c r="CZ23" s="368">
        <f t="shared" si="4"/>
        <v>37155</v>
      </c>
    </row>
    <row r="24" spans="1:104" ht="16.2" thickBot="1" x14ac:dyDescent="0.35">
      <c r="A24" s="325" t="s">
        <v>243</v>
      </c>
      <c r="B24" s="324">
        <f>B23+1</f>
        <v>37160</v>
      </c>
      <c r="C24" s="327">
        <f>'EOL LINKS'!B3</f>
        <v>29.4</v>
      </c>
      <c r="D24" s="327">
        <f>'EOL LINKS'!C3</f>
        <v>29.7</v>
      </c>
      <c r="E24" s="373">
        <f t="shared" si="5"/>
        <v>29.549999999999997</v>
      </c>
      <c r="F24" s="398">
        <v>29.75</v>
      </c>
      <c r="G24" s="72">
        <f t="shared" si="8"/>
        <v>-0.20000000000000284</v>
      </c>
      <c r="H24" s="100">
        <f t="shared" si="12"/>
        <v>1260.5752961082912</v>
      </c>
      <c r="I24" s="377">
        <f t="shared" si="10"/>
        <v>-100</v>
      </c>
      <c r="J24" s="432">
        <f t="shared" si="11"/>
        <v>32.325099999999999</v>
      </c>
      <c r="K24" s="421">
        <f t="shared" si="9"/>
        <v>320.00000000000455</v>
      </c>
      <c r="L24" s="51"/>
      <c r="M24" s="67" t="s">
        <v>35</v>
      </c>
      <c r="N24" s="65">
        <v>25.25</v>
      </c>
      <c r="O24" s="43">
        <v>200</v>
      </c>
      <c r="P24" s="44">
        <v>200</v>
      </c>
      <c r="Q24" s="49"/>
      <c r="R24" s="452">
        <v>0</v>
      </c>
      <c r="S24" s="482">
        <f>'Zone A'!CF21</f>
        <v>32.325099999999999</v>
      </c>
      <c r="U24" s="368">
        <f t="shared" si="7"/>
        <v>37158</v>
      </c>
      <c r="V24" s="345"/>
      <c r="W24" s="346"/>
      <c r="X24" s="345"/>
      <c r="Y24" s="344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46"/>
      <c r="AT24" s="355"/>
      <c r="AU24" s="356"/>
      <c r="AV24" s="357"/>
      <c r="AW24" s="350"/>
      <c r="AX24" s="349"/>
      <c r="AY24" s="350"/>
      <c r="AZ24" s="349"/>
      <c r="BA24" s="350"/>
      <c r="BB24" s="357"/>
      <c r="BC24" s="350"/>
      <c r="BD24" s="349"/>
      <c r="BE24" s="350"/>
      <c r="BF24" s="357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3"/>
        <v>0</v>
      </c>
      <c r="CY24" s="352">
        <f>(W24+W24+Y24+AA24+AC24+AE24+AG24+AI24+AK24+AM24+AO24+AQ24+AS24+AU24+AW24)/15</f>
        <v>0</v>
      </c>
      <c r="CZ24" s="368">
        <f t="shared" si="4"/>
        <v>37158</v>
      </c>
    </row>
    <row r="25" spans="1:104" ht="16.2" thickBot="1" x14ac:dyDescent="0.35">
      <c r="A25" s="325" t="s">
        <v>244</v>
      </c>
      <c r="B25" s="324">
        <f>B24+1</f>
        <v>37161</v>
      </c>
      <c r="C25" s="327">
        <f t="shared" ref="C25:D26" si="13">C24</f>
        <v>29.4</v>
      </c>
      <c r="D25" s="327">
        <f t="shared" si="13"/>
        <v>29.7</v>
      </c>
      <c r="E25" s="373">
        <f t="shared" si="5"/>
        <v>29.549999999999997</v>
      </c>
      <c r="F25" s="398">
        <v>29.75</v>
      </c>
      <c r="G25" s="72">
        <f t="shared" si="8"/>
        <v>-0.20000000000000284</v>
      </c>
      <c r="H25" s="100">
        <f t="shared" si="12"/>
        <v>1260.5752961082912</v>
      </c>
      <c r="I25" s="377">
        <f t="shared" si="10"/>
        <v>-100</v>
      </c>
      <c r="J25" s="432">
        <f t="shared" si="11"/>
        <v>32.325000000000003</v>
      </c>
      <c r="K25" s="421">
        <f t="shared" si="9"/>
        <v>320.00000000000455</v>
      </c>
      <c r="L25" s="51"/>
      <c r="M25" s="46" t="s">
        <v>31</v>
      </c>
      <c r="N25" s="66">
        <v>25.25</v>
      </c>
      <c r="O25" s="101">
        <v>200</v>
      </c>
      <c r="P25" s="44">
        <v>200</v>
      </c>
      <c r="Q25" s="49"/>
      <c r="R25" s="452">
        <v>0</v>
      </c>
      <c r="S25" s="482">
        <f>'Zone A'!CF22</f>
        <v>32.325000000000003</v>
      </c>
      <c r="U25" s="368">
        <f t="shared" si="7"/>
        <v>37159</v>
      </c>
      <c r="V25" s="345"/>
      <c r="W25" s="344"/>
      <c r="X25" s="342"/>
      <c r="Y25" s="343"/>
      <c r="Z25" s="345"/>
      <c r="AA25" s="346"/>
      <c r="AB25" s="345"/>
      <c r="AC25" s="344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46"/>
      <c r="AT25" s="355"/>
      <c r="AU25" s="356"/>
      <c r="AV25" s="355"/>
      <c r="AW25" s="356"/>
      <c r="AX25" s="349"/>
      <c r="AY25" s="350"/>
      <c r="AZ25" s="349"/>
      <c r="BA25" s="350"/>
      <c r="BB25" s="357"/>
      <c r="BC25" s="350"/>
      <c r="BD25" s="349"/>
      <c r="BE25" s="350"/>
      <c r="BF25" s="357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3"/>
        <v>0</v>
      </c>
      <c r="CY25" s="352">
        <f>(W25+W25+Y25+AA25+AC25+AE25+AG25+AI25+AK25+AM25+AO25+AQ25+AS25+AU25+AW25)/15</f>
        <v>0</v>
      </c>
      <c r="CZ25" s="368">
        <f t="shared" si="4"/>
        <v>37159</v>
      </c>
    </row>
    <row r="26" spans="1:104" ht="16.2" thickBot="1" x14ac:dyDescent="0.35">
      <c r="A26" s="370" t="s">
        <v>245</v>
      </c>
      <c r="B26" s="380">
        <f>B25+1</f>
        <v>37162</v>
      </c>
      <c r="C26" s="326">
        <f t="shared" si="13"/>
        <v>29.4</v>
      </c>
      <c r="D26" s="326">
        <f t="shared" si="13"/>
        <v>29.7</v>
      </c>
      <c r="E26" s="371">
        <f t="shared" si="5"/>
        <v>29.549999999999997</v>
      </c>
      <c r="F26" s="398">
        <v>29.75</v>
      </c>
      <c r="G26" s="177">
        <f t="shared" si="8"/>
        <v>-0.20000000000000284</v>
      </c>
      <c r="H26" s="153">
        <f t="shared" si="12"/>
        <v>1260.5752961082912</v>
      </c>
      <c r="I26" s="510">
        <f t="shared" si="10"/>
        <v>-100</v>
      </c>
      <c r="J26" s="435">
        <f t="shared" si="11"/>
        <v>32.325099999999999</v>
      </c>
      <c r="K26" s="422">
        <f t="shared" si="9"/>
        <v>320.00000000000455</v>
      </c>
      <c r="L26" s="51"/>
      <c r="M26" s="22"/>
      <c r="N26" s="47"/>
      <c r="O26" s="49"/>
      <c r="P26" s="22"/>
      <c r="Q26" s="22"/>
      <c r="R26" s="452">
        <f>'Zone A'!CE23</f>
        <v>-100</v>
      </c>
      <c r="S26" s="482">
        <f>'Zone A'!CF23</f>
        <v>32.325099999999999</v>
      </c>
      <c r="U26" s="368">
        <f t="shared" si="7"/>
        <v>37160</v>
      </c>
      <c r="V26" s="345">
        <v>50</v>
      </c>
      <c r="W26" s="346">
        <v>30.4</v>
      </c>
      <c r="X26" s="345">
        <v>50</v>
      </c>
      <c r="Y26" s="344">
        <v>29.95</v>
      </c>
      <c r="Z26" s="345">
        <v>-50</v>
      </c>
      <c r="AA26" s="346">
        <v>29.55</v>
      </c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46"/>
      <c r="AT26" s="355"/>
      <c r="AU26" s="356"/>
      <c r="AV26" s="357"/>
      <c r="AW26" s="350"/>
      <c r="AX26" s="349"/>
      <c r="AY26" s="350"/>
      <c r="AZ26" s="349"/>
      <c r="BA26" s="350"/>
      <c r="BB26" s="357"/>
      <c r="BC26" s="350"/>
      <c r="BD26" s="349"/>
      <c r="BE26" s="350"/>
      <c r="BF26" s="357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3"/>
        <v>50</v>
      </c>
      <c r="CY26" s="352">
        <f>(W26+W26+Y26+AA26+AC26+AE26+AG26+AI26+AK26+AM26+AO26+AQ26+AS26+AU26+AW26)/15</f>
        <v>8.02</v>
      </c>
      <c r="CZ26" s="368">
        <f t="shared" si="4"/>
        <v>37160</v>
      </c>
    </row>
    <row r="27" spans="1:104" ht="16.2" thickBot="1" x14ac:dyDescent="0.35">
      <c r="A27" s="410"/>
      <c r="B27" s="410"/>
      <c r="C27" s="411"/>
      <c r="D27" s="411"/>
      <c r="E27" s="392"/>
      <c r="F27" s="393"/>
      <c r="G27" s="383"/>
      <c r="H27" s="384"/>
      <c r="I27" s="176"/>
      <c r="J27" s="176"/>
      <c r="K27" s="385">
        <f t="shared" si="9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A'!CE24</f>
        <v>-100</v>
      </c>
      <c r="S27" s="482">
        <f>'Zone A'!CF24</f>
        <v>32.325000000000003</v>
      </c>
      <c r="U27" s="368">
        <f t="shared" si="7"/>
        <v>37161</v>
      </c>
      <c r="V27" s="345">
        <v>50</v>
      </c>
      <c r="W27" s="344">
        <v>30.4</v>
      </c>
      <c r="X27" s="342">
        <v>50</v>
      </c>
      <c r="Y27" s="343">
        <v>29.95</v>
      </c>
      <c r="Z27" s="345"/>
      <c r="AA27" s="346"/>
      <c r="AB27" s="345"/>
      <c r="AC27" s="344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46"/>
      <c r="AT27" s="355"/>
      <c r="AU27" s="356"/>
      <c r="AV27" s="355"/>
      <c r="AW27" s="356"/>
      <c r="AX27" s="349"/>
      <c r="AY27" s="350"/>
      <c r="AZ27" s="349"/>
      <c r="BA27" s="350"/>
      <c r="BB27" s="357"/>
      <c r="BC27" s="350"/>
      <c r="BD27" s="349"/>
      <c r="BE27" s="350"/>
      <c r="BF27" s="357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3"/>
        <v>100</v>
      </c>
      <c r="CY27" s="352">
        <f>(W27+W27+Y27+AA27+AC27+AE27+AG27+AI27+AK27+AM27+AO27+AQ27+AS27+AU27+AW27)/15</f>
        <v>6.05</v>
      </c>
      <c r="CZ27" s="368">
        <f t="shared" si="4"/>
        <v>37161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4">SUM(C7:C27)/21</f>
        <v>30.726190476190471</v>
      </c>
      <c r="D28" s="211">
        <f t="shared" si="14"/>
        <v>31.030952380952392</v>
      </c>
      <c r="E28" s="211">
        <f t="shared" si="14"/>
        <v>30.878571428571419</v>
      </c>
      <c r="F28" s="211">
        <f t="shared" si="14"/>
        <v>4.25</v>
      </c>
      <c r="G28" s="211">
        <f t="shared" si="14"/>
        <v>26.628571428571419</v>
      </c>
      <c r="H28" s="216">
        <f t="shared" si="14"/>
        <v>1174.3614535492707</v>
      </c>
      <c r="I28" s="216"/>
      <c r="J28" s="216"/>
      <c r="K28" s="213">
        <f>SUM(K7:K27)</f>
        <v>960.00000000001364</v>
      </c>
      <c r="L28" s="51"/>
      <c r="M28" s="53" t="s">
        <v>29</v>
      </c>
      <c r="N28" s="92">
        <v>20</v>
      </c>
      <c r="O28" s="94">
        <v>21</v>
      </c>
      <c r="P28" s="22"/>
      <c r="Q28" s="22"/>
      <c r="R28" s="453">
        <f>'Zone A'!CE25</f>
        <v>-100</v>
      </c>
      <c r="S28" s="483">
        <f>'Zone A'!CF25</f>
        <v>32.325099999999999</v>
      </c>
      <c r="U28" s="368">
        <f t="shared" si="7"/>
        <v>37162</v>
      </c>
      <c r="V28" s="345">
        <v>50</v>
      </c>
      <c r="W28" s="346">
        <v>30.4</v>
      </c>
      <c r="X28" s="345">
        <v>50</v>
      </c>
      <c r="Y28" s="344">
        <v>29.95</v>
      </c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46"/>
      <c r="AT28" s="355"/>
      <c r="AU28" s="356"/>
      <c r="AV28" s="357"/>
      <c r="AW28" s="350"/>
      <c r="AX28" s="349"/>
      <c r="AY28" s="350"/>
      <c r="AZ28" s="349"/>
      <c r="BA28" s="350"/>
      <c r="BB28" s="357"/>
      <c r="BC28" s="350"/>
      <c r="BD28" s="349"/>
      <c r="BE28" s="350"/>
      <c r="BF28" s="357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3"/>
        <v>100</v>
      </c>
      <c r="CY28" s="352">
        <f>(W28+W28+Y28+AA28+AC28+AE28+AG28+AI28+AK28+AM28+AO28+AQ28+AS28+AU28+AW28)/15</f>
        <v>6.05</v>
      </c>
      <c r="CZ28" s="368">
        <f t="shared" si="4"/>
        <v>37162</v>
      </c>
    </row>
    <row r="29" spans="1:104" ht="16.2" thickBot="1" x14ac:dyDescent="0.35">
      <c r="A29" s="166"/>
      <c r="B29" s="166"/>
      <c r="C29" s="157"/>
      <c r="D29" s="157"/>
      <c r="E29" s="167"/>
      <c r="F29" s="156"/>
      <c r="G29" s="168"/>
      <c r="H29" s="159"/>
      <c r="I29" s="159"/>
      <c r="J29" s="430"/>
      <c r="K29" s="169"/>
      <c r="L29" s="51"/>
      <c r="M29" s="55" t="s">
        <v>30</v>
      </c>
      <c r="N29" s="93">
        <v>31</v>
      </c>
      <c r="O29" s="95">
        <v>33</v>
      </c>
      <c r="P29" s="22"/>
      <c r="Q29" s="22"/>
      <c r="R29" s="441"/>
      <c r="S29" s="263"/>
      <c r="U29" s="368">
        <v>37163</v>
      </c>
      <c r="V29" s="345"/>
      <c r="W29" s="344"/>
      <c r="X29" s="342"/>
      <c r="Y29" s="343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2"/>
      <c r="AS29" s="343"/>
      <c r="AT29" s="355"/>
      <c r="AU29" s="356"/>
      <c r="AV29" s="355"/>
      <c r="AW29" s="356"/>
      <c r="AX29" s="349"/>
      <c r="AY29" s="350"/>
      <c r="AZ29" s="349"/>
      <c r="BA29" s="350"/>
      <c r="BB29" s="357"/>
      <c r="BC29" s="350"/>
      <c r="BD29" s="349"/>
      <c r="BE29" s="350"/>
      <c r="BF29" s="357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3"/>
        <v>0</v>
      </c>
      <c r="CY29" s="352">
        <f>IF(AND(CX29=0,DB29=0),0,(DE29+DF29)/DB29)</f>
        <v>0</v>
      </c>
      <c r="CZ29" s="368">
        <f t="shared" si="4"/>
        <v>37163</v>
      </c>
    </row>
    <row r="30" spans="1:104" ht="16.2" thickBot="1" x14ac:dyDescent="0.35">
      <c r="B30" s="22"/>
      <c r="C30" s="47"/>
      <c r="D30" s="47"/>
      <c r="E30" s="151"/>
      <c r="F30" s="22"/>
      <c r="G30" s="160" t="s">
        <v>27</v>
      </c>
      <c r="H30" s="161" t="s">
        <v>37</v>
      </c>
      <c r="I30" s="162" t="s">
        <v>38</v>
      </c>
      <c r="J30" s="431"/>
      <c r="K30" s="163">
        <f>SUM(K6+K28)</f>
        <v>960.00000000001364</v>
      </c>
      <c r="L30" s="51"/>
      <c r="M30" s="57"/>
      <c r="N30" s="90">
        <f>((N28*8)+(N29*16))/24</f>
        <v>27.333333333333332</v>
      </c>
      <c r="O30" s="487">
        <f>((O28*8)+(O29*16))/24</f>
        <v>29</v>
      </c>
      <c r="P30" s="22"/>
      <c r="Q30" s="22"/>
      <c r="R30" s="442"/>
      <c r="S30" s="263"/>
      <c r="U30" s="368">
        <v>37164</v>
      </c>
      <c r="V30" s="471"/>
      <c r="W30" s="484"/>
      <c r="X30" s="469"/>
      <c r="Y30" s="509"/>
      <c r="Z30" s="471"/>
      <c r="AA30" s="360"/>
      <c r="AB30" s="471"/>
      <c r="AC30" s="360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360"/>
      <c r="AT30" s="474"/>
      <c r="AU30" s="475"/>
      <c r="AV30" s="474"/>
      <c r="AW30" s="475"/>
      <c r="AX30" s="478"/>
      <c r="AY30" s="477"/>
      <c r="AZ30" s="478"/>
      <c r="BA30" s="477"/>
      <c r="BB30" s="476"/>
      <c r="BC30" s="477"/>
      <c r="BD30" s="478"/>
      <c r="BE30" s="477"/>
      <c r="BF30" s="476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3"/>
        <v>0</v>
      </c>
      <c r="CY30" s="480">
        <f>IF(AND(CX30=0,DB30=0),0,(DE30+DF30)/DB30)</f>
        <v>0</v>
      </c>
      <c r="CZ30" s="481">
        <f t="shared" si="4"/>
        <v>37164</v>
      </c>
    </row>
    <row r="31" spans="1:104" ht="15.6" x14ac:dyDescent="0.3">
      <c r="B31" s="22"/>
      <c r="C31" s="47"/>
      <c r="D31" s="47"/>
      <c r="E31" s="151"/>
      <c r="F31" s="22"/>
      <c r="G31" s="441"/>
      <c r="H31" s="441"/>
      <c r="I31" s="494"/>
      <c r="J31" s="494"/>
      <c r="K31" s="495"/>
      <c r="L31" s="51"/>
      <c r="M31" s="22"/>
      <c r="N31" s="51"/>
      <c r="O31" s="47"/>
      <c r="P31" s="47"/>
      <c r="Q31" s="47"/>
      <c r="R31" s="442"/>
      <c r="S31" s="263"/>
      <c r="U31" s="466"/>
      <c r="V31" s="460"/>
      <c r="W31" s="467"/>
      <c r="X31" s="460"/>
      <c r="Y31" s="467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63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5.6" x14ac:dyDescent="0.3">
      <c r="B32" s="22"/>
      <c r="C32" s="47"/>
      <c r="D32" s="47"/>
      <c r="E32" s="151"/>
      <c r="F32" s="22"/>
      <c r="G32" s="441"/>
      <c r="H32" s="441"/>
      <c r="I32" s="494"/>
      <c r="J32" s="494"/>
      <c r="K32" s="495"/>
      <c r="L32" s="51"/>
      <c r="M32" s="51"/>
      <c r="N32" s="22"/>
      <c r="Q32" s="58"/>
      <c r="R32" s="442"/>
      <c r="S32" s="263"/>
      <c r="U32" s="466"/>
      <c r="V32" s="460"/>
      <c r="W32" s="467"/>
      <c r="X32" s="460"/>
      <c r="Y32" s="459"/>
      <c r="Z32" s="460"/>
      <c r="AA32" s="459"/>
      <c r="AB32" s="460"/>
      <c r="AC32" s="467"/>
      <c r="AD32" s="460"/>
      <c r="AE32" s="459"/>
      <c r="AF32" s="460"/>
      <c r="AG32" s="459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63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6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6"/>
      <c r="V33" s="460"/>
      <c r="W33" s="467"/>
      <c r="X33" s="460"/>
      <c r="Y33" s="459"/>
      <c r="Z33" s="460"/>
      <c r="AA33" s="459"/>
      <c r="AB33" s="460"/>
      <c r="AC33" s="467"/>
      <c r="AD33" s="460"/>
      <c r="AE33" s="459"/>
      <c r="AF33" s="460"/>
      <c r="AG33" s="459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63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6" x14ac:dyDescent="0.3">
      <c r="C34" s="56"/>
      <c r="E34" s="50"/>
      <c r="N34" s="22"/>
      <c r="O34" s="58"/>
      <c r="P34" s="58"/>
      <c r="R34" s="443"/>
      <c r="S34" s="437"/>
      <c r="U34" s="466"/>
      <c r="V34" s="460"/>
      <c r="W34" s="467"/>
      <c r="X34" s="460"/>
      <c r="Y34" s="459"/>
      <c r="Z34" s="460"/>
      <c r="AA34" s="459"/>
      <c r="AB34" s="460"/>
      <c r="AC34" s="459"/>
      <c r="AD34" s="460"/>
      <c r="AE34" s="459"/>
      <c r="AF34" s="460"/>
      <c r="AG34" s="459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63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6" x14ac:dyDescent="0.3">
      <c r="C35" s="56"/>
      <c r="E35" s="50"/>
      <c r="R35" s="443"/>
      <c r="S35" s="437"/>
      <c r="U35" s="466"/>
      <c r="V35" s="460"/>
      <c r="W35" s="467"/>
      <c r="X35" s="460"/>
      <c r="Y35" s="459"/>
      <c r="Z35" s="460"/>
      <c r="AA35" s="459"/>
      <c r="AB35" s="460"/>
      <c r="AC35" s="459"/>
      <c r="AD35" s="460"/>
      <c r="AE35" s="459"/>
      <c r="AF35" s="460"/>
      <c r="AG35" s="459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63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6" x14ac:dyDescent="0.3">
      <c r="C36" s="56"/>
      <c r="E36" s="50"/>
      <c r="R36" s="443"/>
      <c r="S36" s="437"/>
      <c r="U36" s="466"/>
      <c r="V36" s="460"/>
      <c r="W36" s="467"/>
      <c r="X36" s="460"/>
      <c r="Y36" s="459"/>
      <c r="Z36" s="460"/>
      <c r="AA36" s="459"/>
      <c r="AB36" s="460"/>
      <c r="AC36" s="459"/>
      <c r="AD36" s="460"/>
      <c r="AE36" s="459"/>
      <c r="AF36" s="460"/>
      <c r="AG36" s="459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63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6" x14ac:dyDescent="0.3">
      <c r="C37" s="56"/>
      <c r="E37" s="50"/>
      <c r="R37" s="443"/>
      <c r="S37" s="437"/>
      <c r="U37" s="466"/>
      <c r="V37" s="460"/>
      <c r="W37" s="467"/>
      <c r="X37" s="460"/>
      <c r="Y37" s="459"/>
      <c r="Z37" s="460"/>
      <c r="AA37" s="459"/>
      <c r="AB37" s="460"/>
      <c r="AC37" s="459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63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43"/>
      <c r="S38" s="437"/>
      <c r="U38" s="461"/>
      <c r="V38" s="460"/>
      <c r="W38" s="459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63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</row>
    <row r="40" spans="2:104" x14ac:dyDescent="0.25">
      <c r="C40" s="56"/>
      <c r="E40" s="50"/>
    </row>
    <row r="41" spans="2:104" x14ac:dyDescent="0.25">
      <c r="C41" s="56"/>
      <c r="E41" s="50"/>
    </row>
    <row r="42" spans="2:104" x14ac:dyDescent="0.25">
      <c r="C42" s="56"/>
      <c r="E42" s="50"/>
    </row>
    <row r="43" spans="2:104" x14ac:dyDescent="0.25">
      <c r="C43" s="56"/>
      <c r="E43" s="50"/>
    </row>
    <row r="44" spans="2:104" x14ac:dyDescent="0.25">
      <c r="C44" s="56"/>
      <c r="E44" s="50"/>
    </row>
    <row r="45" spans="2:104" x14ac:dyDescent="0.25">
      <c r="C45" s="56"/>
      <c r="E45" s="50"/>
    </row>
    <row r="46" spans="2:104" x14ac:dyDescent="0.25">
      <c r="C46" s="56"/>
      <c r="E46" s="50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5"/>
  <sheetViews>
    <sheetView topLeftCell="BK5" workbookViewId="0">
      <selection activeCell="BW21" sqref="BW21:CB21"/>
    </sheetView>
  </sheetViews>
  <sheetFormatPr defaultRowHeight="13.2" x14ac:dyDescent="0.25"/>
  <cols>
    <col min="2" max="2" width="10.88671875" customWidth="1"/>
    <col min="85" max="85" width="12.33203125" customWidth="1"/>
  </cols>
  <sheetData>
    <row r="1" spans="2:85" ht="13.8" thickBot="1" x14ac:dyDescent="0.3"/>
    <row r="2" spans="2:85" x14ac:dyDescent="0.25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/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29"/>
    </row>
    <row r="3" spans="2:85" ht="13.8" thickBot="1" x14ac:dyDescent="0.3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/>
      <c r="L3" s="336"/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6" x14ac:dyDescent="0.3">
      <c r="B4" s="368"/>
      <c r="C4" s="342"/>
      <c r="D4" s="343"/>
      <c r="E4" s="342"/>
      <c r="F4" s="344"/>
      <c r="G4" s="345"/>
      <c r="H4" s="346"/>
      <c r="I4" s="342"/>
      <c r="J4" s="344"/>
      <c r="K4" s="342"/>
      <c r="L4" s="344"/>
      <c r="M4" s="342"/>
      <c r="N4" s="344"/>
      <c r="O4" s="347"/>
      <c r="P4" s="348"/>
      <c r="Q4" s="342"/>
      <c r="R4" s="344"/>
      <c r="S4" s="342"/>
      <c r="T4" s="344"/>
      <c r="U4" s="342"/>
      <c r="V4" s="344"/>
      <c r="W4" s="342"/>
      <c r="X4" s="344"/>
      <c r="Y4" s="342"/>
      <c r="Z4" s="344"/>
      <c r="AA4" s="342"/>
      <c r="AB4" s="344"/>
      <c r="AC4" s="342"/>
      <c r="AD4" s="344"/>
      <c r="AE4" s="342"/>
      <c r="AF4" s="344"/>
      <c r="AG4" s="342"/>
      <c r="AH4" s="344"/>
      <c r="AI4" s="342"/>
      <c r="AJ4" s="344"/>
      <c r="AK4" s="342"/>
      <c r="AL4" s="344"/>
      <c r="AM4" s="342"/>
      <c r="AN4" s="344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6" x14ac:dyDescent="0.3">
      <c r="B5" s="368"/>
      <c r="C5" s="342"/>
      <c r="D5" s="343"/>
      <c r="E5" s="342"/>
      <c r="F5" s="344"/>
      <c r="G5" s="345"/>
      <c r="H5" s="353"/>
      <c r="I5" s="342"/>
      <c r="J5" s="344"/>
      <c r="K5" s="342"/>
      <c r="L5" s="344"/>
      <c r="M5" s="345"/>
      <c r="N5" s="346"/>
      <c r="O5" s="345"/>
      <c r="P5" s="346"/>
      <c r="Q5" s="345"/>
      <c r="R5" s="346"/>
      <c r="S5" s="345"/>
      <c r="T5" s="344"/>
      <c r="U5" s="345"/>
      <c r="V5" s="346"/>
      <c r="W5" s="354"/>
      <c r="X5" s="346"/>
      <c r="Y5" s="354"/>
      <c r="Z5" s="346"/>
      <c r="AA5" s="355"/>
      <c r="AB5" s="356"/>
      <c r="AC5" s="357"/>
      <c r="AD5" s="350"/>
      <c r="AE5" s="349"/>
      <c r="AF5" s="350"/>
      <c r="AG5" s="349"/>
      <c r="AH5" s="350"/>
      <c r="AI5" s="357"/>
      <c r="AJ5" s="350"/>
      <c r="AK5" s="349"/>
      <c r="AL5" s="350"/>
      <c r="AM5" s="357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ref="CE5:CE25" si="0">C5+E5+G5+I5+K5+M5+O5+Q5+S5+U5+W5+Y5+AA5+AC5+AE5+AG5+AI5+AK5+AM5+AO5+AQ5+AS5+AU5+AW5+AY5+BA5+BC5+BE5+BG5+BI5+BK5+BM5+BO5+BQ5+BS5+BU5+BW5+BY5+CA5+CC5</f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6" x14ac:dyDescent="0.3">
      <c r="B6" s="368">
        <v>37137</v>
      </c>
      <c r="C6" s="342"/>
      <c r="D6" s="343"/>
      <c r="E6" s="342"/>
      <c r="F6" s="344"/>
      <c r="G6" s="345"/>
      <c r="H6" s="346"/>
      <c r="I6" s="342"/>
      <c r="J6" s="344"/>
      <c r="K6" s="342"/>
      <c r="L6" s="344"/>
      <c r="M6" s="345"/>
      <c r="N6" s="346"/>
      <c r="O6" s="345"/>
      <c r="P6" s="346"/>
      <c r="Q6" s="345"/>
      <c r="R6" s="346"/>
      <c r="S6" s="345"/>
      <c r="T6" s="358"/>
      <c r="U6" s="345"/>
      <c r="V6" s="346"/>
      <c r="W6" s="354"/>
      <c r="X6" s="346"/>
      <c r="Y6" s="354"/>
      <c r="Z6" s="346"/>
      <c r="AA6" s="355"/>
      <c r="AB6" s="356"/>
      <c r="AC6" s="357"/>
      <c r="AD6" s="350"/>
      <c r="AE6" s="349"/>
      <c r="AF6" s="350"/>
      <c r="AG6" s="349"/>
      <c r="AH6" s="350"/>
      <c r="AI6" s="357"/>
      <c r="AJ6" s="350"/>
      <c r="AK6" s="349"/>
      <c r="AL6" s="350"/>
      <c r="AM6" s="357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6" x14ac:dyDescent="0.3">
      <c r="B7" s="368">
        <v>37138</v>
      </c>
      <c r="C7" s="345"/>
      <c r="D7" s="344"/>
      <c r="E7" s="342"/>
      <c r="F7" s="343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46"/>
      <c r="AA7" s="355"/>
      <c r="AB7" s="356"/>
      <c r="AC7" s="357"/>
      <c r="AD7" s="350"/>
      <c r="AE7" s="349"/>
      <c r="AF7" s="350"/>
      <c r="AG7" s="349"/>
      <c r="AH7" s="350"/>
      <c r="AI7" s="357"/>
      <c r="AJ7" s="350"/>
      <c r="AK7" s="349"/>
      <c r="AL7" s="350"/>
      <c r="AM7" s="357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6" x14ac:dyDescent="0.3">
      <c r="B8" s="368">
        <v>37139</v>
      </c>
      <c r="C8" s="345"/>
      <c r="D8" s="344"/>
      <c r="E8" s="342"/>
      <c r="F8" s="343"/>
      <c r="G8" s="345"/>
      <c r="H8" s="346"/>
      <c r="I8" s="345"/>
      <c r="J8" s="346"/>
      <c r="K8" s="345"/>
      <c r="L8" s="346"/>
      <c r="M8" s="345"/>
      <c r="N8" s="346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57"/>
      <c r="AJ8" s="350"/>
      <c r="AK8" s="349"/>
      <c r="AL8" s="350"/>
      <c r="AM8" s="357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6" x14ac:dyDescent="0.3">
      <c r="B9" s="368">
        <v>37140</v>
      </c>
      <c r="C9" s="345"/>
      <c r="D9" s="344"/>
      <c r="E9" s="342"/>
      <c r="F9" s="343"/>
      <c r="G9" s="345"/>
      <c r="H9" s="346"/>
      <c r="I9" s="345"/>
      <c r="J9" s="346"/>
      <c r="K9" s="345"/>
      <c r="L9" s="346"/>
      <c r="M9" s="345"/>
      <c r="N9" s="346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57"/>
      <c r="AJ9" s="350"/>
      <c r="AK9" s="349"/>
      <c r="AL9" s="350"/>
      <c r="AM9" s="357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(D9+F9+H9+J9)/4</f>
        <v>0</v>
      </c>
      <c r="CG9" s="368">
        <f t="shared" si="1"/>
        <v>37140</v>
      </c>
    </row>
    <row r="10" spans="2:85" ht="15.6" x14ac:dyDescent="0.3">
      <c r="B10" s="368">
        <v>37141</v>
      </c>
      <c r="C10" s="345"/>
      <c r="D10" s="344"/>
      <c r="E10" s="342"/>
      <c r="F10" s="343"/>
      <c r="G10" s="345"/>
      <c r="H10" s="346"/>
      <c r="I10" s="345"/>
      <c r="J10" s="346"/>
      <c r="K10" s="345"/>
      <c r="L10" s="346"/>
      <c r="M10" s="345"/>
      <c r="N10" s="346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57"/>
      <c r="AJ10" s="350"/>
      <c r="AK10" s="349"/>
      <c r="AL10" s="350"/>
      <c r="AM10" s="357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(D10+F10)/2</f>
        <v>0</v>
      </c>
      <c r="CG10" s="368">
        <f t="shared" si="1"/>
        <v>37141</v>
      </c>
    </row>
    <row r="11" spans="2:85" ht="15.6" x14ac:dyDescent="0.3">
      <c r="B11" s="368">
        <v>37144</v>
      </c>
      <c r="C11" s="345"/>
      <c r="D11" s="344"/>
      <c r="E11" s="342"/>
      <c r="F11" s="343"/>
      <c r="G11" s="345"/>
      <c r="H11" s="359"/>
      <c r="I11" s="345"/>
      <c r="J11" s="346"/>
      <c r="K11" s="345"/>
      <c r="L11" s="346"/>
      <c r="M11" s="345"/>
      <c r="N11" s="346"/>
      <c r="O11" s="345"/>
      <c r="P11" s="346"/>
      <c r="Q11" s="345"/>
      <c r="R11" s="346"/>
      <c r="S11" s="345"/>
      <c r="T11" s="346"/>
      <c r="U11" s="345"/>
      <c r="V11" s="346"/>
      <c r="W11" s="345"/>
      <c r="X11" s="346"/>
      <c r="Y11" s="345"/>
      <c r="Z11" s="346"/>
      <c r="AA11" s="345"/>
      <c r="AB11" s="346"/>
      <c r="AC11" s="357"/>
      <c r="AD11" s="350"/>
      <c r="AE11" s="349"/>
      <c r="AF11" s="350"/>
      <c r="AG11" s="349"/>
      <c r="AH11" s="350"/>
      <c r="AI11" s="357"/>
      <c r="AJ11" s="350"/>
      <c r="AK11" s="349"/>
      <c r="AL11" s="350"/>
      <c r="AM11" s="357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(D11+F11+H11+L11+P11+R11+T11+V11+X11+Z11)/10</f>
        <v>0</v>
      </c>
      <c r="CG11" s="368">
        <f t="shared" si="1"/>
        <v>37144</v>
      </c>
    </row>
    <row r="12" spans="2:85" ht="15.6" x14ac:dyDescent="0.3">
      <c r="B12" s="368">
        <v>37145</v>
      </c>
      <c r="C12" s="345"/>
      <c r="D12" s="346"/>
      <c r="E12" s="345"/>
      <c r="F12" s="346"/>
      <c r="G12" s="345"/>
      <c r="H12" s="346"/>
      <c r="I12" s="357"/>
      <c r="J12" s="350"/>
      <c r="K12" s="349"/>
      <c r="L12" s="350"/>
      <c r="M12" s="349"/>
      <c r="N12" s="350"/>
      <c r="O12" s="357"/>
      <c r="P12" s="350"/>
      <c r="Q12" s="349"/>
      <c r="R12" s="350"/>
      <c r="S12" s="357"/>
      <c r="T12" s="350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9"/>
      <c r="BB12" s="350"/>
      <c r="BC12" s="349"/>
      <c r="BD12" s="350"/>
      <c r="BE12" s="349"/>
      <c r="BF12" s="350"/>
      <c r="BG12" s="345"/>
      <c r="BH12" s="344"/>
      <c r="BI12" s="342"/>
      <c r="BJ12" s="343"/>
      <c r="BK12" s="345"/>
      <c r="BL12" s="359"/>
      <c r="BM12" s="345"/>
      <c r="BN12" s="346"/>
      <c r="BO12" s="345"/>
      <c r="BP12" s="346"/>
      <c r="BQ12" s="345"/>
      <c r="BR12" s="346"/>
      <c r="BS12" s="345"/>
      <c r="BT12" s="346"/>
      <c r="BU12" s="345"/>
      <c r="BV12" s="346"/>
      <c r="BW12" s="345"/>
      <c r="BX12" s="346"/>
      <c r="BY12" s="345"/>
      <c r="BZ12" s="346"/>
      <c r="CA12" s="349"/>
      <c r="CB12" s="350"/>
      <c r="CC12" s="349"/>
      <c r="CD12" s="350"/>
      <c r="CE12" s="351">
        <f t="shared" si="0"/>
        <v>0</v>
      </c>
      <c r="CF12" s="352">
        <f>(J12+N12+AB12+AD12+AF12+AH12)/6</f>
        <v>0</v>
      </c>
      <c r="CG12" s="368">
        <f t="shared" si="1"/>
        <v>37145</v>
      </c>
    </row>
    <row r="13" spans="2:85" ht="15.6" x14ac:dyDescent="0.3">
      <c r="B13" s="368">
        <v>37146</v>
      </c>
      <c r="C13" s="345"/>
      <c r="D13" s="346"/>
      <c r="E13" s="345"/>
      <c r="F13" s="346"/>
      <c r="G13" s="345"/>
      <c r="H13" s="346"/>
      <c r="I13" s="357"/>
      <c r="J13" s="350"/>
      <c r="K13" s="349"/>
      <c r="L13" s="350"/>
      <c r="M13" s="349"/>
      <c r="N13" s="350"/>
      <c r="O13" s="357"/>
      <c r="P13" s="350"/>
      <c r="Q13" s="349"/>
      <c r="R13" s="350"/>
      <c r="S13" s="357"/>
      <c r="T13" s="350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9"/>
      <c r="BB13" s="350"/>
      <c r="BC13" s="349"/>
      <c r="BD13" s="350"/>
      <c r="BE13" s="349"/>
      <c r="BF13" s="350"/>
      <c r="BG13" s="345"/>
      <c r="BH13" s="346"/>
      <c r="BI13" s="345"/>
      <c r="BJ13" s="346"/>
      <c r="BK13" s="345"/>
      <c r="BL13" s="346"/>
      <c r="BM13" s="345"/>
      <c r="BN13" s="346"/>
      <c r="BO13" s="345"/>
      <c r="BP13" s="346"/>
      <c r="BQ13" s="345"/>
      <c r="BR13" s="346"/>
      <c r="BS13" s="357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(J13+N13+AB13+AD13+AF13+AH13+AJ13+AL13+AN13+AP13+AR13+AT13+AV13+AX13+AZ13+BB13+BD13+BF13+BH13+BJ13+BN13+BP13+BX13+BZ13)/24</f>
        <v>0</v>
      </c>
      <c r="CG13" s="368">
        <f t="shared" si="1"/>
        <v>37146</v>
      </c>
    </row>
    <row r="14" spans="2:85" ht="15.6" x14ac:dyDescent="0.3">
      <c r="B14" s="368">
        <v>37147</v>
      </c>
      <c r="C14" s="345"/>
      <c r="D14" s="346"/>
      <c r="E14" s="345"/>
      <c r="F14" s="346"/>
      <c r="G14" s="345"/>
      <c r="H14" s="346"/>
      <c r="I14" s="357"/>
      <c r="J14" s="350"/>
      <c r="K14" s="349"/>
      <c r="L14" s="350"/>
      <c r="M14" s="349"/>
      <c r="N14" s="350"/>
      <c r="O14" s="357"/>
      <c r="P14" s="350"/>
      <c r="Q14" s="349"/>
      <c r="R14" s="350"/>
      <c r="S14" s="357"/>
      <c r="T14" s="350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9"/>
      <c r="BB14" s="350"/>
      <c r="BC14" s="349"/>
      <c r="BD14" s="350"/>
      <c r="BE14" s="349"/>
      <c r="BF14" s="350"/>
      <c r="BG14" s="345"/>
      <c r="BH14" s="346"/>
      <c r="BI14" s="345"/>
      <c r="BJ14" s="346"/>
      <c r="BK14" s="345"/>
      <c r="BL14" s="346"/>
      <c r="BM14" s="345"/>
      <c r="BN14" s="346"/>
      <c r="BO14" s="345"/>
      <c r="BP14" s="346"/>
      <c r="BQ14" s="345"/>
      <c r="BR14" s="346"/>
      <c r="BS14" s="345"/>
      <c r="BT14" s="346"/>
      <c r="BU14" s="345"/>
      <c r="BV14" s="346"/>
      <c r="BW14" s="345"/>
      <c r="BX14" s="346"/>
      <c r="BY14" s="345"/>
      <c r="BZ14" s="346"/>
      <c r="CA14" s="345"/>
      <c r="CB14" s="346"/>
      <c r="CC14" s="345"/>
      <c r="CD14" s="346"/>
      <c r="CE14" s="351">
        <f t="shared" si="0"/>
        <v>0</v>
      </c>
      <c r="CF14" s="352">
        <f>(D14+F14+H14+J14+L14+N14+P14+R14+T14+X14+Z14+AB14+AD14+AF14+AH14+AJ14+AL14+AN14+AP14+AR14+AT14+AV14+AX14+AZ14+BB14+BD14+BF14+BH14+BJ14+BL14)/30</f>
        <v>0</v>
      </c>
      <c r="CG14" s="368">
        <f t="shared" si="1"/>
        <v>37147</v>
      </c>
    </row>
    <row r="15" spans="2:85" ht="15.6" x14ac:dyDescent="0.3">
      <c r="B15" s="368">
        <v>37148</v>
      </c>
      <c r="C15" s="345"/>
      <c r="D15" s="346"/>
      <c r="E15" s="345"/>
      <c r="F15" s="346"/>
      <c r="G15" s="345"/>
      <c r="H15" s="346"/>
      <c r="I15" s="357"/>
      <c r="J15" s="350"/>
      <c r="K15" s="349"/>
      <c r="L15" s="350"/>
      <c r="M15" s="345"/>
      <c r="N15" s="346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46"/>
      <c r="AA15" s="345"/>
      <c r="AB15" s="346"/>
      <c r="AC15" s="349"/>
      <c r="AD15" s="350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9"/>
      <c r="BB15" s="350"/>
      <c r="BC15" s="349"/>
      <c r="BD15" s="350"/>
      <c r="BE15" s="349"/>
      <c r="BF15" s="350"/>
      <c r="BG15" s="345"/>
      <c r="BH15" s="346"/>
      <c r="BI15" s="345"/>
      <c r="BJ15" s="346"/>
      <c r="BK15" s="345"/>
      <c r="BL15" s="346"/>
      <c r="BM15" s="345"/>
      <c r="BN15" s="346"/>
      <c r="BO15" s="345"/>
      <c r="BP15" s="346"/>
      <c r="BQ15" s="345"/>
      <c r="BR15" s="346"/>
      <c r="BS15" s="345"/>
      <c r="BT15" s="346"/>
      <c r="BU15" s="345"/>
      <c r="BV15" s="346"/>
      <c r="BW15" s="345"/>
      <c r="BX15" s="346"/>
      <c r="BY15" s="345"/>
      <c r="BZ15" s="346"/>
      <c r="CA15" s="345"/>
      <c r="CB15" s="346"/>
      <c r="CC15" s="345"/>
      <c r="CD15" s="346"/>
      <c r="CE15" s="351">
        <f t="shared" si="0"/>
        <v>0</v>
      </c>
      <c r="CF15" s="352">
        <f>(N15+P15+T15+V15+X15+Z15+AB15)/7</f>
        <v>0</v>
      </c>
      <c r="CG15" s="368">
        <f t="shared" si="1"/>
        <v>37148</v>
      </c>
    </row>
    <row r="16" spans="2:85" ht="15.6" x14ac:dyDescent="0.3">
      <c r="B16" s="368">
        <v>37151</v>
      </c>
      <c r="C16" s="349"/>
      <c r="D16" s="350"/>
      <c r="E16" s="345"/>
      <c r="F16" s="346"/>
      <c r="G16" s="342"/>
      <c r="H16" s="343"/>
      <c r="I16" s="345"/>
      <c r="J16" s="346"/>
      <c r="K16" s="342"/>
      <c r="L16" s="343"/>
      <c r="M16" s="345"/>
      <c r="N16" s="346"/>
      <c r="O16" s="342"/>
      <c r="P16" s="343"/>
      <c r="Q16" s="345"/>
      <c r="R16" s="346"/>
      <c r="S16" s="345"/>
      <c r="T16" s="346"/>
      <c r="U16" s="345"/>
      <c r="V16" s="346"/>
      <c r="W16" s="345"/>
      <c r="X16" s="346"/>
      <c r="Y16" s="345"/>
      <c r="Z16" s="346"/>
      <c r="AA16" s="345"/>
      <c r="AB16" s="346"/>
      <c r="AC16" s="349"/>
      <c r="AD16" s="350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9"/>
      <c r="BB16" s="350"/>
      <c r="BC16" s="349"/>
      <c r="BD16" s="350"/>
      <c r="BE16" s="349"/>
      <c r="BF16" s="350"/>
      <c r="BG16" s="349"/>
      <c r="BH16" s="350"/>
      <c r="BI16" s="349"/>
      <c r="BJ16" s="350"/>
      <c r="BK16" s="349"/>
      <c r="BL16" s="350"/>
      <c r="BM16" s="349"/>
      <c r="BN16" s="350"/>
      <c r="BO16" s="349"/>
      <c r="BP16" s="350"/>
      <c r="BQ16" s="349"/>
      <c r="BR16" s="350"/>
      <c r="BS16" s="342"/>
      <c r="BT16" s="343"/>
      <c r="BU16" s="345"/>
      <c r="BV16" s="346"/>
      <c r="BW16" s="342"/>
      <c r="BX16" s="343"/>
      <c r="BY16" s="345"/>
      <c r="BZ16" s="346"/>
      <c r="CA16" s="342"/>
      <c r="CB16" s="343"/>
      <c r="CC16" s="345"/>
      <c r="CD16" s="346"/>
      <c r="CE16" s="351">
        <f t="shared" si="0"/>
        <v>0</v>
      </c>
      <c r="CF16" s="352">
        <f>(D16+F16+J16+L16+P16+R16+T16+V16)/8</f>
        <v>0</v>
      </c>
      <c r="CG16" s="368">
        <f t="shared" si="1"/>
        <v>37151</v>
      </c>
    </row>
    <row r="17" spans="2:85" ht="15.6" x14ac:dyDescent="0.3">
      <c r="B17" s="368">
        <v>37152</v>
      </c>
      <c r="C17" s="349"/>
      <c r="D17" s="350"/>
      <c r="E17" s="345"/>
      <c r="F17" s="346"/>
      <c r="G17" s="342"/>
      <c r="H17" s="343"/>
      <c r="I17" s="345"/>
      <c r="J17" s="346"/>
      <c r="K17" s="342"/>
      <c r="L17" s="343"/>
      <c r="M17" s="345"/>
      <c r="N17" s="346"/>
      <c r="O17" s="342"/>
      <c r="P17" s="343"/>
      <c r="Q17" s="345"/>
      <c r="R17" s="346"/>
      <c r="S17" s="345"/>
      <c r="T17" s="346"/>
      <c r="U17" s="345"/>
      <c r="V17" s="346"/>
      <c r="W17" s="345"/>
      <c r="X17" s="346"/>
      <c r="Y17" s="345"/>
      <c r="Z17" s="346"/>
      <c r="AA17" s="345"/>
      <c r="AB17" s="346"/>
      <c r="AC17" s="345"/>
      <c r="AD17" s="346"/>
      <c r="AE17" s="342"/>
      <c r="AF17" s="343"/>
      <c r="AG17" s="345"/>
      <c r="AH17" s="346"/>
      <c r="AI17" s="345"/>
      <c r="AJ17" s="346"/>
      <c r="AK17" s="345"/>
      <c r="AL17" s="346"/>
      <c r="AM17" s="345"/>
      <c r="AN17" s="346"/>
      <c r="AO17" s="345"/>
      <c r="AP17" s="346"/>
      <c r="AQ17" s="342"/>
      <c r="AR17" s="343"/>
      <c r="AS17" s="345"/>
      <c r="AT17" s="346"/>
      <c r="AU17" s="345"/>
      <c r="AV17" s="346"/>
      <c r="AW17" s="345"/>
      <c r="AX17" s="346"/>
      <c r="AY17" s="345"/>
      <c r="AZ17" s="346"/>
      <c r="BA17" s="349"/>
      <c r="BB17" s="350"/>
      <c r="BC17" s="349"/>
      <c r="BD17" s="350"/>
      <c r="BE17" s="349"/>
      <c r="BF17" s="350"/>
      <c r="BG17" s="349"/>
      <c r="BH17" s="350"/>
      <c r="BI17" s="349"/>
      <c r="BJ17" s="350"/>
      <c r="BK17" s="349"/>
      <c r="BL17" s="350"/>
      <c r="BM17" s="349"/>
      <c r="BN17" s="350"/>
      <c r="BO17" s="349"/>
      <c r="BP17" s="350"/>
      <c r="BQ17" s="349"/>
      <c r="BR17" s="350"/>
      <c r="BS17" s="342"/>
      <c r="BT17" s="343"/>
      <c r="BU17" s="345"/>
      <c r="BV17" s="346"/>
      <c r="BW17" s="342"/>
      <c r="BX17" s="343"/>
      <c r="BY17" s="345"/>
      <c r="BZ17" s="346"/>
      <c r="CA17" s="342"/>
      <c r="CB17" s="343"/>
      <c r="CC17" s="345"/>
      <c r="CD17" s="346"/>
      <c r="CE17" s="351">
        <f t="shared" si="0"/>
        <v>0</v>
      </c>
      <c r="CF17" s="352">
        <f>(D17+F17+J17+L17+P17+R17+T17+V17)/8</f>
        <v>0</v>
      </c>
      <c r="CG17" s="368">
        <f t="shared" si="1"/>
        <v>37152</v>
      </c>
    </row>
    <row r="18" spans="2:85" ht="15.6" x14ac:dyDescent="0.3">
      <c r="B18" s="368">
        <v>37153</v>
      </c>
      <c r="C18" s="349"/>
      <c r="D18" s="350"/>
      <c r="E18" s="345"/>
      <c r="F18" s="346"/>
      <c r="G18" s="342"/>
      <c r="H18" s="343"/>
      <c r="I18" s="345"/>
      <c r="J18" s="346"/>
      <c r="K18" s="342"/>
      <c r="L18" s="343"/>
      <c r="M18" s="345"/>
      <c r="N18" s="346"/>
      <c r="O18" s="342"/>
      <c r="P18" s="343"/>
      <c r="Q18" s="345"/>
      <c r="R18" s="346"/>
      <c r="S18" s="345"/>
      <c r="T18" s="346"/>
      <c r="U18" s="345"/>
      <c r="V18" s="346"/>
      <c r="W18" s="345"/>
      <c r="X18" s="346"/>
      <c r="Y18" s="345"/>
      <c r="Z18" s="346"/>
      <c r="AA18" s="345"/>
      <c r="AB18" s="346"/>
      <c r="AC18" s="345"/>
      <c r="AD18" s="346"/>
      <c r="AE18" s="342"/>
      <c r="AF18" s="343"/>
      <c r="AG18" s="345"/>
      <c r="AH18" s="346"/>
      <c r="AI18" s="345"/>
      <c r="AJ18" s="346"/>
      <c r="AK18" s="345"/>
      <c r="AL18" s="346"/>
      <c r="AM18" s="345"/>
      <c r="AN18" s="346"/>
      <c r="AO18" s="345">
        <v>50</v>
      </c>
      <c r="AP18" s="346">
        <v>32.200000000000003</v>
      </c>
      <c r="AQ18" s="342">
        <v>50</v>
      </c>
      <c r="AR18" s="343">
        <v>31.75</v>
      </c>
      <c r="AS18" s="345">
        <v>50</v>
      </c>
      <c r="AT18" s="346">
        <v>31.4</v>
      </c>
      <c r="AU18" s="345">
        <v>50</v>
      </c>
      <c r="AV18" s="346">
        <v>30.95</v>
      </c>
      <c r="AW18" s="345">
        <v>-50</v>
      </c>
      <c r="AX18" s="346">
        <v>30.8</v>
      </c>
      <c r="AY18" s="345">
        <v>-50</v>
      </c>
      <c r="AZ18" s="346">
        <v>30.9</v>
      </c>
      <c r="BA18" s="345"/>
      <c r="BB18" s="346"/>
      <c r="BC18" s="345"/>
      <c r="BD18" s="346"/>
      <c r="BE18" s="345"/>
      <c r="BF18" s="346"/>
      <c r="BG18" s="345"/>
      <c r="BH18" s="346"/>
      <c r="BI18" s="345"/>
      <c r="BJ18" s="346"/>
      <c r="BK18" s="345"/>
      <c r="BL18" s="344"/>
      <c r="BM18" s="355"/>
      <c r="BN18" s="356"/>
      <c r="BO18" s="357"/>
      <c r="BP18" s="350"/>
      <c r="BQ18" s="349"/>
      <c r="BR18" s="350"/>
      <c r="BS18" s="342"/>
      <c r="BT18" s="343"/>
      <c r="BU18" s="345"/>
      <c r="BV18" s="346"/>
      <c r="BW18" s="342"/>
      <c r="BX18" s="343"/>
      <c r="BY18" s="345"/>
      <c r="BZ18" s="346"/>
      <c r="CA18" s="342"/>
      <c r="CB18" s="343"/>
      <c r="CC18" s="345"/>
      <c r="CD18" s="346"/>
      <c r="CE18" s="351">
        <f t="shared" si="0"/>
        <v>100</v>
      </c>
      <c r="CF18" s="352">
        <f>(D18+F18+J18+L18+P18+R18+T18+V18)/8</f>
        <v>0</v>
      </c>
      <c r="CG18" s="368">
        <f t="shared" si="1"/>
        <v>37153</v>
      </c>
    </row>
    <row r="19" spans="2:85" ht="15.6" x14ac:dyDescent="0.3">
      <c r="B19" s="368">
        <v>37154</v>
      </c>
      <c r="C19" s="349">
        <v>-50</v>
      </c>
      <c r="D19" s="350">
        <v>34.75</v>
      </c>
      <c r="E19" s="345">
        <v>-50</v>
      </c>
      <c r="F19" s="346">
        <v>33.25</v>
      </c>
      <c r="G19" s="342"/>
      <c r="H19" s="343"/>
      <c r="I19" s="345">
        <v>-50</v>
      </c>
      <c r="J19" s="346">
        <v>34</v>
      </c>
      <c r="K19" s="342">
        <v>-50</v>
      </c>
      <c r="L19" s="343">
        <v>34.25</v>
      </c>
      <c r="M19" s="345"/>
      <c r="N19" s="346"/>
      <c r="O19" s="342">
        <v>50</v>
      </c>
      <c r="P19" s="343">
        <v>33.75</v>
      </c>
      <c r="Q19" s="345">
        <v>-50</v>
      </c>
      <c r="R19" s="346">
        <v>33.75</v>
      </c>
      <c r="S19" s="345">
        <v>50</v>
      </c>
      <c r="T19" s="346">
        <v>33.75</v>
      </c>
      <c r="U19" s="345">
        <v>50</v>
      </c>
      <c r="V19" s="346">
        <v>33.5</v>
      </c>
      <c r="W19" s="345">
        <v>-50</v>
      </c>
      <c r="X19" s="346">
        <v>34.299999999999997</v>
      </c>
      <c r="Y19" s="342">
        <v>-50</v>
      </c>
      <c r="Z19" s="343">
        <v>34.558</v>
      </c>
      <c r="AA19" s="345">
        <v>-50</v>
      </c>
      <c r="AB19" s="346">
        <v>34.799999999999997</v>
      </c>
      <c r="AC19" s="345">
        <v>50</v>
      </c>
      <c r="AD19" s="346">
        <v>34.950000000000003</v>
      </c>
      <c r="AE19" s="345"/>
      <c r="AF19" s="346"/>
      <c r="AG19" s="345"/>
      <c r="AH19" s="346"/>
      <c r="AI19" s="345">
        <v>50</v>
      </c>
      <c r="AJ19" s="346">
        <v>33</v>
      </c>
      <c r="AK19" s="342"/>
      <c r="AL19" s="343"/>
      <c r="AM19" s="345"/>
      <c r="AN19" s="346"/>
      <c r="AO19" s="345">
        <v>50</v>
      </c>
      <c r="AP19" s="346">
        <v>32.25</v>
      </c>
      <c r="AQ19" s="342">
        <v>50</v>
      </c>
      <c r="AR19" s="343">
        <v>32</v>
      </c>
      <c r="AS19" s="345">
        <v>50</v>
      </c>
      <c r="AT19" s="346">
        <v>30.75</v>
      </c>
      <c r="AU19" s="345">
        <v>50</v>
      </c>
      <c r="AV19" s="346">
        <v>30.25</v>
      </c>
      <c r="AW19" s="345"/>
      <c r="AX19" s="346"/>
      <c r="AY19" s="345"/>
      <c r="AZ19" s="346"/>
      <c r="BA19" s="345"/>
      <c r="BB19" s="346"/>
      <c r="BC19" s="345"/>
      <c r="BD19" s="346"/>
      <c r="BE19" s="345"/>
      <c r="BF19" s="346"/>
      <c r="BG19" s="345"/>
      <c r="BH19" s="346"/>
      <c r="BI19" s="345"/>
      <c r="BJ19" s="346"/>
      <c r="BK19" s="342"/>
      <c r="BL19" s="343"/>
      <c r="BM19" s="355"/>
      <c r="BN19" s="356"/>
      <c r="BO19" s="357"/>
      <c r="BP19" s="350"/>
      <c r="BQ19" s="349"/>
      <c r="BR19" s="350"/>
      <c r="BS19" s="342"/>
      <c r="BT19" s="343"/>
      <c r="BU19" s="345"/>
      <c r="BV19" s="346"/>
      <c r="BW19" s="342"/>
      <c r="BX19" s="343"/>
      <c r="BY19" s="345"/>
      <c r="BZ19" s="346"/>
      <c r="CA19" s="342"/>
      <c r="CB19" s="343"/>
      <c r="CC19" s="345"/>
      <c r="CD19" s="346"/>
      <c r="CE19" s="351">
        <f t="shared" si="0"/>
        <v>50</v>
      </c>
      <c r="CF19" s="352">
        <f>(D19+F19+J19+L19+P19+R19+T19+V19)/8</f>
        <v>33.875</v>
      </c>
      <c r="CG19" s="368">
        <f t="shared" si="1"/>
        <v>37154</v>
      </c>
    </row>
    <row r="20" spans="2:85" ht="15.6" x14ac:dyDescent="0.3">
      <c r="B20" s="368">
        <v>37155</v>
      </c>
      <c r="C20" s="349">
        <v>-50</v>
      </c>
      <c r="D20" s="350">
        <v>34.75</v>
      </c>
      <c r="E20" s="345">
        <v>-50</v>
      </c>
      <c r="F20" s="346">
        <v>33.25</v>
      </c>
      <c r="G20" s="342"/>
      <c r="H20" s="343"/>
      <c r="I20" s="345">
        <v>-50</v>
      </c>
      <c r="J20" s="346">
        <v>34</v>
      </c>
      <c r="K20" s="342">
        <v>-50</v>
      </c>
      <c r="L20" s="343">
        <v>34.25</v>
      </c>
      <c r="M20" s="345"/>
      <c r="N20" s="346"/>
      <c r="O20" s="342">
        <v>50</v>
      </c>
      <c r="P20" s="343">
        <v>33.75</v>
      </c>
      <c r="Q20" s="345">
        <v>-50</v>
      </c>
      <c r="R20" s="346">
        <v>33.75</v>
      </c>
      <c r="S20" s="345">
        <v>50</v>
      </c>
      <c r="T20" s="346">
        <v>33.75</v>
      </c>
      <c r="U20" s="345">
        <v>50</v>
      </c>
      <c r="V20" s="346">
        <v>33.5</v>
      </c>
      <c r="W20" s="345">
        <v>-50</v>
      </c>
      <c r="X20" s="346">
        <v>34.299999999999997</v>
      </c>
      <c r="Y20" s="342">
        <v>-50</v>
      </c>
      <c r="Z20" s="343">
        <v>34.561999999999998</v>
      </c>
      <c r="AA20" s="345">
        <v>-50</v>
      </c>
      <c r="AB20" s="346">
        <v>34.799999999999997</v>
      </c>
      <c r="AC20" s="345">
        <v>50</v>
      </c>
      <c r="AD20" s="346">
        <v>34.950000000000003</v>
      </c>
      <c r="AE20" s="345"/>
      <c r="AF20" s="346"/>
      <c r="AG20" s="345"/>
      <c r="AH20" s="346"/>
      <c r="AI20" s="345">
        <v>50</v>
      </c>
      <c r="AJ20" s="346">
        <v>33</v>
      </c>
      <c r="AK20" s="342"/>
      <c r="AL20" s="343"/>
      <c r="AM20" s="345"/>
      <c r="AN20" s="346"/>
      <c r="AO20" s="345">
        <v>50</v>
      </c>
      <c r="AP20" s="346">
        <v>32.25</v>
      </c>
      <c r="AQ20" s="342">
        <v>50</v>
      </c>
      <c r="AR20" s="343">
        <v>32</v>
      </c>
      <c r="AS20" s="345">
        <v>50</v>
      </c>
      <c r="AT20" s="346">
        <v>30.75</v>
      </c>
      <c r="AU20" s="345">
        <v>50</v>
      </c>
      <c r="AV20" s="346">
        <v>30.25</v>
      </c>
      <c r="AW20" s="345"/>
      <c r="AX20" s="346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55"/>
      <c r="BN20" s="356"/>
      <c r="BO20" s="357"/>
      <c r="BP20" s="350"/>
      <c r="BQ20" s="345">
        <v>-50</v>
      </c>
      <c r="BR20" s="346">
        <v>29.5</v>
      </c>
      <c r="BS20" s="342">
        <v>-50</v>
      </c>
      <c r="BT20" s="343">
        <v>29.85</v>
      </c>
      <c r="BU20" s="345">
        <v>50</v>
      </c>
      <c r="BV20" s="346">
        <v>29.75</v>
      </c>
      <c r="BW20" s="342"/>
      <c r="BX20" s="343"/>
      <c r="BY20" s="345"/>
      <c r="BZ20" s="346"/>
      <c r="CA20" s="342"/>
      <c r="CB20" s="343"/>
      <c r="CC20" s="345"/>
      <c r="CD20" s="346"/>
      <c r="CE20" s="351">
        <f t="shared" si="0"/>
        <v>0</v>
      </c>
      <c r="CF20" s="352">
        <f>(D20+F20+J20+L20+P20+R20+T20+V20)/8</f>
        <v>33.875</v>
      </c>
      <c r="CG20" s="368">
        <f t="shared" si="1"/>
        <v>37155</v>
      </c>
    </row>
    <row r="21" spans="2:85" ht="15.6" x14ac:dyDescent="0.3">
      <c r="B21" s="368">
        <v>37158</v>
      </c>
      <c r="C21" s="349">
        <v>-50</v>
      </c>
      <c r="D21" s="350">
        <v>34.75</v>
      </c>
      <c r="E21" s="345">
        <v>-50</v>
      </c>
      <c r="F21" s="346">
        <v>33.25</v>
      </c>
      <c r="G21" s="345"/>
      <c r="H21" s="344"/>
      <c r="I21" s="345"/>
      <c r="J21" s="344"/>
      <c r="K21" s="345">
        <v>-50</v>
      </c>
      <c r="L21" s="344">
        <v>34</v>
      </c>
      <c r="M21" s="349"/>
      <c r="N21" s="350"/>
      <c r="O21" s="357"/>
      <c r="P21" s="350"/>
      <c r="Q21" s="349"/>
      <c r="R21" s="350"/>
      <c r="S21" s="357"/>
      <c r="T21" s="350"/>
      <c r="U21" s="345">
        <v>-50</v>
      </c>
      <c r="V21" s="346">
        <v>34.25</v>
      </c>
      <c r="W21" s="345">
        <v>-50</v>
      </c>
      <c r="X21" s="346">
        <v>34.253</v>
      </c>
      <c r="Y21" s="345">
        <v>-50</v>
      </c>
      <c r="Z21" s="344">
        <v>34.5</v>
      </c>
      <c r="AA21" s="345">
        <v>-50</v>
      </c>
      <c r="AB21" s="346">
        <v>34.75</v>
      </c>
      <c r="AC21" s="345">
        <v>-50</v>
      </c>
      <c r="AD21" s="346">
        <v>35</v>
      </c>
      <c r="AE21" s="345">
        <v>50</v>
      </c>
      <c r="AF21" s="346">
        <v>35</v>
      </c>
      <c r="AG21" s="345">
        <v>-50</v>
      </c>
      <c r="AH21" s="346">
        <v>34.5</v>
      </c>
      <c r="AI21" s="345">
        <v>50</v>
      </c>
      <c r="AJ21" s="346">
        <v>33.25</v>
      </c>
      <c r="AK21" s="345">
        <v>-50</v>
      </c>
      <c r="AL21" s="344">
        <v>33</v>
      </c>
      <c r="AM21" s="345">
        <v>50</v>
      </c>
      <c r="AN21" s="346">
        <v>33.5</v>
      </c>
      <c r="AO21" s="345">
        <v>50</v>
      </c>
      <c r="AP21" s="346">
        <v>33.25</v>
      </c>
      <c r="AQ21" s="345">
        <v>50</v>
      </c>
      <c r="AR21" s="344">
        <v>33</v>
      </c>
      <c r="AS21" s="345">
        <v>50</v>
      </c>
      <c r="AT21" s="346">
        <v>32.25</v>
      </c>
      <c r="AU21" s="345">
        <v>50</v>
      </c>
      <c r="AV21" s="346">
        <v>31.75</v>
      </c>
      <c r="AW21" s="345">
        <v>50</v>
      </c>
      <c r="AX21" s="346">
        <v>31.5</v>
      </c>
      <c r="AY21" s="345">
        <v>50</v>
      </c>
      <c r="AZ21" s="346">
        <v>31.25</v>
      </c>
      <c r="BA21" s="345">
        <v>50</v>
      </c>
      <c r="BB21" s="346">
        <v>31</v>
      </c>
      <c r="BC21" s="345">
        <v>50</v>
      </c>
      <c r="BD21" s="346">
        <v>30.75</v>
      </c>
      <c r="BE21" s="345">
        <v>50</v>
      </c>
      <c r="BF21" s="346">
        <v>30.5</v>
      </c>
      <c r="BG21" s="345">
        <v>-50</v>
      </c>
      <c r="BH21" s="346">
        <v>30.25</v>
      </c>
      <c r="BI21" s="345">
        <v>-50</v>
      </c>
      <c r="BJ21" s="346">
        <v>30.5</v>
      </c>
      <c r="BK21" s="345">
        <v>-50</v>
      </c>
      <c r="BL21" s="346">
        <v>30.75</v>
      </c>
      <c r="BM21" s="355">
        <v>50</v>
      </c>
      <c r="BN21" s="356">
        <v>29.75</v>
      </c>
      <c r="BO21" s="357">
        <v>-50</v>
      </c>
      <c r="BP21" s="350">
        <v>29.75</v>
      </c>
      <c r="BQ21" s="345">
        <v>-50</v>
      </c>
      <c r="BR21" s="346">
        <v>29.5</v>
      </c>
      <c r="BS21" s="345">
        <v>50</v>
      </c>
      <c r="BT21" s="344">
        <v>29.5</v>
      </c>
      <c r="BU21" s="345">
        <v>-50</v>
      </c>
      <c r="BV21" s="346">
        <v>30.5</v>
      </c>
      <c r="BW21" s="345">
        <v>50</v>
      </c>
      <c r="BX21" s="346">
        <v>30.9</v>
      </c>
      <c r="BY21" s="345">
        <v>-50</v>
      </c>
      <c r="BZ21" s="344">
        <v>31.05</v>
      </c>
      <c r="CA21" s="345">
        <v>50</v>
      </c>
      <c r="CB21" s="346">
        <v>31</v>
      </c>
      <c r="CC21" s="345"/>
      <c r="CD21" s="346"/>
      <c r="CE21" s="351">
        <f t="shared" si="0"/>
        <v>-50</v>
      </c>
      <c r="CF21" s="352">
        <f>(D21+F21+L21+V21+X21+Z21+AB21+AD21+AF21+AH21+AJ21+AL21+AN21+AP21+AR21+AT21+AV21+AX21+AZ21+BB21+BD21+BF21+BH21+BJ21+BL21+BN21+BP21+BR21+BT21+BV21)/30</f>
        <v>32.325099999999999</v>
      </c>
      <c r="CG21" s="368">
        <f t="shared" si="1"/>
        <v>37158</v>
      </c>
    </row>
    <row r="22" spans="2:85" ht="15.6" x14ac:dyDescent="0.3">
      <c r="B22" s="368">
        <v>37159</v>
      </c>
      <c r="C22" s="349">
        <v>-50</v>
      </c>
      <c r="D22" s="350">
        <v>34.75</v>
      </c>
      <c r="E22" s="345">
        <v>-50</v>
      </c>
      <c r="F22" s="346">
        <v>33.25</v>
      </c>
      <c r="G22" s="342"/>
      <c r="H22" s="343"/>
      <c r="I22" s="345"/>
      <c r="J22" s="344"/>
      <c r="K22" s="342">
        <v>-50</v>
      </c>
      <c r="L22" s="343">
        <v>34</v>
      </c>
      <c r="M22" s="349"/>
      <c r="N22" s="350"/>
      <c r="O22" s="357"/>
      <c r="P22" s="350"/>
      <c r="Q22" s="349"/>
      <c r="R22" s="350"/>
      <c r="S22" s="357"/>
      <c r="T22" s="350"/>
      <c r="U22" s="345">
        <v>-50</v>
      </c>
      <c r="V22" s="346">
        <v>34.25</v>
      </c>
      <c r="W22" s="345">
        <v>-50</v>
      </c>
      <c r="X22" s="344">
        <v>34.25</v>
      </c>
      <c r="Y22" s="342">
        <v>-50</v>
      </c>
      <c r="Z22" s="343">
        <v>34.5</v>
      </c>
      <c r="AA22" s="345">
        <v>-50</v>
      </c>
      <c r="AB22" s="346">
        <v>34.75</v>
      </c>
      <c r="AC22" s="345">
        <v>-50</v>
      </c>
      <c r="AD22" s="344">
        <v>35</v>
      </c>
      <c r="AE22" s="345">
        <v>50</v>
      </c>
      <c r="AF22" s="346">
        <v>35</v>
      </c>
      <c r="AG22" s="345">
        <v>-50</v>
      </c>
      <c r="AH22" s="346">
        <v>34.5</v>
      </c>
      <c r="AI22" s="345">
        <v>50</v>
      </c>
      <c r="AJ22" s="344">
        <v>33.25</v>
      </c>
      <c r="AK22" s="342">
        <v>-50</v>
      </c>
      <c r="AL22" s="343">
        <v>33</v>
      </c>
      <c r="AM22" s="345">
        <v>50</v>
      </c>
      <c r="AN22" s="346">
        <v>33.5</v>
      </c>
      <c r="AO22" s="345">
        <v>50</v>
      </c>
      <c r="AP22" s="344">
        <v>33.25</v>
      </c>
      <c r="AQ22" s="342">
        <v>50</v>
      </c>
      <c r="AR22" s="343">
        <v>33</v>
      </c>
      <c r="AS22" s="345">
        <v>50</v>
      </c>
      <c r="AT22" s="346">
        <v>32.25</v>
      </c>
      <c r="AU22" s="345">
        <v>50</v>
      </c>
      <c r="AV22" s="344">
        <v>31.75</v>
      </c>
      <c r="AW22" s="345">
        <v>50</v>
      </c>
      <c r="AX22" s="346">
        <v>31.5</v>
      </c>
      <c r="AY22" s="345">
        <v>50</v>
      </c>
      <c r="AZ22" s="346">
        <v>31.25</v>
      </c>
      <c r="BA22" s="345">
        <v>50</v>
      </c>
      <c r="BB22" s="346">
        <v>31</v>
      </c>
      <c r="BC22" s="345">
        <v>50</v>
      </c>
      <c r="BD22" s="346">
        <v>30.75</v>
      </c>
      <c r="BE22" s="345">
        <v>50</v>
      </c>
      <c r="BF22" s="346">
        <v>30.5</v>
      </c>
      <c r="BG22" s="345">
        <v>-50</v>
      </c>
      <c r="BH22" s="346">
        <v>30.25</v>
      </c>
      <c r="BI22" s="345">
        <v>-50</v>
      </c>
      <c r="BJ22" s="346">
        <v>30.5</v>
      </c>
      <c r="BK22" s="345">
        <v>-50</v>
      </c>
      <c r="BL22" s="346">
        <v>30.75</v>
      </c>
      <c r="BM22" s="355">
        <v>50</v>
      </c>
      <c r="BN22" s="356">
        <v>29.75</v>
      </c>
      <c r="BO22" s="355">
        <v>-50</v>
      </c>
      <c r="BP22" s="356">
        <v>29.75</v>
      </c>
      <c r="BQ22" s="345">
        <v>-50</v>
      </c>
      <c r="BR22" s="344">
        <v>29.5</v>
      </c>
      <c r="BS22" s="342">
        <v>50</v>
      </c>
      <c r="BT22" s="343">
        <v>29.5</v>
      </c>
      <c r="BU22" s="345">
        <v>-50</v>
      </c>
      <c r="BV22" s="344">
        <v>30.5</v>
      </c>
      <c r="BW22" s="342"/>
      <c r="BX22" s="343"/>
      <c r="BY22" s="345"/>
      <c r="BZ22" s="344"/>
      <c r="CA22" s="342"/>
      <c r="CB22" s="343"/>
      <c r="CC22" s="345"/>
      <c r="CD22" s="346"/>
      <c r="CE22" s="351">
        <f t="shared" si="0"/>
        <v>-100</v>
      </c>
      <c r="CF22" s="352">
        <f>(D22+F22+L22+V22+X22+Z22+AB22+AD22+AF22+AH22+AJ22+AL22+AN22+AP22+AR22+AT22+AV22+AX22+AZ22+BB22+BD22+BF22+BH22+BJ22+BL22+BN22+BP22+BR22+BT22+BV22)/30</f>
        <v>32.325000000000003</v>
      </c>
      <c r="CG22" s="368">
        <f t="shared" si="1"/>
        <v>37159</v>
      </c>
    </row>
    <row r="23" spans="2:85" ht="15.6" x14ac:dyDescent="0.3">
      <c r="B23" s="368">
        <v>37160</v>
      </c>
      <c r="C23" s="349">
        <v>-50</v>
      </c>
      <c r="D23" s="350">
        <v>34.75</v>
      </c>
      <c r="E23" s="345">
        <v>-50</v>
      </c>
      <c r="F23" s="346">
        <v>33.25</v>
      </c>
      <c r="G23" s="342"/>
      <c r="H23" s="343"/>
      <c r="I23" s="345"/>
      <c r="J23" s="344"/>
      <c r="K23" s="345">
        <v>-50</v>
      </c>
      <c r="L23" s="344">
        <v>34</v>
      </c>
      <c r="M23" s="349"/>
      <c r="N23" s="350"/>
      <c r="O23" s="357"/>
      <c r="P23" s="350"/>
      <c r="Q23" s="349"/>
      <c r="R23" s="350"/>
      <c r="S23" s="357"/>
      <c r="T23" s="350"/>
      <c r="U23" s="345">
        <v>-50</v>
      </c>
      <c r="V23" s="346">
        <v>34.25</v>
      </c>
      <c r="W23" s="345">
        <v>-50</v>
      </c>
      <c r="X23" s="346">
        <v>34.253</v>
      </c>
      <c r="Y23" s="345">
        <v>-50</v>
      </c>
      <c r="Z23" s="344">
        <v>34.5</v>
      </c>
      <c r="AA23" s="345">
        <v>-50</v>
      </c>
      <c r="AB23" s="346">
        <v>34.75</v>
      </c>
      <c r="AC23" s="345">
        <v>-50</v>
      </c>
      <c r="AD23" s="346">
        <v>35</v>
      </c>
      <c r="AE23" s="345">
        <v>50</v>
      </c>
      <c r="AF23" s="346">
        <v>35</v>
      </c>
      <c r="AG23" s="345">
        <v>-50</v>
      </c>
      <c r="AH23" s="346">
        <v>34.5</v>
      </c>
      <c r="AI23" s="345">
        <v>50</v>
      </c>
      <c r="AJ23" s="346">
        <v>33.25</v>
      </c>
      <c r="AK23" s="345">
        <v>-50</v>
      </c>
      <c r="AL23" s="344">
        <v>33</v>
      </c>
      <c r="AM23" s="345">
        <v>50</v>
      </c>
      <c r="AN23" s="346">
        <v>33.5</v>
      </c>
      <c r="AO23" s="345">
        <v>50</v>
      </c>
      <c r="AP23" s="346">
        <v>33.25</v>
      </c>
      <c r="AQ23" s="345">
        <v>50</v>
      </c>
      <c r="AR23" s="344">
        <v>33</v>
      </c>
      <c r="AS23" s="345">
        <v>50</v>
      </c>
      <c r="AT23" s="346">
        <v>32.25</v>
      </c>
      <c r="AU23" s="345">
        <v>50</v>
      </c>
      <c r="AV23" s="346">
        <v>31.75</v>
      </c>
      <c r="AW23" s="345">
        <v>50</v>
      </c>
      <c r="AX23" s="346">
        <v>31.5</v>
      </c>
      <c r="AY23" s="345">
        <v>50</v>
      </c>
      <c r="AZ23" s="346">
        <v>31.25</v>
      </c>
      <c r="BA23" s="345">
        <v>50</v>
      </c>
      <c r="BB23" s="346">
        <v>31</v>
      </c>
      <c r="BC23" s="345">
        <v>50</v>
      </c>
      <c r="BD23" s="346">
        <v>30.75</v>
      </c>
      <c r="BE23" s="345">
        <v>50</v>
      </c>
      <c r="BF23" s="346">
        <v>30.5</v>
      </c>
      <c r="BG23" s="345">
        <v>-50</v>
      </c>
      <c r="BH23" s="346">
        <v>30.25</v>
      </c>
      <c r="BI23" s="345">
        <v>-50</v>
      </c>
      <c r="BJ23" s="346">
        <v>30.5</v>
      </c>
      <c r="BK23" s="345">
        <v>-50</v>
      </c>
      <c r="BL23" s="346">
        <v>30.75</v>
      </c>
      <c r="BM23" s="355">
        <v>50</v>
      </c>
      <c r="BN23" s="356">
        <v>29.75</v>
      </c>
      <c r="BO23" s="357">
        <v>-50</v>
      </c>
      <c r="BP23" s="350">
        <v>29.75</v>
      </c>
      <c r="BQ23" s="345">
        <v>-50</v>
      </c>
      <c r="BR23" s="346">
        <v>29.5</v>
      </c>
      <c r="BS23" s="345">
        <v>50</v>
      </c>
      <c r="BT23" s="344">
        <v>29.5</v>
      </c>
      <c r="BU23" s="345">
        <v>-50</v>
      </c>
      <c r="BV23" s="346">
        <v>30.5</v>
      </c>
      <c r="BW23" s="342"/>
      <c r="BX23" s="343"/>
      <c r="BY23" s="345"/>
      <c r="BZ23" s="344"/>
      <c r="CA23" s="345"/>
      <c r="CB23" s="344"/>
      <c r="CC23" s="345"/>
      <c r="CD23" s="346"/>
      <c r="CE23" s="351">
        <f t="shared" si="0"/>
        <v>-100</v>
      </c>
      <c r="CF23" s="352">
        <f>(D23+F23+L23+V23+X23+Z23+AB23+AD23+AF23+AH23+AJ23+AL23+AN23+AP23+AR23+AT23+AV23+AX23+AZ23+BB23+BD23+BF23+BH23+BJ23+BL23+BN23+BP23+BR23+BT23+BV23)/30</f>
        <v>32.325099999999999</v>
      </c>
      <c r="CG23" s="368">
        <f t="shared" si="1"/>
        <v>37160</v>
      </c>
    </row>
    <row r="24" spans="2:85" ht="15.6" x14ac:dyDescent="0.3">
      <c r="B24" s="368">
        <v>37161</v>
      </c>
      <c r="C24" s="349">
        <v>-50</v>
      </c>
      <c r="D24" s="350">
        <v>34.75</v>
      </c>
      <c r="E24" s="345">
        <v>-50</v>
      </c>
      <c r="F24" s="346">
        <v>33.25</v>
      </c>
      <c r="G24" s="342"/>
      <c r="H24" s="343"/>
      <c r="I24" s="345"/>
      <c r="J24" s="344"/>
      <c r="K24" s="342">
        <v>-50</v>
      </c>
      <c r="L24" s="343">
        <v>34</v>
      </c>
      <c r="M24" s="349"/>
      <c r="N24" s="350"/>
      <c r="O24" s="357"/>
      <c r="P24" s="350"/>
      <c r="Q24" s="349"/>
      <c r="R24" s="350"/>
      <c r="S24" s="357"/>
      <c r="T24" s="350"/>
      <c r="U24" s="345">
        <v>-50</v>
      </c>
      <c r="V24" s="346">
        <v>34.25</v>
      </c>
      <c r="W24" s="345">
        <v>-50</v>
      </c>
      <c r="X24" s="344">
        <v>34.25</v>
      </c>
      <c r="Y24" s="342">
        <v>-50</v>
      </c>
      <c r="Z24" s="343">
        <v>34.5</v>
      </c>
      <c r="AA24" s="345">
        <v>-50</v>
      </c>
      <c r="AB24" s="346">
        <v>34.75</v>
      </c>
      <c r="AC24" s="345">
        <v>-50</v>
      </c>
      <c r="AD24" s="344">
        <v>35</v>
      </c>
      <c r="AE24" s="345">
        <v>50</v>
      </c>
      <c r="AF24" s="346">
        <v>35</v>
      </c>
      <c r="AG24" s="345">
        <v>-50</v>
      </c>
      <c r="AH24" s="346">
        <v>34.5</v>
      </c>
      <c r="AI24" s="345">
        <v>50</v>
      </c>
      <c r="AJ24" s="344">
        <v>33.25</v>
      </c>
      <c r="AK24" s="342">
        <v>-50</v>
      </c>
      <c r="AL24" s="343">
        <v>33</v>
      </c>
      <c r="AM24" s="345">
        <v>50</v>
      </c>
      <c r="AN24" s="346">
        <v>33.5</v>
      </c>
      <c r="AO24" s="345">
        <v>50</v>
      </c>
      <c r="AP24" s="344">
        <v>33.25</v>
      </c>
      <c r="AQ24" s="342">
        <v>50</v>
      </c>
      <c r="AR24" s="343">
        <v>33</v>
      </c>
      <c r="AS24" s="345">
        <v>50</v>
      </c>
      <c r="AT24" s="346">
        <v>32.25</v>
      </c>
      <c r="AU24" s="345">
        <v>50</v>
      </c>
      <c r="AV24" s="344">
        <v>31.75</v>
      </c>
      <c r="AW24" s="345">
        <v>50</v>
      </c>
      <c r="AX24" s="346">
        <v>31.5</v>
      </c>
      <c r="AY24" s="345">
        <v>50</v>
      </c>
      <c r="AZ24" s="346">
        <v>31.25</v>
      </c>
      <c r="BA24" s="345">
        <v>50</v>
      </c>
      <c r="BB24" s="346">
        <v>31</v>
      </c>
      <c r="BC24" s="345">
        <v>50</v>
      </c>
      <c r="BD24" s="346">
        <v>30.75</v>
      </c>
      <c r="BE24" s="345">
        <v>50</v>
      </c>
      <c r="BF24" s="346">
        <v>30.5</v>
      </c>
      <c r="BG24" s="345">
        <v>-50</v>
      </c>
      <c r="BH24" s="346">
        <v>30.25</v>
      </c>
      <c r="BI24" s="345">
        <v>-50</v>
      </c>
      <c r="BJ24" s="346">
        <v>30.5</v>
      </c>
      <c r="BK24" s="345">
        <v>-50</v>
      </c>
      <c r="BL24" s="346">
        <v>30.75</v>
      </c>
      <c r="BM24" s="355">
        <v>50</v>
      </c>
      <c r="BN24" s="356">
        <v>29.75</v>
      </c>
      <c r="BO24" s="355">
        <v>-50</v>
      </c>
      <c r="BP24" s="356">
        <v>29.75</v>
      </c>
      <c r="BQ24" s="345">
        <v>-50</v>
      </c>
      <c r="BR24" s="344">
        <v>29.5</v>
      </c>
      <c r="BS24" s="342">
        <v>50</v>
      </c>
      <c r="BT24" s="343">
        <v>29.5</v>
      </c>
      <c r="BU24" s="345">
        <v>-50</v>
      </c>
      <c r="BV24" s="344">
        <v>30.5</v>
      </c>
      <c r="BW24" s="342"/>
      <c r="BX24" s="343"/>
      <c r="BY24" s="345"/>
      <c r="BZ24" s="344"/>
      <c r="CA24" s="342"/>
      <c r="CB24" s="343"/>
      <c r="CC24" s="345"/>
      <c r="CD24" s="346"/>
      <c r="CE24" s="351">
        <f t="shared" si="0"/>
        <v>-100</v>
      </c>
      <c r="CF24" s="352">
        <f>(D24+F24+L24+V24+X24+Z24+AB24+AD24+AF24+AH24+AJ24+AL24+AN24+AP24+AR24+AT24+AV24+AX24+AZ24+BB24+BD24+BF24+BH24+BJ24+BL24+BN24+BP24+BR24+BT24+BV24)/30</f>
        <v>32.325000000000003</v>
      </c>
      <c r="CG24" s="368">
        <f t="shared" si="1"/>
        <v>37161</v>
      </c>
    </row>
    <row r="25" spans="2:85" ht="15.6" x14ac:dyDescent="0.3">
      <c r="B25" s="368">
        <v>37162</v>
      </c>
      <c r="C25" s="349">
        <v>-50</v>
      </c>
      <c r="D25" s="350">
        <v>34.75</v>
      </c>
      <c r="E25" s="345">
        <v>-50</v>
      </c>
      <c r="F25" s="346">
        <v>33.25</v>
      </c>
      <c r="G25" s="342"/>
      <c r="H25" s="343"/>
      <c r="I25" s="345"/>
      <c r="J25" s="344"/>
      <c r="K25" s="345">
        <v>-50</v>
      </c>
      <c r="L25" s="344">
        <v>34</v>
      </c>
      <c r="M25" s="349"/>
      <c r="N25" s="350"/>
      <c r="O25" s="357"/>
      <c r="P25" s="350"/>
      <c r="Q25" s="349"/>
      <c r="R25" s="350"/>
      <c r="S25" s="357"/>
      <c r="T25" s="350"/>
      <c r="U25" s="345">
        <v>-50</v>
      </c>
      <c r="V25" s="346">
        <v>34.25</v>
      </c>
      <c r="W25" s="345">
        <v>-50</v>
      </c>
      <c r="X25" s="346">
        <v>34.253</v>
      </c>
      <c r="Y25" s="345">
        <v>-50</v>
      </c>
      <c r="Z25" s="344">
        <v>34.5</v>
      </c>
      <c r="AA25" s="345">
        <v>-50</v>
      </c>
      <c r="AB25" s="346">
        <v>34.75</v>
      </c>
      <c r="AC25" s="345">
        <v>-50</v>
      </c>
      <c r="AD25" s="346">
        <v>35</v>
      </c>
      <c r="AE25" s="345">
        <v>50</v>
      </c>
      <c r="AF25" s="346">
        <v>35</v>
      </c>
      <c r="AG25" s="345">
        <v>-50</v>
      </c>
      <c r="AH25" s="346">
        <v>34.5</v>
      </c>
      <c r="AI25" s="345">
        <v>50</v>
      </c>
      <c r="AJ25" s="346">
        <v>33.25</v>
      </c>
      <c r="AK25" s="345">
        <v>-50</v>
      </c>
      <c r="AL25" s="344">
        <v>33</v>
      </c>
      <c r="AM25" s="345">
        <v>50</v>
      </c>
      <c r="AN25" s="346">
        <v>33.5</v>
      </c>
      <c r="AO25" s="345">
        <v>50</v>
      </c>
      <c r="AP25" s="346">
        <v>33.25</v>
      </c>
      <c r="AQ25" s="345">
        <v>50</v>
      </c>
      <c r="AR25" s="344">
        <v>33</v>
      </c>
      <c r="AS25" s="345">
        <v>50</v>
      </c>
      <c r="AT25" s="346">
        <v>32.25</v>
      </c>
      <c r="AU25" s="345">
        <v>50</v>
      </c>
      <c r="AV25" s="346">
        <v>31.75</v>
      </c>
      <c r="AW25" s="345">
        <v>50</v>
      </c>
      <c r="AX25" s="346">
        <v>31.5</v>
      </c>
      <c r="AY25" s="345">
        <v>50</v>
      </c>
      <c r="AZ25" s="346">
        <v>31.25</v>
      </c>
      <c r="BA25" s="345">
        <v>50</v>
      </c>
      <c r="BB25" s="346">
        <v>31</v>
      </c>
      <c r="BC25" s="345">
        <v>50</v>
      </c>
      <c r="BD25" s="346">
        <v>30.75</v>
      </c>
      <c r="BE25" s="345">
        <v>50</v>
      </c>
      <c r="BF25" s="346">
        <v>30.5</v>
      </c>
      <c r="BG25" s="345">
        <v>-50</v>
      </c>
      <c r="BH25" s="346">
        <v>30.25</v>
      </c>
      <c r="BI25" s="345">
        <v>-50</v>
      </c>
      <c r="BJ25" s="346">
        <v>30.5</v>
      </c>
      <c r="BK25" s="345">
        <v>-50</v>
      </c>
      <c r="BL25" s="346">
        <v>30.75</v>
      </c>
      <c r="BM25" s="355">
        <v>50</v>
      </c>
      <c r="BN25" s="356">
        <v>29.75</v>
      </c>
      <c r="BO25" s="357">
        <v>-50</v>
      </c>
      <c r="BP25" s="350">
        <v>29.75</v>
      </c>
      <c r="BQ25" s="345">
        <v>-50</v>
      </c>
      <c r="BR25" s="346">
        <v>29.5</v>
      </c>
      <c r="BS25" s="345">
        <v>50</v>
      </c>
      <c r="BT25" s="344">
        <v>29.5</v>
      </c>
      <c r="BU25" s="345">
        <v>-50</v>
      </c>
      <c r="BV25" s="346">
        <v>30.5</v>
      </c>
      <c r="BW25" s="342"/>
      <c r="BX25" s="343"/>
      <c r="BY25" s="345"/>
      <c r="BZ25" s="344"/>
      <c r="CA25" s="345"/>
      <c r="CB25" s="344"/>
      <c r="CC25" s="345"/>
      <c r="CD25" s="346"/>
      <c r="CE25" s="351">
        <f t="shared" si="0"/>
        <v>-100</v>
      </c>
      <c r="CF25" s="352">
        <f>(D25+F25+L25+V25+X25+Z25+AB25+AD25+AF25+AH25+AJ25+AL25+AN25+AP25+AR25+AT25+AV25+AX25+AZ25+BB25+BD25+BF25+BH25+BJ25+BL25+BN25+BP25+BR25+BT25+BV25)/30</f>
        <v>32.325099999999999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Z49"/>
  <sheetViews>
    <sheetView tabSelected="1" topLeftCell="A7" workbookViewId="0">
      <selection activeCell="W28" sqref="W28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2.33203125" customWidth="1"/>
    <col min="18" max="18" width="15.44140625" customWidth="1"/>
    <col min="19" max="19" width="12.44140625" customWidth="1"/>
    <col min="20" max="20" width="2.109375" customWidth="1"/>
    <col min="21" max="21" width="13.88671875" customWidth="1"/>
    <col min="31" max="31" width="11" bestFit="1" customWidth="1"/>
    <col min="104" max="104" width="14.33203125" style="381" customWidth="1"/>
  </cols>
  <sheetData>
    <row r="1" spans="1:104" ht="27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39"/>
      <c r="S2" s="22"/>
    </row>
    <row r="3" spans="1:104" ht="13.8" thickBot="1" x14ac:dyDescent="0.3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6"/>
      <c r="R3" s="26"/>
      <c r="S3" s="26"/>
    </row>
    <row r="4" spans="1:104" ht="13.8" thickBot="1" x14ac:dyDescent="0.3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6"/>
      <c r="R4" s="436"/>
      <c r="S4" s="436"/>
    </row>
    <row r="5" spans="1:104" ht="13.8" thickBot="1" x14ac:dyDescent="0.3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6"/>
      <c r="R5" s="450" t="s">
        <v>305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  <c r="CZ5" s="382"/>
    </row>
    <row r="6" spans="1:104" ht="13.8" thickBot="1" x14ac:dyDescent="0.3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G DAY AHEAD'!I28</f>
        <v>46.53</v>
      </c>
      <c r="O6" s="165">
        <f>'ZONE G DAY AHEAD'!K13</f>
        <v>0</v>
      </c>
      <c r="P6" s="25">
        <f t="shared" si="0"/>
        <v>-46.53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01">
        <f t="shared" ref="G7:G27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G DAY AHEAD'!I29</f>
        <v>48.01</v>
      </c>
      <c r="O7" s="165">
        <f>'ZONE G DAY AHEAD'!L13</f>
        <v>0</v>
      </c>
      <c r="P7" s="25">
        <f t="shared" si="0"/>
        <v>-48.01</v>
      </c>
      <c r="Q7" s="86"/>
      <c r="R7" s="485"/>
      <c r="S7" s="486"/>
      <c r="U7" s="341" t="e">
        <f>#REF!</f>
        <v>#REF!</v>
      </c>
      <c r="V7" s="347"/>
      <c r="W7" s="361"/>
      <c r="X7" s="347"/>
      <c r="Y7" s="361"/>
      <c r="Z7" s="347"/>
      <c r="AA7" s="361"/>
      <c r="AB7" s="345"/>
      <c r="AC7" s="346"/>
      <c r="AD7" s="345"/>
      <c r="AE7" s="346"/>
      <c r="AF7" s="362"/>
      <c r="AG7" s="363"/>
      <c r="AH7" s="342"/>
      <c r="AI7" s="343"/>
      <c r="AJ7" s="342"/>
      <c r="AK7" s="343"/>
      <c r="AL7" s="342"/>
      <c r="AM7" s="343"/>
      <c r="AN7" s="342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30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2" thickBot="1" x14ac:dyDescent="0.35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6"/>
      <c r="R8" s="452">
        <f>'Zone G'!CE5</f>
        <v>0</v>
      </c>
      <c r="S8" s="482">
        <f>'Zone G'!CF5</f>
        <v>0</v>
      </c>
      <c r="U8" s="341" t="e">
        <f>#REF!</f>
        <v>#REF!</v>
      </c>
      <c r="V8" s="347"/>
      <c r="W8" s="361"/>
      <c r="X8" s="345"/>
      <c r="Y8" s="346"/>
      <c r="Z8" s="347"/>
      <c r="AA8" s="361"/>
      <c r="AB8" s="345"/>
      <c r="AC8" s="346"/>
      <c r="AD8" s="345"/>
      <c r="AE8" s="346"/>
      <c r="AF8" s="342"/>
      <c r="AG8" s="343"/>
      <c r="AH8" s="342"/>
      <c r="AI8" s="344"/>
      <c r="AJ8" s="345"/>
      <c r="AK8" s="346"/>
      <c r="AL8" s="342"/>
      <c r="AM8" s="344"/>
      <c r="AN8" s="342"/>
      <c r="AO8" s="358"/>
      <c r="AP8" s="342"/>
      <c r="AQ8" s="343"/>
      <c r="AR8" s="345"/>
      <c r="AS8" s="364"/>
      <c r="AT8" s="342"/>
      <c r="AU8" s="343"/>
      <c r="AV8" s="357"/>
      <c r="AW8" s="350"/>
      <c r="AX8" s="349"/>
      <c r="AY8" s="350"/>
      <c r="AZ8" s="345"/>
      <c r="BA8" s="346"/>
      <c r="BB8" s="345"/>
      <c r="BC8" s="346"/>
      <c r="BD8" s="345"/>
      <c r="BE8" s="346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30" si="5">U8</f>
        <v>#REF!</v>
      </c>
    </row>
    <row r="9" spans="1:104" ht="16.2" thickBot="1" x14ac:dyDescent="0.35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/>
      <c r="J9" s="432">
        <f>CY11</f>
        <v>0</v>
      </c>
      <c r="K9" s="33">
        <f t="shared" si="3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6"/>
      <c r="R9" s="452">
        <f>'Zone G'!CE6</f>
        <v>0</v>
      </c>
      <c r="S9" s="482">
        <f>'Zone G'!CF6</f>
        <v>0</v>
      </c>
      <c r="U9" s="368">
        <f>B7</f>
        <v>37137</v>
      </c>
      <c r="V9" s="347"/>
      <c r="W9" s="361"/>
      <c r="X9" s="345"/>
      <c r="Y9" s="346"/>
      <c r="Z9" s="347"/>
      <c r="AA9" s="361"/>
      <c r="AB9" s="345"/>
      <c r="AC9" s="344"/>
      <c r="AD9" s="345"/>
      <c r="AE9" s="346"/>
      <c r="AF9" s="342"/>
      <c r="AG9" s="343"/>
      <c r="AH9" s="342"/>
      <c r="AI9" s="344"/>
      <c r="AJ9" s="345"/>
      <c r="AK9" s="346"/>
      <c r="AL9" s="342"/>
      <c r="AM9" s="344"/>
      <c r="AN9" s="342"/>
      <c r="AO9" s="358"/>
      <c r="AP9" s="342"/>
      <c r="AQ9" s="344"/>
      <c r="AR9" s="345"/>
      <c r="AS9" s="364"/>
      <c r="AT9" s="342"/>
      <c r="AU9" s="344"/>
      <c r="AV9" s="357"/>
      <c r="AW9" s="350"/>
      <c r="AX9" s="349"/>
      <c r="AY9" s="350"/>
      <c r="AZ9" s="345"/>
      <c r="BA9" s="346"/>
      <c r="BB9" s="345"/>
      <c r="BC9" s="346"/>
      <c r="BD9" s="345"/>
      <c r="BE9" s="346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>V9+X9+Z9+AB9+AD9+AF9+AH9+AJ9+AL9+AN9+AP9+AR9+AT9+AV9+AX9+AZ9+BB9+BD9+BF9+BH9+BJ9+BL9+BN9+BP9+BR9+BT9+BV9+BX9+BZ9+CB9+CD9+CF9+CH9+CJ9+CL9+CN9+CP9+CR9+CT9+CV9</f>
        <v>0</v>
      </c>
      <c r="CY9" s="352">
        <f>IF(AND(CX9=0,DB9=0),0,(DE9+DF9)/DB9)</f>
        <v>0</v>
      </c>
      <c r="CZ9" s="368">
        <f t="shared" si="5"/>
        <v>37137</v>
      </c>
    </row>
    <row r="10" spans="1:104" ht="16.2" thickBot="1" x14ac:dyDescent="0.35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>CX12</f>
        <v>0</v>
      </c>
      <c r="J10" s="432">
        <f>CY12</f>
        <v>0</v>
      </c>
      <c r="K10" s="33">
        <f t="shared" si="3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6"/>
      <c r="R10" s="452">
        <f>'Zone G'!CE7</f>
        <v>0</v>
      </c>
      <c r="S10" s="482">
        <f>'Zone G'!CF7</f>
        <v>0</v>
      </c>
      <c r="U10" s="368">
        <f>B8</f>
        <v>37138</v>
      </c>
      <c r="V10" s="345"/>
      <c r="W10" s="344"/>
      <c r="X10" s="345"/>
      <c r="Y10" s="346"/>
      <c r="Z10" s="345"/>
      <c r="AA10" s="346"/>
      <c r="AB10" s="345"/>
      <c r="AC10" s="344"/>
      <c r="AD10" s="345"/>
      <c r="AE10" s="346"/>
      <c r="AF10" s="345"/>
      <c r="AG10" s="344"/>
      <c r="AH10" s="345"/>
      <c r="AI10" s="346"/>
      <c r="AJ10" s="345"/>
      <c r="AK10" s="344"/>
      <c r="AL10" s="345"/>
      <c r="AM10" s="344"/>
      <c r="AN10" s="345"/>
      <c r="AO10" s="346"/>
      <c r="AP10" s="345"/>
      <c r="AQ10" s="344"/>
      <c r="AR10" s="345"/>
      <c r="AS10" s="364"/>
      <c r="AT10" s="345"/>
      <c r="AU10" s="344"/>
      <c r="AV10" s="357"/>
      <c r="AW10" s="350"/>
      <c r="AX10" s="349"/>
      <c r="AY10" s="350"/>
      <c r="AZ10" s="345"/>
      <c r="BA10" s="346"/>
      <c r="BB10" s="345"/>
      <c r="BC10" s="346"/>
      <c r="BD10" s="345"/>
      <c r="BE10" s="346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>V10+X10+Z10+AB10+AD10+AF10+AH10+AJ10+AL10+AN10+AP10+AR10+AT10+AV10+AX10+AZ10+BB10+BD10+BF10+BH10+BJ10+BL10+BN10+BP10+BR10+BT10+BV10+BX10+BZ10+CB10+CD10+CF10+CH10+CJ10+CL10+CN10+CP10+CR10+CT10+CV10</f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2" thickBot="1" x14ac:dyDescent="0.35">
      <c r="A11" s="379" t="s">
        <v>245</v>
      </c>
      <c r="B11" s="379">
        <f>B10+1</f>
        <v>37141</v>
      </c>
      <c r="C11" s="32">
        <f>'EOL LINKS'!B5</f>
        <v>37</v>
      </c>
      <c r="D11" s="32">
        <f>'EOL LINKS'!C5</f>
        <v>37.5</v>
      </c>
      <c r="E11" s="78">
        <f t="shared" si="1"/>
        <v>37.25</v>
      </c>
      <c r="F11" s="398">
        <v>0</v>
      </c>
      <c r="G11" s="177">
        <f t="shared" si="2"/>
        <v>37.25</v>
      </c>
      <c r="H11" s="153">
        <f>H10</f>
        <v>1184.4331641285958</v>
      </c>
      <c r="I11" s="376">
        <f>CX13</f>
        <v>0</v>
      </c>
      <c r="J11" s="432">
        <f>CY13</f>
        <v>0</v>
      </c>
      <c r="K11" s="178">
        <f t="shared" si="3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6"/>
      <c r="R11" s="452">
        <f>'Zone G'!CE8</f>
        <v>0</v>
      </c>
      <c r="S11" s="482">
        <f>'Zone G'!CF8</f>
        <v>0</v>
      </c>
      <c r="U11" s="368">
        <f>B9</f>
        <v>37139</v>
      </c>
      <c r="V11" s="345"/>
      <c r="W11" s="344"/>
      <c r="X11" s="345"/>
      <c r="Y11" s="346"/>
      <c r="Z11" s="345"/>
      <c r="AA11" s="346"/>
      <c r="AB11" s="345"/>
      <c r="AC11" s="344"/>
      <c r="AD11" s="345"/>
      <c r="AE11" s="346"/>
      <c r="AF11" s="345"/>
      <c r="AG11" s="344"/>
      <c r="AH11" s="342"/>
      <c r="AI11" s="344"/>
      <c r="AJ11" s="345"/>
      <c r="AK11" s="344"/>
      <c r="AL11" s="345"/>
      <c r="AM11" s="344"/>
      <c r="AN11" s="345"/>
      <c r="AO11" s="346"/>
      <c r="AP11" s="345"/>
      <c r="AQ11" s="344"/>
      <c r="AR11" s="345"/>
      <c r="AS11" s="346"/>
      <c r="AT11" s="345"/>
      <c r="AU11" s="344"/>
      <c r="AV11" s="357"/>
      <c r="AW11" s="350"/>
      <c r="AX11" s="349"/>
      <c r="AY11" s="350"/>
      <c r="AZ11" s="345"/>
      <c r="BA11" s="346"/>
      <c r="BB11" s="345"/>
      <c r="BC11" s="346"/>
      <c r="BD11" s="345"/>
      <c r="BE11" s="346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(W11+Y11+AA11+AC11)/4</f>
        <v>0</v>
      </c>
      <c r="CZ11" s="368">
        <f t="shared" si="5"/>
        <v>37139</v>
      </c>
    </row>
    <row r="12" spans="1:104" ht="16.2" thickBot="1" x14ac:dyDescent="0.35">
      <c r="A12" s="322" t="s">
        <v>241</v>
      </c>
      <c r="B12" s="322">
        <f>B11+3</f>
        <v>37144</v>
      </c>
      <c r="C12" s="386">
        <f>'EOL LINKS'!B5</f>
        <v>37</v>
      </c>
      <c r="D12" s="386">
        <f>'EOL LINKS'!C5</f>
        <v>37.5</v>
      </c>
      <c r="E12" s="387">
        <f t="shared" si="1"/>
        <v>37.25</v>
      </c>
      <c r="F12" s="398">
        <v>0</v>
      </c>
      <c r="G12" s="389">
        <f t="shared" si="2"/>
        <v>37.25</v>
      </c>
      <c r="H12" s="390">
        <f>H11</f>
        <v>1184.4331641285958</v>
      </c>
      <c r="I12" s="412">
        <f>CX14</f>
        <v>0</v>
      </c>
      <c r="J12" s="432">
        <f>CY14</f>
        <v>0</v>
      </c>
      <c r="K12" s="419">
        <f t="shared" si="3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7"/>
      <c r="R12" s="452">
        <f>'Zone G'!CE9</f>
        <v>0</v>
      </c>
      <c r="S12" s="482">
        <f>'Zone G'!CF9</f>
        <v>0</v>
      </c>
      <c r="U12" s="368">
        <f t="shared" ref="U12:U28" si="6">B10</f>
        <v>37140</v>
      </c>
      <c r="V12" s="345"/>
      <c r="W12" s="344"/>
      <c r="X12" s="345"/>
      <c r="Y12" s="346"/>
      <c r="Z12" s="345"/>
      <c r="AA12" s="346"/>
      <c r="AB12" s="345"/>
      <c r="AC12" s="344"/>
      <c r="AD12" s="345"/>
      <c r="AE12" s="344"/>
      <c r="AF12" s="345"/>
      <c r="AG12" s="346"/>
      <c r="AH12" s="342"/>
      <c r="AI12" s="344"/>
      <c r="AJ12" s="345"/>
      <c r="AK12" s="344"/>
      <c r="AL12" s="345"/>
      <c r="AM12" s="344"/>
      <c r="AN12" s="345"/>
      <c r="AO12" s="346"/>
      <c r="AP12" s="345"/>
      <c r="AQ12" s="344"/>
      <c r="AR12" s="345"/>
      <c r="AS12" s="346"/>
      <c r="AT12" s="345"/>
      <c r="AU12" s="344"/>
      <c r="AV12" s="357"/>
      <c r="AW12" s="350"/>
      <c r="AX12" s="349"/>
      <c r="AY12" s="350"/>
      <c r="AZ12" s="345"/>
      <c r="BA12" s="346"/>
      <c r="BB12" s="345"/>
      <c r="BC12" s="346"/>
      <c r="BD12" s="345"/>
      <c r="BE12" s="346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(W12+Y12+AA12+AC12+AE12)/5</f>
        <v>0</v>
      </c>
      <c r="CZ12" s="368">
        <f t="shared" si="5"/>
        <v>37140</v>
      </c>
    </row>
    <row r="13" spans="1:104" ht="16.2" thickBot="1" x14ac:dyDescent="0.35">
      <c r="A13" s="322" t="s">
        <v>242</v>
      </c>
      <c r="B13" s="322">
        <f>B12+1</f>
        <v>37145</v>
      </c>
      <c r="C13" s="375">
        <f>'EOL LINKS'!B5</f>
        <v>37</v>
      </c>
      <c r="D13" s="375">
        <f>'EOL LINKS'!C5</f>
        <v>37.5</v>
      </c>
      <c r="E13" s="456">
        <f t="shared" si="1"/>
        <v>37.25</v>
      </c>
      <c r="F13" s="398">
        <v>0</v>
      </c>
      <c r="G13" s="201">
        <f t="shared" si="2"/>
        <v>37.25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7"/>
      <c r="R13" s="452">
        <v>0</v>
      </c>
      <c r="S13" s="482">
        <f>'Zone G'!CF10</f>
        <v>0</v>
      </c>
      <c r="U13" s="368">
        <f t="shared" si="6"/>
        <v>37141</v>
      </c>
      <c r="V13" s="345"/>
      <c r="W13" s="344"/>
      <c r="X13" s="345"/>
      <c r="Y13" s="346"/>
      <c r="Z13" s="345"/>
      <c r="AA13" s="346"/>
      <c r="AB13" s="345"/>
      <c r="AC13" s="344"/>
      <c r="AD13" s="345"/>
      <c r="AE13" s="344"/>
      <c r="AF13" s="345"/>
      <c r="AG13" s="344"/>
      <c r="AH13" s="342"/>
      <c r="AI13" s="344"/>
      <c r="AJ13" s="345"/>
      <c r="AK13" s="344"/>
      <c r="AL13" s="345"/>
      <c r="AM13" s="344"/>
      <c r="AN13" s="345"/>
      <c r="AO13" s="346"/>
      <c r="AP13" s="345"/>
      <c r="AQ13" s="346"/>
      <c r="AR13" s="345"/>
      <c r="AS13" s="346"/>
      <c r="AT13" s="345"/>
      <c r="AU13" s="344"/>
      <c r="AV13" s="357"/>
      <c r="AW13" s="350"/>
      <c r="AX13" s="349"/>
      <c r="AY13" s="350"/>
      <c r="AZ13" s="345"/>
      <c r="BA13" s="346"/>
      <c r="BB13" s="345"/>
      <c r="BC13" s="346"/>
      <c r="BD13" s="345"/>
      <c r="BE13" s="346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(W13+Y13+AA13)/3</f>
        <v>0</v>
      </c>
      <c r="CZ13" s="368">
        <f t="shared" si="5"/>
        <v>37141</v>
      </c>
    </row>
    <row r="14" spans="1:104" ht="16.2" thickBot="1" x14ac:dyDescent="0.35">
      <c r="A14" s="323" t="s">
        <v>243</v>
      </c>
      <c r="B14" s="322">
        <f>B13+1</f>
        <v>37146</v>
      </c>
      <c r="C14" s="454">
        <f>'EOL LINKS'!B5</f>
        <v>37</v>
      </c>
      <c r="D14" s="454">
        <f>'EOL LINKS'!C5</f>
        <v>37.5</v>
      </c>
      <c r="E14" s="457">
        <f t="shared" si="1"/>
        <v>37.25</v>
      </c>
      <c r="F14" s="398">
        <v>0</v>
      </c>
      <c r="G14" s="72">
        <f t="shared" si="2"/>
        <v>37.25</v>
      </c>
      <c r="H14" s="100">
        <f t="shared" ref="H14:H27" si="7">H13</f>
        <v>1260.5752961082912</v>
      </c>
      <c r="I14" s="377">
        <f t="shared" ref="I14:I26" si="8">R16</f>
        <v>0</v>
      </c>
      <c r="J14" s="432">
        <f t="shared" ref="J14:J26" si="9">S16</f>
        <v>0</v>
      </c>
      <c r="K14" s="421">
        <f t="shared" si="3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7"/>
      <c r="R14" s="452">
        <f>'Zone G'!CE11</f>
        <v>0</v>
      </c>
      <c r="S14" s="482">
        <f>'Zone G'!CF11</f>
        <v>0</v>
      </c>
      <c r="U14" s="368">
        <f t="shared" si="6"/>
        <v>37144</v>
      </c>
      <c r="V14" s="345"/>
      <c r="W14" s="344"/>
      <c r="X14" s="345"/>
      <c r="Y14" s="344"/>
      <c r="Z14" s="342"/>
      <c r="AA14" s="344"/>
      <c r="AB14" s="345"/>
      <c r="AC14" s="344"/>
      <c r="AD14" s="345"/>
      <c r="AE14" s="344"/>
      <c r="AF14" s="345"/>
      <c r="AG14" s="344"/>
      <c r="AH14" s="342"/>
      <c r="AI14" s="344"/>
      <c r="AJ14" s="345"/>
      <c r="AK14" s="344"/>
      <c r="AL14" s="345"/>
      <c r="AM14" s="344"/>
      <c r="AN14" s="345"/>
      <c r="AO14" s="346"/>
      <c r="AP14" s="345"/>
      <c r="AQ14" s="346"/>
      <c r="AR14" s="345"/>
      <c r="AS14" s="346"/>
      <c r="AT14" s="345"/>
      <c r="AU14" s="344"/>
      <c r="AV14" s="357"/>
      <c r="AW14" s="350"/>
      <c r="AX14" s="345"/>
      <c r="AY14" s="346"/>
      <c r="AZ14" s="345"/>
      <c r="BA14" s="346"/>
      <c r="BB14" s="345"/>
      <c r="BC14" s="346"/>
      <c r="BD14" s="345"/>
      <c r="BE14" s="346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69">
        <f>(W14+Y14+AA14+AC14+AE14+AG14+AK14+AM14+AO14+AQ14+AU14+AW14+AY14+BA14+BC14)/15</f>
        <v>0</v>
      </c>
      <c r="CZ14" s="368">
        <f t="shared" si="5"/>
        <v>37144</v>
      </c>
    </row>
    <row r="15" spans="1:104" ht="16.2" thickBot="1" x14ac:dyDescent="0.35">
      <c r="A15" s="323" t="s">
        <v>244</v>
      </c>
      <c r="B15" s="322">
        <f>B14+1</f>
        <v>37147</v>
      </c>
      <c r="C15" s="454">
        <f>'EOL LINKS'!B5</f>
        <v>37</v>
      </c>
      <c r="D15" s="454">
        <f>'EOL LINKS'!C5</f>
        <v>37.5</v>
      </c>
      <c r="E15" s="373">
        <f t="shared" si="1"/>
        <v>37.25</v>
      </c>
      <c r="F15" s="398">
        <v>0</v>
      </c>
      <c r="G15" s="72">
        <f t="shared" si="2"/>
        <v>37.25</v>
      </c>
      <c r="H15" s="100">
        <f t="shared" si="7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8"/>
      <c r="R15" s="452">
        <v>0</v>
      </c>
      <c r="S15" s="482">
        <f>'Zone G'!CF12</f>
        <v>0</v>
      </c>
      <c r="U15" s="368">
        <f t="shared" si="6"/>
        <v>37145</v>
      </c>
      <c r="V15" s="345"/>
      <c r="W15" s="344"/>
      <c r="X15" s="345"/>
      <c r="Y15" s="344"/>
      <c r="Z15" s="342"/>
      <c r="AA15" s="344"/>
      <c r="AB15" s="345"/>
      <c r="AC15" s="344"/>
      <c r="AD15" s="345"/>
      <c r="AE15" s="344"/>
      <c r="AF15" s="345"/>
      <c r="AG15" s="344"/>
      <c r="AH15" s="342"/>
      <c r="AI15" s="344"/>
      <c r="AJ15" s="345"/>
      <c r="AK15" s="344"/>
      <c r="AL15" s="345"/>
      <c r="AM15" s="344"/>
      <c r="AN15" s="345"/>
      <c r="AO15" s="346"/>
      <c r="AP15" s="345"/>
      <c r="AQ15" s="346"/>
      <c r="AR15" s="345"/>
      <c r="AS15" s="346"/>
      <c r="AT15" s="345"/>
      <c r="AU15" s="344"/>
      <c r="AV15" s="357"/>
      <c r="AW15" s="350"/>
      <c r="AX15" s="349"/>
      <c r="AY15" s="350"/>
      <c r="AZ15" s="345"/>
      <c r="BA15" s="346"/>
      <c r="BB15" s="345"/>
      <c r="BC15" s="346"/>
      <c r="BD15" s="345"/>
      <c r="BE15" s="346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69">
        <f>(AI15+AS15)/2</f>
        <v>0</v>
      </c>
      <c r="CZ15" s="368">
        <f t="shared" si="5"/>
        <v>37145</v>
      </c>
    </row>
    <row r="16" spans="1:104" ht="16.2" thickBot="1" x14ac:dyDescent="0.35">
      <c r="A16" s="394" t="s">
        <v>245</v>
      </c>
      <c r="B16" s="380">
        <f>B15+1</f>
        <v>37148</v>
      </c>
      <c r="C16" s="217">
        <f>'EOL LINKS'!B6</f>
        <v>33.25</v>
      </c>
      <c r="D16" s="217">
        <f>'EOL LINKS'!C6</f>
        <v>33.75</v>
      </c>
      <c r="E16" s="371">
        <f t="shared" si="1"/>
        <v>33.5</v>
      </c>
      <c r="F16" s="398">
        <v>0</v>
      </c>
      <c r="G16" s="177">
        <f t="shared" si="2"/>
        <v>33.5</v>
      </c>
      <c r="H16" s="153">
        <f t="shared" si="7"/>
        <v>1260.5752961082912</v>
      </c>
      <c r="I16" s="378">
        <f t="shared" si="8"/>
        <v>0</v>
      </c>
      <c r="J16" s="435">
        <f t="shared" si="9"/>
        <v>0</v>
      </c>
      <c r="K16" s="422">
        <f t="shared" si="3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7"/>
      <c r="R16" s="452">
        <v>0</v>
      </c>
      <c r="S16" s="482">
        <f>'Zone G'!CF13</f>
        <v>0</v>
      </c>
      <c r="U16" s="368">
        <f t="shared" si="6"/>
        <v>37146</v>
      </c>
      <c r="V16" s="342"/>
      <c r="W16" s="344"/>
      <c r="X16" s="345"/>
      <c r="Y16" s="344"/>
      <c r="Z16" s="345"/>
      <c r="AA16" s="344"/>
      <c r="AB16" s="345"/>
      <c r="AC16" s="344"/>
      <c r="AD16" s="342"/>
      <c r="AE16" s="344"/>
      <c r="AF16" s="345"/>
      <c r="AG16" s="344"/>
      <c r="AH16" s="345"/>
      <c r="AI16" s="346"/>
      <c r="AJ16" s="345"/>
      <c r="AK16" s="346"/>
      <c r="AL16" s="345"/>
      <c r="AM16" s="346"/>
      <c r="AN16" s="345"/>
      <c r="AO16" s="344"/>
      <c r="AP16" s="357"/>
      <c r="AQ16" s="350"/>
      <c r="AR16" s="345"/>
      <c r="AS16" s="346"/>
      <c r="AT16" s="345"/>
      <c r="AU16" s="346"/>
      <c r="AV16" s="345"/>
      <c r="AW16" s="346"/>
      <c r="AX16" s="345"/>
      <c r="AY16" s="346"/>
      <c r="AZ16" s="345"/>
      <c r="BA16" s="346"/>
      <c r="BB16" s="345"/>
      <c r="BC16" s="346"/>
      <c r="BD16" s="345"/>
      <c r="BE16" s="346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69">
        <f>(AA16+AC16+AI16+AK16+AO16+AQ16)/6</f>
        <v>0</v>
      </c>
      <c r="CZ16" s="368">
        <f t="shared" si="5"/>
        <v>37146</v>
      </c>
    </row>
    <row r="17" spans="1:104" ht="16.2" thickBot="1" x14ac:dyDescent="0.35">
      <c r="A17" s="395" t="s">
        <v>241</v>
      </c>
      <c r="B17" s="395">
        <f>B16+3</f>
        <v>37151</v>
      </c>
      <c r="C17" s="455">
        <f>'EOL LINKS'!B7</f>
        <v>33.5</v>
      </c>
      <c r="D17" s="455">
        <f>'EOL LINKS'!C7</f>
        <v>33.75</v>
      </c>
      <c r="E17" s="458">
        <f t="shared" si="1"/>
        <v>33.625</v>
      </c>
      <c r="F17" s="398">
        <v>0</v>
      </c>
      <c r="G17" s="389">
        <f t="shared" si="2"/>
        <v>33.625</v>
      </c>
      <c r="H17" s="390">
        <f t="shared" si="7"/>
        <v>1260.5752961082912</v>
      </c>
      <c r="I17" s="377">
        <f t="shared" si="8"/>
        <v>0</v>
      </c>
      <c r="J17" s="434">
        <f t="shared" si="9"/>
        <v>0</v>
      </c>
      <c r="K17" s="391">
        <f t="shared" si="3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7"/>
      <c r="R17" s="452">
        <v>0</v>
      </c>
      <c r="S17" s="482">
        <f>'Zone G'!CF14</f>
        <v>0</v>
      </c>
      <c r="U17" s="368">
        <f t="shared" si="6"/>
        <v>37147</v>
      </c>
      <c r="V17" s="345"/>
      <c r="W17" s="344"/>
      <c r="X17" s="345"/>
      <c r="Y17" s="344"/>
      <c r="Z17" s="345"/>
      <c r="AA17" s="344"/>
      <c r="AB17" s="345"/>
      <c r="AC17" s="344"/>
      <c r="AD17" s="345"/>
      <c r="AE17" s="344"/>
      <c r="AF17" s="345"/>
      <c r="AG17" s="344"/>
      <c r="AH17" s="345"/>
      <c r="AI17" s="346"/>
      <c r="AJ17" s="345"/>
      <c r="AK17" s="346"/>
      <c r="AL17" s="345"/>
      <c r="AM17" s="346"/>
      <c r="AN17" s="345"/>
      <c r="AO17" s="344"/>
      <c r="AP17" s="357"/>
      <c r="AQ17" s="350"/>
      <c r="AR17" s="349"/>
      <c r="AS17" s="350"/>
      <c r="AT17" s="345"/>
      <c r="AU17" s="346"/>
      <c r="AV17" s="345"/>
      <c r="AW17" s="346"/>
      <c r="AX17" s="345"/>
      <c r="AY17" s="346"/>
      <c r="AZ17" s="345"/>
      <c r="BA17" s="346"/>
      <c r="BB17" s="345"/>
      <c r="BC17" s="346"/>
      <c r="BD17" s="345"/>
      <c r="BE17" s="346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69">
        <f>(AA17+AC17+AE17+AG17+AM17+AQ17)/6</f>
        <v>0</v>
      </c>
      <c r="CZ17" s="368">
        <f t="shared" si="5"/>
        <v>37147</v>
      </c>
    </row>
    <row r="18" spans="1:104" ht="16.2" thickBot="1" x14ac:dyDescent="0.35">
      <c r="A18" s="193" t="s">
        <v>242</v>
      </c>
      <c r="B18" s="193">
        <f>B17+1</f>
        <v>37152</v>
      </c>
      <c r="C18" s="506">
        <f>'EOL LINKS'!B5</f>
        <v>37</v>
      </c>
      <c r="D18" s="506">
        <f>'EOL LINKS'!C5</f>
        <v>37.5</v>
      </c>
      <c r="E18" s="170">
        <f t="shared" si="1"/>
        <v>37.25</v>
      </c>
      <c r="F18" s="398">
        <v>0</v>
      </c>
      <c r="G18" s="201">
        <f t="shared" si="2"/>
        <v>37.25</v>
      </c>
      <c r="H18" s="172">
        <f t="shared" si="7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7"/>
      <c r="R18" s="452">
        <v>0</v>
      </c>
      <c r="S18" s="482">
        <f>'Zone G'!CF15</f>
        <v>0</v>
      </c>
      <c r="U18" s="368">
        <f t="shared" si="6"/>
        <v>37148</v>
      </c>
      <c r="V18" s="342"/>
      <c r="W18" s="344"/>
      <c r="X18" s="345"/>
      <c r="Y18" s="344"/>
      <c r="Z18" s="345"/>
      <c r="AA18" s="344"/>
      <c r="AB18" s="345"/>
      <c r="AC18" s="344"/>
      <c r="AD18" s="345"/>
      <c r="AE18" s="344"/>
      <c r="AF18" s="345"/>
      <c r="AG18" s="344"/>
      <c r="AH18" s="345"/>
      <c r="AI18" s="346"/>
      <c r="AJ18" s="345"/>
      <c r="AK18" s="346"/>
      <c r="AL18" s="345"/>
      <c r="AM18" s="346"/>
      <c r="AN18" s="345"/>
      <c r="AO18" s="344"/>
      <c r="AP18" s="357"/>
      <c r="AQ18" s="350"/>
      <c r="AR18" s="349"/>
      <c r="AS18" s="350"/>
      <c r="AT18" s="345"/>
      <c r="AU18" s="346"/>
      <c r="AV18" s="345"/>
      <c r="AW18" s="346"/>
      <c r="AX18" s="345"/>
      <c r="AY18" s="346"/>
      <c r="AZ18" s="345"/>
      <c r="BA18" s="346"/>
      <c r="BB18" s="345"/>
      <c r="BC18" s="346"/>
      <c r="BD18" s="345"/>
      <c r="BE18" s="346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69">
        <f>(AA18+AC18+AE18+AG18+AM18+AQ18)/6</f>
        <v>0</v>
      </c>
      <c r="CZ18" s="368">
        <f t="shared" si="5"/>
        <v>37148</v>
      </c>
    </row>
    <row r="19" spans="1:104" ht="16.2" thickBot="1" x14ac:dyDescent="0.35">
      <c r="A19" s="194" t="s">
        <v>243</v>
      </c>
      <c r="B19" s="194">
        <f>B18+1</f>
        <v>37153</v>
      </c>
      <c r="C19" s="507">
        <f>'EOL LINKS'!B5</f>
        <v>37</v>
      </c>
      <c r="D19" s="507">
        <f>'EOL LINKS'!C5</f>
        <v>37.5</v>
      </c>
      <c r="E19" s="70">
        <f t="shared" si="1"/>
        <v>37.25</v>
      </c>
      <c r="F19" s="398">
        <v>0</v>
      </c>
      <c r="G19" s="72">
        <f t="shared" si="2"/>
        <v>37.25</v>
      </c>
      <c r="H19" s="100">
        <f t="shared" si="7"/>
        <v>1260.5752961082912</v>
      </c>
      <c r="I19" s="377">
        <f t="shared" si="8"/>
        <v>0</v>
      </c>
      <c r="J19" s="432">
        <f t="shared" si="9"/>
        <v>3.9722222222222223</v>
      </c>
      <c r="K19" s="33">
        <f t="shared" si="3"/>
        <v>0</v>
      </c>
      <c r="L19" s="62" t="s">
        <v>26</v>
      </c>
      <c r="M19" s="63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9"/>
      <c r="R19" s="452">
        <v>0</v>
      </c>
      <c r="S19" s="482">
        <f>'Zone G'!CF16</f>
        <v>0</v>
      </c>
      <c r="U19" s="368">
        <f>B17</f>
        <v>37151</v>
      </c>
      <c r="V19" s="342"/>
      <c r="W19" s="344"/>
      <c r="X19" s="345"/>
      <c r="Y19" s="344"/>
      <c r="Z19" s="345"/>
      <c r="AA19" s="344"/>
      <c r="AB19" s="345"/>
      <c r="AC19" s="344"/>
      <c r="AD19" s="345"/>
      <c r="AE19" s="344"/>
      <c r="AF19" s="342"/>
      <c r="AG19" s="508"/>
      <c r="AH19" s="345"/>
      <c r="AI19" s="346"/>
      <c r="AJ19" s="345"/>
      <c r="AK19" s="346"/>
      <c r="AL19" s="345"/>
      <c r="AM19" s="346"/>
      <c r="AN19" s="345"/>
      <c r="AO19" s="344"/>
      <c r="AP19" s="357"/>
      <c r="AQ19" s="350"/>
      <c r="AR19" s="349"/>
      <c r="AS19" s="350"/>
      <c r="AT19" s="345"/>
      <c r="AU19" s="346"/>
      <c r="AV19" s="345"/>
      <c r="AW19" s="346"/>
      <c r="AX19" s="345"/>
      <c r="AY19" s="346"/>
      <c r="AZ19" s="345"/>
      <c r="BA19" s="346"/>
      <c r="BB19" s="345"/>
      <c r="BC19" s="346"/>
      <c r="BD19" s="345"/>
      <c r="BE19" s="346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488">
        <f>(AQ19)</f>
        <v>0</v>
      </c>
      <c r="CZ19" s="368">
        <f t="shared" si="5"/>
        <v>37151</v>
      </c>
    </row>
    <row r="20" spans="1:104" ht="16.2" thickBot="1" x14ac:dyDescent="0.35">
      <c r="A20" s="194" t="s">
        <v>244</v>
      </c>
      <c r="B20" s="194">
        <f>B19+1</f>
        <v>37154</v>
      </c>
      <c r="C20" s="507">
        <f>'EOL LINKS'!B5</f>
        <v>37</v>
      </c>
      <c r="D20" s="507">
        <f>'EOL LINKS'!C5</f>
        <v>37.5</v>
      </c>
      <c r="E20" s="70">
        <f t="shared" si="1"/>
        <v>37.25</v>
      </c>
      <c r="F20" s="398">
        <v>0</v>
      </c>
      <c r="G20" s="72">
        <f t="shared" si="2"/>
        <v>37.25</v>
      </c>
      <c r="H20" s="100">
        <f t="shared" si="7"/>
        <v>1260.5752961082912</v>
      </c>
      <c r="I20" s="377">
        <f t="shared" si="8"/>
        <v>0</v>
      </c>
      <c r="J20" s="432">
        <f t="shared" si="9"/>
        <v>36.294444444444444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G'!CF17</f>
        <v>0</v>
      </c>
      <c r="U20" s="368">
        <f>B18</f>
        <v>37152</v>
      </c>
      <c r="V20" s="342"/>
      <c r="W20" s="344"/>
      <c r="X20" s="345"/>
      <c r="Y20" s="344"/>
      <c r="Z20" s="345"/>
      <c r="AA20" s="344"/>
      <c r="AB20" s="345"/>
      <c r="AC20" s="344"/>
      <c r="AD20" s="345"/>
      <c r="AE20" s="344"/>
      <c r="AF20" s="345"/>
      <c r="AG20" s="344"/>
      <c r="AH20" s="345"/>
      <c r="AI20" s="346"/>
      <c r="AJ20" s="345"/>
      <c r="AK20" s="346"/>
      <c r="AL20" s="345"/>
      <c r="AM20" s="346"/>
      <c r="AN20" s="345"/>
      <c r="AO20" s="344"/>
      <c r="AP20" s="357"/>
      <c r="AQ20" s="350"/>
      <c r="AR20" s="349"/>
      <c r="AS20" s="350"/>
      <c r="AT20" s="345"/>
      <c r="AU20" s="346"/>
      <c r="AV20" s="345"/>
      <c r="AW20" s="346"/>
      <c r="AX20" s="345"/>
      <c r="AY20" s="346"/>
      <c r="AZ20" s="345"/>
      <c r="BA20" s="346"/>
      <c r="BB20" s="345"/>
      <c r="BC20" s="346"/>
      <c r="BD20" s="345"/>
      <c r="BE20" s="346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488">
        <f>(AQ20)</f>
        <v>0</v>
      </c>
      <c r="CZ20" s="368">
        <f t="shared" si="5"/>
        <v>37152</v>
      </c>
    </row>
    <row r="21" spans="1:104" ht="16.2" thickBot="1" x14ac:dyDescent="0.35">
      <c r="A21" s="205" t="s">
        <v>245</v>
      </c>
      <c r="B21" s="205">
        <f>B20+1</f>
        <v>37155</v>
      </c>
      <c r="C21" s="32">
        <f>'EOL LINKS'!B5</f>
        <v>37</v>
      </c>
      <c r="D21" s="32">
        <f>'EOL LINKS'!C5</f>
        <v>37.5</v>
      </c>
      <c r="E21" s="78">
        <f t="shared" si="1"/>
        <v>37.25</v>
      </c>
      <c r="F21" s="398">
        <v>0</v>
      </c>
      <c r="G21" s="177">
        <f t="shared" si="2"/>
        <v>37.25</v>
      </c>
      <c r="H21" s="153">
        <f t="shared" si="7"/>
        <v>1260.5752961082912</v>
      </c>
      <c r="I21" s="378">
        <f t="shared" si="8"/>
        <v>0</v>
      </c>
      <c r="J21" s="435">
        <f t="shared" si="9"/>
        <v>36.294444444444444</v>
      </c>
      <c r="K21" s="178">
        <f t="shared" si="3"/>
        <v>0</v>
      </c>
      <c r="L21" s="51"/>
      <c r="M21" s="51"/>
      <c r="N21" s="38"/>
      <c r="R21" s="452">
        <v>0</v>
      </c>
      <c r="S21" s="482">
        <f>'Zone G'!CF18</f>
        <v>3.9722222222222223</v>
      </c>
      <c r="U21" s="368">
        <f t="shared" si="6"/>
        <v>37153</v>
      </c>
      <c r="V21" s="342"/>
      <c r="W21" s="344"/>
      <c r="X21" s="345"/>
      <c r="Y21" s="344"/>
      <c r="Z21" s="345"/>
      <c r="AA21" s="344"/>
      <c r="AB21" s="345"/>
      <c r="AC21" s="344"/>
      <c r="AD21" s="345"/>
      <c r="AE21" s="344"/>
      <c r="AF21" s="345"/>
      <c r="AG21" s="344"/>
      <c r="AH21" s="345"/>
      <c r="AI21" s="346"/>
      <c r="AJ21" s="345"/>
      <c r="AK21" s="346"/>
      <c r="AL21" s="345"/>
      <c r="AM21" s="346"/>
      <c r="AN21" s="345"/>
      <c r="AO21" s="344"/>
      <c r="AP21" s="357"/>
      <c r="AQ21" s="350"/>
      <c r="AR21" s="349"/>
      <c r="AS21" s="350"/>
      <c r="AT21" s="345"/>
      <c r="AU21" s="346"/>
      <c r="AV21" s="345"/>
      <c r="AW21" s="346"/>
      <c r="AX21" s="345"/>
      <c r="AY21" s="346"/>
      <c r="AZ21" s="345"/>
      <c r="BA21" s="346"/>
      <c r="BB21" s="345"/>
      <c r="BC21" s="346"/>
      <c r="BD21" s="345"/>
      <c r="BE21" s="346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488">
        <f>(AQ21)</f>
        <v>0</v>
      </c>
      <c r="CZ21" s="368">
        <f t="shared" si="5"/>
        <v>37153</v>
      </c>
    </row>
    <row r="22" spans="1:104" ht="16.2" thickBot="1" x14ac:dyDescent="0.35">
      <c r="A22" s="399" t="s">
        <v>241</v>
      </c>
      <c r="B22" s="399">
        <f>B21+3</f>
        <v>37158</v>
      </c>
      <c r="C22" s="398">
        <f>'EOL LINKS'!B5</f>
        <v>37</v>
      </c>
      <c r="D22" s="398">
        <f>'EOL LINKS'!C5</f>
        <v>37.5</v>
      </c>
      <c r="E22" s="387">
        <f t="shared" si="1"/>
        <v>37.25</v>
      </c>
      <c r="F22" s="398">
        <v>0</v>
      </c>
      <c r="G22" s="389">
        <f t="shared" si="2"/>
        <v>37.25</v>
      </c>
      <c r="H22" s="390">
        <f t="shared" si="7"/>
        <v>1260.5752961082912</v>
      </c>
      <c r="I22" s="377">
        <f t="shared" si="8"/>
        <v>0</v>
      </c>
      <c r="J22" s="434">
        <f t="shared" si="9"/>
        <v>36.660714285714285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G'!CF19</f>
        <v>36.294444444444444</v>
      </c>
      <c r="U22" s="368">
        <f t="shared" si="6"/>
        <v>37154</v>
      </c>
      <c r="V22" s="342"/>
      <c r="W22" s="344"/>
      <c r="X22" s="345"/>
      <c r="Y22" s="344"/>
      <c r="Z22" s="345"/>
      <c r="AA22" s="344"/>
      <c r="AB22" s="345"/>
      <c r="AC22" s="344"/>
      <c r="AD22" s="345"/>
      <c r="AE22" s="344"/>
      <c r="AF22" s="345"/>
      <c r="AG22" s="344"/>
      <c r="AH22" s="345"/>
      <c r="AI22" s="346"/>
      <c r="AJ22" s="345"/>
      <c r="AK22" s="346"/>
      <c r="AL22" s="345"/>
      <c r="AM22" s="346"/>
      <c r="AN22" s="342"/>
      <c r="AO22" s="343"/>
      <c r="AP22" s="357"/>
      <c r="AQ22" s="350"/>
      <c r="AR22" s="349"/>
      <c r="AS22" s="350"/>
      <c r="AT22" s="345"/>
      <c r="AU22" s="346"/>
      <c r="AV22" s="345"/>
      <c r="AW22" s="346"/>
      <c r="AX22" s="345"/>
      <c r="AY22" s="346"/>
      <c r="AZ22" s="345"/>
      <c r="BA22" s="346"/>
      <c r="BB22" s="345"/>
      <c r="BC22" s="346"/>
      <c r="BD22" s="345"/>
      <c r="BE22" s="346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488">
        <f>(W22+Y22+AA22+AC22)/4</f>
        <v>0</v>
      </c>
      <c r="CZ22" s="368">
        <f t="shared" si="5"/>
        <v>37154</v>
      </c>
    </row>
    <row r="23" spans="1:104" ht="16.2" thickBot="1" x14ac:dyDescent="0.35">
      <c r="A23" s="324" t="s">
        <v>242</v>
      </c>
      <c r="B23" s="324">
        <f>B22+1</f>
        <v>37159</v>
      </c>
      <c r="C23" s="328">
        <f>'EOL LINKS'!B5</f>
        <v>37</v>
      </c>
      <c r="D23" s="328">
        <f>'EOL LINKS'!C5</f>
        <v>37.5</v>
      </c>
      <c r="E23" s="372">
        <f t="shared" si="1"/>
        <v>37.25</v>
      </c>
      <c r="F23" s="398">
        <v>0</v>
      </c>
      <c r="G23" s="201">
        <f t="shared" si="2"/>
        <v>37.25</v>
      </c>
      <c r="H23" s="172">
        <f t="shared" si="7"/>
        <v>1260.5752961082912</v>
      </c>
      <c r="I23" s="377">
        <f t="shared" si="8"/>
        <v>0</v>
      </c>
      <c r="J23" s="432">
        <f t="shared" si="9"/>
        <v>36.660714285714285</v>
      </c>
      <c r="K23" s="420">
        <f t="shared" si="3"/>
        <v>0</v>
      </c>
      <c r="L23" s="51"/>
      <c r="M23" s="46" t="s">
        <v>34</v>
      </c>
      <c r="N23" s="64"/>
      <c r="O23" s="43"/>
      <c r="P23" s="44">
        <v>0</v>
      </c>
      <c r="Q23" s="49"/>
      <c r="R23" s="452">
        <v>0</v>
      </c>
      <c r="S23" s="482">
        <f>'Zone G'!CF20</f>
        <v>36.294444444444444</v>
      </c>
      <c r="U23" s="368">
        <f t="shared" si="6"/>
        <v>37155</v>
      </c>
      <c r="V23" s="342"/>
      <c r="W23" s="344"/>
      <c r="X23" s="345"/>
      <c r="Y23" s="344"/>
      <c r="Z23" s="345"/>
      <c r="AA23" s="344"/>
      <c r="AB23" s="345"/>
      <c r="AC23" s="344"/>
      <c r="AD23" s="345"/>
      <c r="AE23" s="344"/>
      <c r="AF23" s="345"/>
      <c r="AG23" s="344"/>
      <c r="AH23" s="345"/>
      <c r="AI23" s="346"/>
      <c r="AJ23" s="345"/>
      <c r="AK23" s="346"/>
      <c r="AL23" s="345"/>
      <c r="AM23" s="346"/>
      <c r="AN23" s="342"/>
      <c r="AO23" s="343"/>
      <c r="AP23" s="357"/>
      <c r="AQ23" s="350"/>
      <c r="AR23" s="349"/>
      <c r="AS23" s="350"/>
      <c r="AT23" s="345"/>
      <c r="AU23" s="346"/>
      <c r="AV23" s="345"/>
      <c r="AW23" s="346"/>
      <c r="AX23" s="345"/>
      <c r="AY23" s="346"/>
      <c r="AZ23" s="345"/>
      <c r="BA23" s="346"/>
      <c r="BB23" s="345"/>
      <c r="BC23" s="346"/>
      <c r="BD23" s="345"/>
      <c r="BE23" s="346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488">
        <f>(W23+Y23+AA23+AC23)/4</f>
        <v>0</v>
      </c>
      <c r="CZ23" s="368">
        <f t="shared" si="5"/>
        <v>37155</v>
      </c>
    </row>
    <row r="24" spans="1:104" ht="16.2" thickBot="1" x14ac:dyDescent="0.35">
      <c r="A24" s="325" t="s">
        <v>243</v>
      </c>
      <c r="B24" s="324">
        <f>B23+1</f>
        <v>37160</v>
      </c>
      <c r="C24" s="327">
        <f>'EOL LINKS'!B7</f>
        <v>33.5</v>
      </c>
      <c r="D24" s="327">
        <f>'EOL LINKS'!C7</f>
        <v>33.75</v>
      </c>
      <c r="E24" s="373">
        <f t="shared" si="1"/>
        <v>33.625</v>
      </c>
      <c r="F24" s="398">
        <v>33.75</v>
      </c>
      <c r="G24" s="72">
        <f t="shared" si="2"/>
        <v>-0.125</v>
      </c>
      <c r="H24" s="100">
        <f t="shared" si="7"/>
        <v>1260.5752961082912</v>
      </c>
      <c r="I24" s="377">
        <f t="shared" si="8"/>
        <v>-500</v>
      </c>
      <c r="J24" s="432">
        <f t="shared" si="9"/>
        <v>36.660714285714285</v>
      </c>
      <c r="K24" s="421">
        <f t="shared" si="3"/>
        <v>1000</v>
      </c>
      <c r="L24" s="51"/>
      <c r="M24" s="67" t="s">
        <v>35</v>
      </c>
      <c r="N24" s="65"/>
      <c r="O24" s="43"/>
      <c r="P24" s="44">
        <v>0</v>
      </c>
      <c r="Q24" s="49"/>
      <c r="R24" s="452">
        <v>0</v>
      </c>
      <c r="S24" s="482">
        <f>'Zone G'!CF21</f>
        <v>36.660714285714285</v>
      </c>
      <c r="U24" s="368">
        <f t="shared" si="6"/>
        <v>37158</v>
      </c>
      <c r="V24" s="342"/>
      <c r="W24" s="344"/>
      <c r="X24" s="345"/>
      <c r="Y24" s="344"/>
      <c r="Z24" s="345"/>
      <c r="AA24" s="344"/>
      <c r="AB24" s="345"/>
      <c r="AC24" s="344"/>
      <c r="AD24" s="345"/>
      <c r="AE24" s="358"/>
      <c r="AF24" s="345"/>
      <c r="AG24" s="344"/>
      <c r="AH24" s="345"/>
      <c r="AI24" s="346"/>
      <c r="AJ24" s="345"/>
      <c r="AK24" s="346"/>
      <c r="AL24" s="345"/>
      <c r="AM24" s="346"/>
      <c r="AN24" s="342"/>
      <c r="AO24" s="343"/>
      <c r="AP24" s="357"/>
      <c r="AQ24" s="350"/>
      <c r="AR24" s="349"/>
      <c r="AS24" s="350"/>
      <c r="AT24" s="345"/>
      <c r="AU24" s="346"/>
      <c r="AV24" s="345"/>
      <c r="AW24" s="346"/>
      <c r="AX24" s="345"/>
      <c r="AY24" s="346"/>
      <c r="AZ24" s="345"/>
      <c r="BA24" s="346"/>
      <c r="BB24" s="345"/>
      <c r="BC24" s="346"/>
      <c r="BD24" s="345"/>
      <c r="BE24" s="346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488">
        <f>(W24+Y24+AA24+AC24+AE24+AG24+AI24+AK24)/8</f>
        <v>0</v>
      </c>
      <c r="CZ24" s="368">
        <f t="shared" si="5"/>
        <v>37158</v>
      </c>
    </row>
    <row r="25" spans="1:104" ht="16.2" thickBot="1" x14ac:dyDescent="0.35">
      <c r="A25" s="325" t="s">
        <v>244</v>
      </c>
      <c r="B25" s="324">
        <f>B24+1</f>
        <v>37161</v>
      </c>
      <c r="C25" s="327">
        <f t="shared" ref="C25:D26" si="10">C24</f>
        <v>33.5</v>
      </c>
      <c r="D25" s="327">
        <f t="shared" si="10"/>
        <v>33.75</v>
      </c>
      <c r="E25" s="373">
        <f t="shared" si="1"/>
        <v>33.625</v>
      </c>
      <c r="F25" s="398">
        <v>33.75</v>
      </c>
      <c r="G25" s="72">
        <f t="shared" si="2"/>
        <v>-0.125</v>
      </c>
      <c r="H25" s="100">
        <f t="shared" si="7"/>
        <v>1260.5752961082912</v>
      </c>
      <c r="I25" s="377">
        <f t="shared" si="8"/>
        <v>-500</v>
      </c>
      <c r="J25" s="432">
        <f t="shared" si="9"/>
        <v>36.660714285714285</v>
      </c>
      <c r="K25" s="421">
        <f t="shared" si="3"/>
        <v>1000</v>
      </c>
      <c r="L25" s="51"/>
      <c r="M25" s="46" t="s">
        <v>31</v>
      </c>
      <c r="N25" s="66"/>
      <c r="O25" s="101"/>
      <c r="P25" s="44">
        <v>0</v>
      </c>
      <c r="Q25" s="49"/>
      <c r="R25" s="452">
        <v>0</v>
      </c>
      <c r="S25" s="482">
        <f>'Zone G'!CF22</f>
        <v>36.660714285714285</v>
      </c>
      <c r="U25" s="368">
        <f t="shared" si="6"/>
        <v>37159</v>
      </c>
      <c r="V25" s="342"/>
      <c r="W25" s="344"/>
      <c r="X25" s="345"/>
      <c r="Y25" s="344"/>
      <c r="Z25" s="345"/>
      <c r="AA25" s="344"/>
      <c r="AB25" s="345"/>
      <c r="AC25" s="344"/>
      <c r="AD25" s="342"/>
      <c r="AE25" s="344"/>
      <c r="AF25" s="345"/>
      <c r="AG25" s="344"/>
      <c r="AH25" s="345"/>
      <c r="AI25" s="346"/>
      <c r="AJ25" s="345"/>
      <c r="AK25" s="346"/>
      <c r="AL25" s="345"/>
      <c r="AM25" s="346"/>
      <c r="AN25" s="342"/>
      <c r="AO25" s="343"/>
      <c r="AP25" s="357"/>
      <c r="AQ25" s="350"/>
      <c r="AR25" s="349"/>
      <c r="AS25" s="350"/>
      <c r="AT25" s="345"/>
      <c r="AU25" s="346"/>
      <c r="AV25" s="345"/>
      <c r="AW25" s="346"/>
      <c r="AX25" s="345"/>
      <c r="AY25" s="346"/>
      <c r="AZ25" s="345"/>
      <c r="BA25" s="346"/>
      <c r="BB25" s="345"/>
      <c r="BC25" s="346"/>
      <c r="BD25" s="345"/>
      <c r="BE25" s="346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488">
        <f>(W25+Y25+AA25+AC25+AE25+AG25+AI25+AK25)/8</f>
        <v>0</v>
      </c>
      <c r="CZ25" s="368">
        <f t="shared" si="5"/>
        <v>37159</v>
      </c>
    </row>
    <row r="26" spans="1:104" ht="16.2" thickBot="1" x14ac:dyDescent="0.35">
      <c r="A26" s="370" t="s">
        <v>245</v>
      </c>
      <c r="B26" s="370">
        <f>B25+1</f>
        <v>37162</v>
      </c>
      <c r="C26" s="326">
        <f t="shared" si="10"/>
        <v>33.5</v>
      </c>
      <c r="D26" s="326">
        <f t="shared" si="10"/>
        <v>33.75</v>
      </c>
      <c r="E26" s="371">
        <f t="shared" si="1"/>
        <v>33.625</v>
      </c>
      <c r="F26" s="398">
        <v>33.75</v>
      </c>
      <c r="G26" s="177">
        <f t="shared" si="2"/>
        <v>-0.125</v>
      </c>
      <c r="H26" s="153">
        <f t="shared" si="7"/>
        <v>1260.5752961082912</v>
      </c>
      <c r="I26" s="378">
        <f t="shared" si="8"/>
        <v>-500</v>
      </c>
      <c r="J26" s="435">
        <f t="shared" si="9"/>
        <v>36.660714285714285</v>
      </c>
      <c r="K26" s="422">
        <f t="shared" si="3"/>
        <v>1000</v>
      </c>
      <c r="L26" s="51"/>
      <c r="M26" s="22"/>
      <c r="N26" s="47"/>
      <c r="O26" s="49"/>
      <c r="P26" s="22"/>
      <c r="Q26" s="22"/>
      <c r="R26" s="452">
        <f>'Zone G'!CE23</f>
        <v>-500</v>
      </c>
      <c r="S26" s="482">
        <f>'Zone G'!CF23</f>
        <v>36.660714285714285</v>
      </c>
      <c r="U26" s="368">
        <f t="shared" si="6"/>
        <v>37160</v>
      </c>
      <c r="V26" s="342">
        <v>-50</v>
      </c>
      <c r="W26" s="344">
        <v>34</v>
      </c>
      <c r="X26" s="345">
        <v>-50</v>
      </c>
      <c r="Y26" s="344">
        <v>34.5</v>
      </c>
      <c r="Z26" s="345">
        <v>50</v>
      </c>
      <c r="AA26" s="344">
        <v>35</v>
      </c>
      <c r="AB26" s="345">
        <v>50</v>
      </c>
      <c r="AC26" s="344">
        <v>34.75</v>
      </c>
      <c r="AD26" s="345">
        <v>50</v>
      </c>
      <c r="AE26" s="358">
        <v>34.5</v>
      </c>
      <c r="AF26" s="345">
        <v>50</v>
      </c>
      <c r="AG26" s="344">
        <v>34</v>
      </c>
      <c r="AH26" s="345">
        <v>50</v>
      </c>
      <c r="AI26" s="346">
        <v>33</v>
      </c>
      <c r="AJ26" s="345"/>
      <c r="AK26" s="346"/>
      <c r="AL26" s="345"/>
      <c r="AM26" s="346"/>
      <c r="AN26" s="345"/>
      <c r="AO26" s="346"/>
      <c r="AP26" s="357"/>
      <c r="AQ26" s="350"/>
      <c r="AR26" s="349"/>
      <c r="AS26" s="350"/>
      <c r="AT26" s="345"/>
      <c r="AU26" s="346"/>
      <c r="AV26" s="345"/>
      <c r="AW26" s="346"/>
      <c r="AX26" s="345"/>
      <c r="AY26" s="346"/>
      <c r="AZ26" s="345"/>
      <c r="BA26" s="346"/>
      <c r="BB26" s="345"/>
      <c r="BC26" s="346"/>
      <c r="BD26" s="345"/>
      <c r="BE26" s="346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150</v>
      </c>
      <c r="CY26" s="488">
        <f>(W26+Y26+AA26+AC26+AE26+AG26+AI26)/7</f>
        <v>34.25</v>
      </c>
      <c r="CZ26" s="368">
        <f t="shared" si="5"/>
        <v>37160</v>
      </c>
    </row>
    <row r="27" spans="1:104" ht="16.2" thickBot="1" x14ac:dyDescent="0.35">
      <c r="A27" s="410"/>
      <c r="B27" s="324">
        <f>B26+1</f>
        <v>37163</v>
      </c>
      <c r="C27" s="411"/>
      <c r="D27" s="411"/>
      <c r="E27" s="392"/>
      <c r="F27" s="393"/>
      <c r="G27" s="383">
        <f t="shared" si="2"/>
        <v>0</v>
      </c>
      <c r="H27" s="384">
        <f t="shared" si="7"/>
        <v>1260.5752961082912</v>
      </c>
      <c r="I27" s="204">
        <f>CX29</f>
        <v>0</v>
      </c>
      <c r="J27" s="176"/>
      <c r="K27" s="385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G'!CE24</f>
        <v>-500</v>
      </c>
      <c r="S27" s="482">
        <f>'Zone G'!CF24</f>
        <v>36.660714285714285</v>
      </c>
      <c r="U27" s="368">
        <f t="shared" si="6"/>
        <v>37161</v>
      </c>
      <c r="V27" s="342">
        <v>-50</v>
      </c>
      <c r="W27" s="344">
        <v>34</v>
      </c>
      <c r="X27" s="345">
        <v>-50</v>
      </c>
      <c r="Y27" s="344">
        <v>34.5</v>
      </c>
      <c r="Z27" s="345">
        <v>50</v>
      </c>
      <c r="AA27" s="344">
        <v>35</v>
      </c>
      <c r="AB27" s="345">
        <v>50</v>
      </c>
      <c r="AC27" s="344">
        <v>34.75</v>
      </c>
      <c r="AD27" s="342">
        <v>50</v>
      </c>
      <c r="AE27" s="344">
        <v>34.5</v>
      </c>
      <c r="AF27" s="345">
        <v>50</v>
      </c>
      <c r="AG27" s="344">
        <v>34</v>
      </c>
      <c r="AH27" s="345">
        <v>50</v>
      </c>
      <c r="AI27" s="346">
        <v>33</v>
      </c>
      <c r="AJ27" s="345"/>
      <c r="AK27" s="346"/>
      <c r="AL27" s="345"/>
      <c r="AM27" s="346"/>
      <c r="AN27" s="342"/>
      <c r="AO27" s="343"/>
      <c r="AP27" s="357"/>
      <c r="AQ27" s="350"/>
      <c r="AR27" s="349"/>
      <c r="AS27" s="350"/>
      <c r="AT27" s="345"/>
      <c r="AU27" s="346"/>
      <c r="AV27" s="345"/>
      <c r="AW27" s="346"/>
      <c r="AX27" s="345"/>
      <c r="AY27" s="346"/>
      <c r="AZ27" s="345"/>
      <c r="BA27" s="346"/>
      <c r="BB27" s="345"/>
      <c r="BC27" s="346"/>
      <c r="BD27" s="345"/>
      <c r="BE27" s="346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150</v>
      </c>
      <c r="CY27" s="488">
        <f>(W27+Y27+AA27+AC27+AE27+AG27+AI27)/7</f>
        <v>34.25</v>
      </c>
      <c r="CZ27" s="368">
        <f t="shared" si="5"/>
        <v>37161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1">SUM(C7:C27)/21</f>
        <v>34.071428571428569</v>
      </c>
      <c r="D28" s="211">
        <f t="shared" si="11"/>
        <v>34.595238095238095</v>
      </c>
      <c r="E28" s="211">
        <f t="shared" si="11"/>
        <v>34.333333333333336</v>
      </c>
      <c r="F28" s="211">
        <f t="shared" si="11"/>
        <v>4.8214285714285712</v>
      </c>
      <c r="G28" s="211">
        <f t="shared" si="11"/>
        <v>29.511904761904763</v>
      </c>
      <c r="H28" s="216">
        <f t="shared" si="11"/>
        <v>1234.3888486020464</v>
      </c>
      <c r="I28" s="216"/>
      <c r="J28" s="216"/>
      <c r="K28" s="213">
        <f>SUM(K7:K27)</f>
        <v>3000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G'!CE25</f>
        <v>-500</v>
      </c>
      <c r="S28" s="483">
        <f>'Zone G'!CF25</f>
        <v>36.660714285714285</v>
      </c>
      <c r="U28" s="368">
        <f t="shared" si="6"/>
        <v>37162</v>
      </c>
      <c r="V28" s="342">
        <v>-50</v>
      </c>
      <c r="W28" s="344">
        <v>34</v>
      </c>
      <c r="X28" s="345">
        <v>-50</v>
      </c>
      <c r="Y28" s="344">
        <v>34.5</v>
      </c>
      <c r="Z28" s="345">
        <v>50</v>
      </c>
      <c r="AA28" s="344">
        <v>35</v>
      </c>
      <c r="AB28" s="345">
        <v>50</v>
      </c>
      <c r="AC28" s="344">
        <v>34.75</v>
      </c>
      <c r="AD28" s="345">
        <v>50</v>
      </c>
      <c r="AE28" s="358">
        <v>34.5</v>
      </c>
      <c r="AF28" s="345">
        <v>50</v>
      </c>
      <c r="AG28" s="344">
        <v>34</v>
      </c>
      <c r="AH28" s="345">
        <v>50</v>
      </c>
      <c r="AI28" s="346">
        <v>33</v>
      </c>
      <c r="AJ28" s="345"/>
      <c r="AK28" s="346"/>
      <c r="AL28" s="345"/>
      <c r="AM28" s="346"/>
      <c r="AN28" s="342"/>
      <c r="AO28" s="343"/>
      <c r="AP28" s="357"/>
      <c r="AQ28" s="350"/>
      <c r="AR28" s="349"/>
      <c r="AS28" s="350"/>
      <c r="AT28" s="345"/>
      <c r="AU28" s="346"/>
      <c r="AV28" s="345"/>
      <c r="AW28" s="346"/>
      <c r="AX28" s="345"/>
      <c r="AY28" s="346"/>
      <c r="AZ28" s="345"/>
      <c r="BA28" s="346"/>
      <c r="BB28" s="345"/>
      <c r="BC28" s="346"/>
      <c r="BD28" s="345"/>
      <c r="BE28" s="346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150</v>
      </c>
      <c r="CY28" s="488">
        <f>(W28+Y28+AA28+AC28+AE28+AG28+AI28)/7</f>
        <v>34.25</v>
      </c>
      <c r="CZ28" s="368">
        <f t="shared" si="5"/>
        <v>37162</v>
      </c>
    </row>
    <row r="29" spans="1:104" ht="16.2" thickBot="1" x14ac:dyDescent="0.35">
      <c r="A29" s="155"/>
      <c r="B29" s="155"/>
      <c r="C29" s="157">
        <f>'EOL LINKS'!B5</f>
        <v>37</v>
      </c>
      <c r="D29" s="157">
        <f>'EOL LINKS'!C5</f>
        <v>37.5</v>
      </c>
      <c r="E29" s="179">
        <f>(C29+D29)/2</f>
        <v>37.25</v>
      </c>
      <c r="F29" s="175"/>
      <c r="G29" s="180">
        <f>E29-F29</f>
        <v>37.25</v>
      </c>
      <c r="H29" s="192">
        <f>'EOL LINKS'!I4</f>
        <v>1260.5752961082912</v>
      </c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5"/>
      <c r="W29" s="344"/>
      <c r="X29" s="345"/>
      <c r="Y29" s="346"/>
      <c r="Z29" s="345"/>
      <c r="AA29" s="346"/>
      <c r="AB29" s="345"/>
      <c r="AC29" s="344"/>
      <c r="AD29" s="345"/>
      <c r="AE29" s="344"/>
      <c r="AF29" s="345"/>
      <c r="AG29" s="344"/>
      <c r="AH29" s="342"/>
      <c r="AI29" s="344"/>
      <c r="AJ29" s="345"/>
      <c r="AK29" s="344"/>
      <c r="AL29" s="345"/>
      <c r="AM29" s="344"/>
      <c r="AN29" s="345"/>
      <c r="AO29" s="346"/>
      <c r="AP29" s="345"/>
      <c r="AQ29" s="346"/>
      <c r="AR29" s="345"/>
      <c r="AS29" s="346"/>
      <c r="AT29" s="342"/>
      <c r="AU29" s="343"/>
      <c r="AV29" s="357"/>
      <c r="AW29" s="350"/>
      <c r="AX29" s="349"/>
      <c r="AY29" s="350"/>
      <c r="AZ29" s="345"/>
      <c r="BA29" s="346"/>
      <c r="BB29" s="345"/>
      <c r="BC29" s="346"/>
      <c r="BD29" s="345"/>
      <c r="BE29" s="346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>
        <f t="shared" si="4"/>
        <v>0</v>
      </c>
      <c r="CY29" s="352">
        <f>IF(AND(CX29=0,DB29=0),0,(DE29+DF29)/DB29)</f>
        <v>0</v>
      </c>
      <c r="CZ29" s="368">
        <f t="shared" si="5"/>
        <v>37163</v>
      </c>
    </row>
    <row r="30" spans="1:104" ht="16.2" thickBot="1" x14ac:dyDescent="0.35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487">
        <f>((O28*8)+(O29*16))/24</f>
        <v>20</v>
      </c>
      <c r="P30" s="22"/>
      <c r="Q30" s="22"/>
      <c r="R30" s="442"/>
      <c r="S30" s="263"/>
      <c r="U30" s="368">
        <v>37164</v>
      </c>
      <c r="V30" s="471"/>
      <c r="W30" s="484"/>
      <c r="X30" s="471"/>
      <c r="Y30" s="360"/>
      <c r="Z30" s="471"/>
      <c r="AA30" s="360"/>
      <c r="AB30" s="471"/>
      <c r="AC30" s="484"/>
      <c r="AD30" s="471"/>
      <c r="AE30" s="484"/>
      <c r="AF30" s="471"/>
      <c r="AG30" s="484"/>
      <c r="AH30" s="471"/>
      <c r="AI30" s="360"/>
      <c r="AJ30" s="471"/>
      <c r="AK30" s="484"/>
      <c r="AL30" s="471"/>
      <c r="AM30" s="484"/>
      <c r="AN30" s="471"/>
      <c r="AO30" s="360"/>
      <c r="AP30" s="345"/>
      <c r="AQ30" s="346"/>
      <c r="AR30" s="471"/>
      <c r="AS30" s="360"/>
      <c r="AT30" s="471"/>
      <c r="AU30" s="360"/>
      <c r="AV30" s="476"/>
      <c r="AW30" s="477"/>
      <c r="AX30" s="478"/>
      <c r="AY30" s="477"/>
      <c r="AZ30" s="471"/>
      <c r="BA30" s="360"/>
      <c r="BB30" s="471"/>
      <c r="BC30" s="360"/>
      <c r="BD30" s="471"/>
      <c r="BE30" s="360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>
        <f t="shared" si="4"/>
        <v>0</v>
      </c>
      <c r="CY30" s="480">
        <f>IF(AND(CX30=0,DB30=0),0,(DE30+DF30)/DB30)</f>
        <v>0</v>
      </c>
      <c r="CZ30" s="481">
        <f t="shared" si="5"/>
        <v>37164</v>
      </c>
    </row>
    <row r="31" spans="1:104" ht="16.2" thickBot="1" x14ac:dyDescent="0.35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7"/>
      <c r="X31" s="460"/>
      <c r="Y31" s="467"/>
      <c r="Z31" s="460"/>
      <c r="AA31" s="459"/>
      <c r="AB31" s="460"/>
      <c r="AC31" s="467"/>
      <c r="AD31" s="460"/>
      <c r="AE31" s="467"/>
      <c r="AF31" s="460"/>
      <c r="AG31" s="467"/>
      <c r="AH31" s="460"/>
      <c r="AI31" s="459"/>
      <c r="AJ31" s="460"/>
      <c r="AK31" s="467"/>
      <c r="AL31" s="460"/>
      <c r="AM31" s="467"/>
      <c r="AN31" s="460"/>
      <c r="AO31" s="459"/>
      <c r="AP31" s="460"/>
      <c r="AQ31" s="459"/>
      <c r="AR31" s="460"/>
      <c r="AS31" s="459"/>
      <c r="AT31" s="460"/>
      <c r="AU31" s="459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2" thickBot="1" x14ac:dyDescent="0.35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3000</v>
      </c>
      <c r="L32" s="51"/>
      <c r="M32" s="51"/>
      <c r="N32" s="22"/>
      <c r="Q32" s="58"/>
      <c r="R32" s="442"/>
      <c r="S32" s="263"/>
      <c r="U32" s="461"/>
      <c r="V32" s="460"/>
      <c r="W32" s="467"/>
      <c r="X32" s="460"/>
      <c r="Y32" s="459"/>
      <c r="Z32" s="460"/>
      <c r="AA32" s="459"/>
      <c r="AB32" s="460"/>
      <c r="AC32" s="467"/>
      <c r="AD32" s="460"/>
      <c r="AE32" s="467"/>
      <c r="AF32" s="460"/>
      <c r="AG32" s="467"/>
      <c r="AH32" s="460"/>
      <c r="AI32" s="467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59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6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7"/>
      <c r="X33" s="460"/>
      <c r="Y33" s="459"/>
      <c r="Z33" s="460"/>
      <c r="AA33" s="459"/>
      <c r="AB33" s="460"/>
      <c r="AC33" s="467"/>
      <c r="AD33" s="460"/>
      <c r="AE33" s="467"/>
      <c r="AF33" s="460"/>
      <c r="AG33" s="467"/>
      <c r="AH33" s="460"/>
      <c r="AI33" s="467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59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6" x14ac:dyDescent="0.3">
      <c r="C34" s="56"/>
      <c r="E34" s="50"/>
      <c r="N34" s="22"/>
      <c r="O34" s="58"/>
      <c r="P34" s="58"/>
      <c r="R34" s="443"/>
      <c r="S34" s="437"/>
      <c r="U34" s="461"/>
      <c r="V34" s="460"/>
      <c r="W34" s="467"/>
      <c r="X34" s="460"/>
      <c r="Y34" s="459"/>
      <c r="Z34" s="460"/>
      <c r="AA34" s="459"/>
      <c r="AB34" s="460"/>
      <c r="AC34" s="467"/>
      <c r="AD34" s="460"/>
      <c r="AE34" s="467"/>
      <c r="AF34" s="460"/>
      <c r="AG34" s="467"/>
      <c r="AH34" s="460"/>
      <c r="AI34" s="467"/>
      <c r="AJ34" s="460"/>
      <c r="AK34" s="459"/>
      <c r="AL34" s="460"/>
      <c r="AM34" s="467"/>
      <c r="AN34" s="460"/>
      <c r="AO34" s="459"/>
      <c r="AP34" s="460"/>
      <c r="AQ34" s="459"/>
      <c r="AR34" s="460"/>
      <c r="AS34" s="459"/>
      <c r="AT34" s="460"/>
      <c r="AU34" s="459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6" x14ac:dyDescent="0.3">
      <c r="C35" s="56"/>
      <c r="E35" s="50"/>
      <c r="R35" s="443"/>
      <c r="S35" s="437"/>
      <c r="U35" s="461"/>
      <c r="V35" s="460"/>
      <c r="W35" s="467"/>
      <c r="X35" s="460"/>
      <c r="Y35" s="459"/>
      <c r="Z35" s="460"/>
      <c r="AA35" s="459"/>
      <c r="AB35" s="460"/>
      <c r="AC35" s="467"/>
      <c r="AD35" s="460"/>
      <c r="AE35" s="467"/>
      <c r="AF35" s="460"/>
      <c r="AG35" s="467"/>
      <c r="AH35" s="460"/>
      <c r="AI35" s="467"/>
      <c r="AJ35" s="460"/>
      <c r="AK35" s="459"/>
      <c r="AL35" s="460"/>
      <c r="AM35" s="467"/>
      <c r="AN35" s="460"/>
      <c r="AO35" s="459"/>
      <c r="AP35" s="460"/>
      <c r="AQ35" s="459"/>
      <c r="AR35" s="460"/>
      <c r="AS35" s="459"/>
      <c r="AT35" s="460"/>
      <c r="AU35" s="459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6" x14ac:dyDescent="0.3">
      <c r="C36" s="56"/>
      <c r="E36" s="50"/>
      <c r="R36" s="443"/>
      <c r="S36" s="437"/>
      <c r="U36" s="461"/>
      <c r="V36" s="460"/>
      <c r="W36" s="467"/>
      <c r="X36" s="460"/>
      <c r="Y36" s="459"/>
      <c r="Z36" s="460"/>
      <c r="AA36" s="459"/>
      <c r="AB36" s="460"/>
      <c r="AC36" s="467"/>
      <c r="AD36" s="460"/>
      <c r="AE36" s="467"/>
      <c r="AF36" s="460"/>
      <c r="AG36" s="467"/>
      <c r="AH36" s="460"/>
      <c r="AI36" s="467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59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6" x14ac:dyDescent="0.3">
      <c r="C37" s="56"/>
      <c r="E37" s="50"/>
      <c r="R37" s="443"/>
      <c r="S37" s="437"/>
      <c r="U37" s="461"/>
      <c r="V37" s="460"/>
      <c r="W37" s="467"/>
      <c r="X37" s="460"/>
      <c r="Y37" s="459"/>
      <c r="Z37" s="460"/>
      <c r="AA37" s="459"/>
      <c r="AB37" s="460"/>
      <c r="AC37" s="467"/>
      <c r="AD37" s="460"/>
      <c r="AE37" s="467"/>
      <c r="AF37" s="460"/>
      <c r="AG37" s="467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43"/>
      <c r="S38" s="437"/>
      <c r="U38" s="461"/>
      <c r="V38" s="460"/>
      <c r="W38" s="467"/>
      <c r="X38" s="460"/>
      <c r="Y38" s="467"/>
      <c r="Z38" s="460"/>
      <c r="AA38" s="467"/>
      <c r="AB38" s="460"/>
      <c r="AC38" s="467"/>
      <c r="AD38" s="460"/>
      <c r="AE38" s="467"/>
      <c r="AF38" s="460"/>
      <c r="AG38" s="467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</row>
    <row r="40" spans="2:104" x14ac:dyDescent="0.25">
      <c r="C40" s="56"/>
      <c r="E40" s="50"/>
    </row>
    <row r="41" spans="2:104" x14ac:dyDescent="0.25">
      <c r="C41" s="56"/>
      <c r="E41" s="50"/>
    </row>
    <row r="42" spans="2:104" x14ac:dyDescent="0.25">
      <c r="C42" s="56"/>
      <c r="E42" s="50"/>
    </row>
    <row r="43" spans="2:104" x14ac:dyDescent="0.25">
      <c r="C43" s="56"/>
      <c r="E43" s="50"/>
    </row>
    <row r="44" spans="2:104" x14ac:dyDescent="0.25">
      <c r="C44" s="56"/>
      <c r="E44" s="50"/>
    </row>
    <row r="45" spans="2:104" x14ac:dyDescent="0.25">
      <c r="C45" s="56"/>
      <c r="E45" s="50"/>
    </row>
    <row r="46" spans="2:104" x14ac:dyDescent="0.25">
      <c r="C46" s="56"/>
      <c r="E46" s="50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27"/>
  <sheetViews>
    <sheetView topLeftCell="BU1" workbookViewId="0">
      <selection activeCell="BW22" sqref="BW22:CD25"/>
    </sheetView>
  </sheetViews>
  <sheetFormatPr defaultRowHeight="13.2" x14ac:dyDescent="0.25"/>
  <cols>
    <col min="2" max="2" width="11.109375" customWidth="1"/>
    <col min="85" max="85" width="12.5546875" customWidth="1"/>
  </cols>
  <sheetData>
    <row r="1" spans="2:85" ht="13.8" thickBot="1" x14ac:dyDescent="0.3"/>
    <row r="2" spans="2:85" x14ac:dyDescent="0.25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  <c r="CG2" s="382"/>
    </row>
    <row r="3" spans="2:85" ht="13.8" thickBot="1" x14ac:dyDescent="0.3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6" x14ac:dyDescent="0.3">
      <c r="B4" s="341"/>
      <c r="C4" s="347"/>
      <c r="D4" s="361"/>
      <c r="E4" s="347"/>
      <c r="F4" s="361"/>
      <c r="G4" s="347"/>
      <c r="H4" s="361"/>
      <c r="I4" s="345"/>
      <c r="J4" s="346"/>
      <c r="K4" s="345"/>
      <c r="L4" s="346"/>
      <c r="M4" s="362"/>
      <c r="N4" s="363"/>
      <c r="O4" s="342"/>
      <c r="P4" s="343"/>
      <c r="Q4" s="342"/>
      <c r="R4" s="343"/>
      <c r="S4" s="342"/>
      <c r="T4" s="343"/>
      <c r="U4" s="342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6" x14ac:dyDescent="0.3">
      <c r="B5" s="341"/>
      <c r="C5" s="347"/>
      <c r="D5" s="361"/>
      <c r="E5" s="345"/>
      <c r="F5" s="346"/>
      <c r="G5" s="347"/>
      <c r="H5" s="361"/>
      <c r="I5" s="345"/>
      <c r="J5" s="346"/>
      <c r="K5" s="345"/>
      <c r="L5" s="346"/>
      <c r="M5" s="342"/>
      <c r="N5" s="343"/>
      <c r="O5" s="342"/>
      <c r="P5" s="344"/>
      <c r="Q5" s="345"/>
      <c r="R5" s="346"/>
      <c r="S5" s="342"/>
      <c r="T5" s="344"/>
      <c r="U5" s="342"/>
      <c r="V5" s="358"/>
      <c r="W5" s="342"/>
      <c r="X5" s="343"/>
      <c r="Y5" s="345"/>
      <c r="Z5" s="364"/>
      <c r="AA5" s="342"/>
      <c r="AB5" s="343"/>
      <c r="AC5" s="357"/>
      <c r="AD5" s="350"/>
      <c r="AE5" s="349"/>
      <c r="AF5" s="350"/>
      <c r="AG5" s="345"/>
      <c r="AH5" s="346"/>
      <c r="AI5" s="345"/>
      <c r="AJ5" s="346"/>
      <c r="AK5" s="345"/>
      <c r="AL5" s="346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6" x14ac:dyDescent="0.3">
      <c r="B6" s="368">
        <v>37137</v>
      </c>
      <c r="C6" s="347"/>
      <c r="D6" s="361"/>
      <c r="E6" s="345"/>
      <c r="F6" s="346"/>
      <c r="G6" s="347"/>
      <c r="H6" s="361"/>
      <c r="I6" s="345"/>
      <c r="J6" s="344"/>
      <c r="K6" s="345"/>
      <c r="L6" s="346"/>
      <c r="M6" s="342"/>
      <c r="N6" s="343"/>
      <c r="O6" s="342"/>
      <c r="P6" s="344"/>
      <c r="Q6" s="345"/>
      <c r="R6" s="346"/>
      <c r="S6" s="342"/>
      <c r="T6" s="344"/>
      <c r="U6" s="342"/>
      <c r="V6" s="358"/>
      <c r="W6" s="342"/>
      <c r="X6" s="344"/>
      <c r="Y6" s="345"/>
      <c r="Z6" s="364"/>
      <c r="AA6" s="342"/>
      <c r="AB6" s="344"/>
      <c r="AC6" s="357"/>
      <c r="AD6" s="350"/>
      <c r="AE6" s="349"/>
      <c r="AF6" s="350"/>
      <c r="AG6" s="345"/>
      <c r="AH6" s="346"/>
      <c r="AI6" s="345"/>
      <c r="AJ6" s="346"/>
      <c r="AK6" s="345"/>
      <c r="AL6" s="346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>C6+E6+G6+I6+K6+M6+O6+Q6+S6+U6+W6+Y6+AA6+AC6+AE6+AG6+AI6+AK6+AM6+AO6+AQ6+AS6+AU6+AW6+AY6+BA6+BC6+BE6+BG6+BI6+BK6+BM6+BO6+BQ6+BS6+BU6+BW6+BY6+CA6+CC6</f>
        <v>0</v>
      </c>
      <c r="CF6" s="352">
        <f>IF(AND(CE6=0,CI6=0),0,(CL6+CM6)/CI6)</f>
        <v>0</v>
      </c>
      <c r="CG6" s="368">
        <f t="shared" si="1"/>
        <v>37137</v>
      </c>
    </row>
    <row r="7" spans="2:85" ht="15.6" x14ac:dyDescent="0.3">
      <c r="B7" s="368">
        <v>37138</v>
      </c>
      <c r="C7" s="345"/>
      <c r="D7" s="344"/>
      <c r="E7" s="345"/>
      <c r="F7" s="346"/>
      <c r="G7" s="345"/>
      <c r="H7" s="346"/>
      <c r="I7" s="345"/>
      <c r="J7" s="344"/>
      <c r="K7" s="345"/>
      <c r="L7" s="346"/>
      <c r="M7" s="345"/>
      <c r="N7" s="344"/>
      <c r="O7" s="345"/>
      <c r="P7" s="346"/>
      <c r="Q7" s="345"/>
      <c r="R7" s="344"/>
      <c r="S7" s="345"/>
      <c r="T7" s="344"/>
      <c r="U7" s="345"/>
      <c r="V7" s="346"/>
      <c r="W7" s="345"/>
      <c r="X7" s="344"/>
      <c r="Y7" s="345"/>
      <c r="Z7" s="364"/>
      <c r="AA7" s="345"/>
      <c r="AB7" s="344"/>
      <c r="AC7" s="357"/>
      <c r="AD7" s="350"/>
      <c r="AE7" s="349"/>
      <c r="AF7" s="350"/>
      <c r="AG7" s="345"/>
      <c r="AH7" s="346"/>
      <c r="AI7" s="345"/>
      <c r="AJ7" s="346"/>
      <c r="AK7" s="345"/>
      <c r="AL7" s="346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>C7+E7+G7+I7+K7+M7+O7+Q7+S7+U7+W7+Y7+AA7+AC7+AE7+AG7+AI7+AK7+AM7+AO7+AQ7+AS7+AU7+AW7+AY7+BA7+BC7+BE7+BG7+BI7+BK7+BM7+BO7+BQ7+BS7+BU7+BW7+BY7+CA7+CC7</f>
        <v>0</v>
      </c>
      <c r="CF7" s="352">
        <f>IF(AND(CE7=0,CI7=0),0,(CL7+CM7)/CI7)</f>
        <v>0</v>
      </c>
      <c r="CG7" s="368">
        <f t="shared" si="1"/>
        <v>37138</v>
      </c>
    </row>
    <row r="8" spans="2:85" ht="15.6" x14ac:dyDescent="0.3">
      <c r="B8" s="368">
        <v>37139</v>
      </c>
      <c r="C8" s="345"/>
      <c r="D8" s="344"/>
      <c r="E8" s="345"/>
      <c r="F8" s="346"/>
      <c r="G8" s="345"/>
      <c r="H8" s="346"/>
      <c r="I8" s="345"/>
      <c r="J8" s="344"/>
      <c r="K8" s="345"/>
      <c r="L8" s="346"/>
      <c r="M8" s="345"/>
      <c r="N8" s="344"/>
      <c r="O8" s="342"/>
      <c r="P8" s="344"/>
      <c r="Q8" s="345"/>
      <c r="R8" s="344"/>
      <c r="S8" s="345"/>
      <c r="T8" s="344"/>
      <c r="U8" s="345"/>
      <c r="V8" s="346"/>
      <c r="W8" s="345"/>
      <c r="X8" s="344"/>
      <c r="Y8" s="345"/>
      <c r="Z8" s="346"/>
      <c r="AA8" s="345"/>
      <c r="AB8" s="344"/>
      <c r="AC8" s="357"/>
      <c r="AD8" s="350"/>
      <c r="AE8" s="349"/>
      <c r="AF8" s="350"/>
      <c r="AG8" s="345"/>
      <c r="AH8" s="346"/>
      <c r="AI8" s="345"/>
      <c r="AJ8" s="346"/>
      <c r="AK8" s="345"/>
      <c r="AL8" s="346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(D8+F8+H8+J8)/4</f>
        <v>0</v>
      </c>
      <c r="CG8" s="368">
        <f t="shared" si="1"/>
        <v>37139</v>
      </c>
    </row>
    <row r="9" spans="2:85" ht="15.6" x14ac:dyDescent="0.3">
      <c r="B9" s="368">
        <v>37140</v>
      </c>
      <c r="C9" s="345"/>
      <c r="D9" s="344"/>
      <c r="E9" s="345"/>
      <c r="F9" s="346"/>
      <c r="G9" s="345"/>
      <c r="H9" s="346"/>
      <c r="I9" s="345"/>
      <c r="J9" s="344"/>
      <c r="K9" s="345"/>
      <c r="L9" s="344"/>
      <c r="M9" s="345"/>
      <c r="N9" s="346"/>
      <c r="O9" s="342"/>
      <c r="P9" s="344"/>
      <c r="Q9" s="345"/>
      <c r="R9" s="344"/>
      <c r="S9" s="345"/>
      <c r="T9" s="344"/>
      <c r="U9" s="345"/>
      <c r="V9" s="346"/>
      <c r="W9" s="345"/>
      <c r="X9" s="344"/>
      <c r="Y9" s="345"/>
      <c r="Z9" s="346"/>
      <c r="AA9" s="345"/>
      <c r="AB9" s="344"/>
      <c r="AC9" s="357"/>
      <c r="AD9" s="350"/>
      <c r="AE9" s="349"/>
      <c r="AF9" s="350"/>
      <c r="AG9" s="345"/>
      <c r="AH9" s="346"/>
      <c r="AI9" s="345"/>
      <c r="AJ9" s="346"/>
      <c r="AK9" s="345"/>
      <c r="AL9" s="346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(D9+F9+H9+J9+L9)/5</f>
        <v>0</v>
      </c>
      <c r="CG9" s="368">
        <f t="shared" si="1"/>
        <v>37140</v>
      </c>
    </row>
    <row r="10" spans="2:85" ht="15.6" x14ac:dyDescent="0.3">
      <c r="B10" s="368">
        <v>37141</v>
      </c>
      <c r="C10" s="345"/>
      <c r="D10" s="344"/>
      <c r="E10" s="345"/>
      <c r="F10" s="346"/>
      <c r="G10" s="345"/>
      <c r="H10" s="346"/>
      <c r="I10" s="345"/>
      <c r="J10" s="344"/>
      <c r="K10" s="345"/>
      <c r="L10" s="344"/>
      <c r="M10" s="345"/>
      <c r="N10" s="344"/>
      <c r="O10" s="342"/>
      <c r="P10" s="344"/>
      <c r="Q10" s="345"/>
      <c r="R10" s="344"/>
      <c r="S10" s="345"/>
      <c r="T10" s="344"/>
      <c r="U10" s="345"/>
      <c r="V10" s="346"/>
      <c r="W10" s="345"/>
      <c r="X10" s="346"/>
      <c r="Y10" s="345"/>
      <c r="Z10" s="346"/>
      <c r="AA10" s="345"/>
      <c r="AB10" s="344"/>
      <c r="AC10" s="357"/>
      <c r="AD10" s="350"/>
      <c r="AE10" s="349"/>
      <c r="AF10" s="350"/>
      <c r="AG10" s="345"/>
      <c r="AH10" s="346"/>
      <c r="AI10" s="345"/>
      <c r="AJ10" s="346"/>
      <c r="AK10" s="345"/>
      <c r="AL10" s="346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(D10+F10+H10)/3</f>
        <v>0</v>
      </c>
      <c r="CG10" s="368">
        <f t="shared" si="1"/>
        <v>37141</v>
      </c>
    </row>
    <row r="11" spans="2:85" ht="15.6" x14ac:dyDescent="0.3">
      <c r="B11" s="368">
        <v>37144</v>
      </c>
      <c r="C11" s="345"/>
      <c r="D11" s="344"/>
      <c r="E11" s="345"/>
      <c r="F11" s="344"/>
      <c r="G11" s="342"/>
      <c r="H11" s="344"/>
      <c r="I11" s="345"/>
      <c r="J11" s="344"/>
      <c r="K11" s="345"/>
      <c r="L11" s="344"/>
      <c r="M11" s="345"/>
      <c r="N11" s="344"/>
      <c r="O11" s="342"/>
      <c r="P11" s="344"/>
      <c r="Q11" s="345"/>
      <c r="R11" s="344"/>
      <c r="S11" s="345"/>
      <c r="T11" s="344"/>
      <c r="U11" s="345"/>
      <c r="V11" s="346"/>
      <c r="W11" s="345"/>
      <c r="X11" s="346"/>
      <c r="Y11" s="345"/>
      <c r="Z11" s="346"/>
      <c r="AA11" s="345"/>
      <c r="AB11" s="344"/>
      <c r="AC11" s="357"/>
      <c r="AD11" s="350"/>
      <c r="AE11" s="345"/>
      <c r="AF11" s="346"/>
      <c r="AG11" s="345"/>
      <c r="AH11" s="346"/>
      <c r="AI11" s="345"/>
      <c r="AJ11" s="346"/>
      <c r="AK11" s="345"/>
      <c r="AL11" s="346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69">
        <f>(D11+F11+H11+J11+L11+N11+R11+T11+V11+X11+AB11+AD11+AF11+AH11+AJ11)/15</f>
        <v>0</v>
      </c>
      <c r="CG11" s="368">
        <f t="shared" si="1"/>
        <v>37144</v>
      </c>
    </row>
    <row r="12" spans="2:85" ht="15.6" x14ac:dyDescent="0.3">
      <c r="B12" s="368">
        <v>37145</v>
      </c>
      <c r="C12" s="345"/>
      <c r="D12" s="344"/>
      <c r="E12" s="345"/>
      <c r="F12" s="344"/>
      <c r="G12" s="342"/>
      <c r="H12" s="344"/>
      <c r="I12" s="345"/>
      <c r="J12" s="344"/>
      <c r="K12" s="345"/>
      <c r="L12" s="344"/>
      <c r="M12" s="345"/>
      <c r="N12" s="344"/>
      <c r="O12" s="342"/>
      <c r="P12" s="344"/>
      <c r="Q12" s="345"/>
      <c r="R12" s="346"/>
      <c r="S12" s="345"/>
      <c r="T12" s="346"/>
      <c r="U12" s="349"/>
      <c r="V12" s="350"/>
      <c r="W12" s="349"/>
      <c r="X12" s="350"/>
      <c r="Y12" s="349"/>
      <c r="Z12" s="350"/>
      <c r="AA12" s="349"/>
      <c r="AB12" s="350"/>
      <c r="AC12" s="349"/>
      <c r="AD12" s="350"/>
      <c r="AE12" s="349"/>
      <c r="AF12" s="350"/>
      <c r="AG12" s="349"/>
      <c r="AH12" s="350"/>
      <c r="AI12" s="349"/>
      <c r="AJ12" s="350"/>
      <c r="AK12" s="345"/>
      <c r="AL12" s="344"/>
      <c r="AM12" s="345"/>
      <c r="AN12" s="344"/>
      <c r="AO12" s="342"/>
      <c r="AP12" s="344"/>
      <c r="AQ12" s="345"/>
      <c r="AR12" s="344"/>
      <c r="AS12" s="345"/>
      <c r="AT12" s="344"/>
      <c r="AU12" s="345"/>
      <c r="AV12" s="344"/>
      <c r="AW12" s="342"/>
      <c r="AX12" s="344"/>
      <c r="AY12" s="345"/>
      <c r="AZ12" s="344"/>
      <c r="BA12" s="345"/>
      <c r="BB12" s="344"/>
      <c r="BC12" s="345"/>
      <c r="BD12" s="346"/>
      <c r="BE12" s="345"/>
      <c r="BF12" s="346"/>
      <c r="BG12" s="345"/>
      <c r="BH12" s="346"/>
      <c r="BI12" s="345"/>
      <c r="BJ12" s="344"/>
      <c r="BK12" s="345"/>
      <c r="BL12" s="344"/>
      <c r="BM12" s="345"/>
      <c r="BN12" s="344"/>
      <c r="BO12" s="342"/>
      <c r="BP12" s="344"/>
      <c r="BQ12" s="345"/>
      <c r="BR12" s="344"/>
      <c r="BS12" s="345"/>
      <c r="BT12" s="344"/>
      <c r="BU12" s="345"/>
      <c r="BV12" s="346"/>
      <c r="BW12" s="345"/>
      <c r="BX12" s="346"/>
      <c r="BY12" s="345"/>
      <c r="BZ12" s="346"/>
      <c r="CA12" s="345"/>
      <c r="CB12" s="344"/>
      <c r="CC12" s="349"/>
      <c r="CD12" s="350"/>
      <c r="CE12" s="351">
        <f t="shared" si="0"/>
        <v>0</v>
      </c>
      <c r="CF12" s="369">
        <f>(D12+F12+H12+P12+Z12+AL12+AN12+AP12+AR12+AT12+AV12+AX12+AZ12+BB12)/14</f>
        <v>0</v>
      </c>
      <c r="CG12" s="368">
        <f t="shared" si="1"/>
        <v>37145</v>
      </c>
    </row>
    <row r="13" spans="2:85" ht="15.6" x14ac:dyDescent="0.3">
      <c r="B13" s="368">
        <v>37146</v>
      </c>
      <c r="C13" s="345"/>
      <c r="D13" s="344"/>
      <c r="E13" s="345"/>
      <c r="F13" s="344"/>
      <c r="G13" s="342"/>
      <c r="H13" s="344"/>
      <c r="I13" s="345"/>
      <c r="J13" s="344"/>
      <c r="K13" s="345"/>
      <c r="L13" s="344"/>
      <c r="M13" s="345"/>
      <c r="N13" s="344"/>
      <c r="O13" s="342"/>
      <c r="P13" s="344"/>
      <c r="Q13" s="345"/>
      <c r="R13" s="346"/>
      <c r="S13" s="345"/>
      <c r="T13" s="346"/>
      <c r="U13" s="349"/>
      <c r="V13" s="350"/>
      <c r="W13" s="349"/>
      <c r="X13" s="350"/>
      <c r="Y13" s="349"/>
      <c r="Z13" s="350"/>
      <c r="AA13" s="349"/>
      <c r="AB13" s="350"/>
      <c r="AC13" s="349"/>
      <c r="AD13" s="350"/>
      <c r="AE13" s="349"/>
      <c r="AF13" s="350"/>
      <c r="AG13" s="349"/>
      <c r="AH13" s="350"/>
      <c r="AI13" s="349"/>
      <c r="AJ13" s="350"/>
      <c r="AK13" s="342"/>
      <c r="AL13" s="344"/>
      <c r="AM13" s="345"/>
      <c r="AN13" s="344"/>
      <c r="AO13" s="345"/>
      <c r="AP13" s="344"/>
      <c r="AQ13" s="345"/>
      <c r="AR13" s="344"/>
      <c r="AS13" s="342"/>
      <c r="AT13" s="344"/>
      <c r="AU13" s="345"/>
      <c r="AV13" s="344"/>
      <c r="AW13" s="345"/>
      <c r="AX13" s="346"/>
      <c r="AY13" s="345"/>
      <c r="AZ13" s="346"/>
      <c r="BA13" s="345"/>
      <c r="BB13" s="346"/>
      <c r="BC13" s="345"/>
      <c r="BD13" s="344"/>
      <c r="BE13" s="357"/>
      <c r="BF13" s="350"/>
      <c r="BG13" s="345"/>
      <c r="BH13" s="346"/>
      <c r="BI13" s="345"/>
      <c r="BJ13" s="346"/>
      <c r="BK13" s="342"/>
      <c r="BL13" s="344"/>
      <c r="BM13" s="345"/>
      <c r="BN13" s="344"/>
      <c r="BO13" s="345"/>
      <c r="BP13" s="346"/>
      <c r="BQ13" s="345"/>
      <c r="BR13" s="346"/>
      <c r="BS13" s="345"/>
      <c r="BT13" s="346"/>
      <c r="BU13" s="345"/>
      <c r="BV13" s="344"/>
      <c r="BW13" s="357"/>
      <c r="BX13" s="350"/>
      <c r="BY13" s="345"/>
      <c r="BZ13" s="346"/>
      <c r="CA13" s="345"/>
      <c r="CB13" s="346"/>
      <c r="CC13" s="349"/>
      <c r="CD13" s="350"/>
      <c r="CE13" s="351">
        <f t="shared" si="0"/>
        <v>0</v>
      </c>
      <c r="CF13" s="369">
        <f>(D13+F13+H13+P13+R13+T13+X13+Z13+AB13+AD13+AF13+AH13+AJ13+AL13+AN13+AT13+AV13+AX13+AZ13+BD13+BF13+BH13+BJ13)/23</f>
        <v>0</v>
      </c>
      <c r="CG13" s="368">
        <f t="shared" si="1"/>
        <v>37146</v>
      </c>
    </row>
    <row r="14" spans="2:85" ht="15.6" x14ac:dyDescent="0.3">
      <c r="B14" s="368">
        <v>37147</v>
      </c>
      <c r="C14" s="345"/>
      <c r="D14" s="344"/>
      <c r="E14" s="345"/>
      <c r="F14" s="344"/>
      <c r="G14" s="342"/>
      <c r="H14" s="344"/>
      <c r="I14" s="345"/>
      <c r="J14" s="344"/>
      <c r="K14" s="345"/>
      <c r="L14" s="344"/>
      <c r="M14" s="345"/>
      <c r="N14" s="344"/>
      <c r="O14" s="342"/>
      <c r="P14" s="344"/>
      <c r="Q14" s="345"/>
      <c r="R14" s="346"/>
      <c r="S14" s="345"/>
      <c r="T14" s="346"/>
      <c r="U14" s="349"/>
      <c r="V14" s="350"/>
      <c r="W14" s="349"/>
      <c r="X14" s="350"/>
      <c r="Y14" s="349"/>
      <c r="Z14" s="350"/>
      <c r="AA14" s="349"/>
      <c r="AB14" s="350"/>
      <c r="AC14" s="349"/>
      <c r="AD14" s="350"/>
      <c r="AE14" s="349"/>
      <c r="AF14" s="350"/>
      <c r="AG14" s="349"/>
      <c r="AH14" s="350"/>
      <c r="AI14" s="349"/>
      <c r="AJ14" s="350"/>
      <c r="AK14" s="342"/>
      <c r="AL14" s="344"/>
      <c r="AM14" s="345"/>
      <c r="AN14" s="344"/>
      <c r="AO14" s="345"/>
      <c r="AP14" s="344"/>
      <c r="AQ14" s="345"/>
      <c r="AR14" s="344"/>
      <c r="AS14" s="345"/>
      <c r="AT14" s="344"/>
      <c r="AU14" s="345"/>
      <c r="AV14" s="344"/>
      <c r="AW14" s="345"/>
      <c r="AX14" s="346"/>
      <c r="AY14" s="345"/>
      <c r="AZ14" s="346"/>
      <c r="BA14" s="345"/>
      <c r="BB14" s="346"/>
      <c r="BC14" s="345"/>
      <c r="BD14" s="344"/>
      <c r="BE14" s="357"/>
      <c r="BF14" s="350"/>
      <c r="BG14" s="349"/>
      <c r="BH14" s="350"/>
      <c r="BI14" s="345"/>
      <c r="BJ14" s="346"/>
      <c r="BK14" s="342"/>
      <c r="BL14" s="344"/>
      <c r="BM14" s="345"/>
      <c r="BN14" s="344"/>
      <c r="BO14" s="345"/>
      <c r="BP14" s="344"/>
      <c r="BQ14" s="345"/>
      <c r="BR14" s="344"/>
      <c r="BS14" s="345"/>
      <c r="BT14" s="344"/>
      <c r="BU14" s="345"/>
      <c r="BV14" s="344"/>
      <c r="BW14" s="345"/>
      <c r="BX14" s="344"/>
      <c r="BY14" s="345"/>
      <c r="BZ14" s="344"/>
      <c r="CA14" s="345"/>
      <c r="CB14" s="346"/>
      <c r="CC14" s="349"/>
      <c r="CD14" s="350"/>
      <c r="CE14" s="351">
        <f t="shared" si="0"/>
        <v>0</v>
      </c>
      <c r="CF14" s="369">
        <f>(D14+F14+H14+P14+R14+T14+X14+Z14+AB14+AD14+AF14+AH14+AJ14+AL14+AN14+AP14+AR14+AT14+AZ14+BB14+BH14)/21</f>
        <v>0</v>
      </c>
      <c r="CG14" s="368">
        <f t="shared" si="1"/>
        <v>37147</v>
      </c>
    </row>
    <row r="15" spans="2:85" ht="15.6" x14ac:dyDescent="0.3">
      <c r="B15" s="368">
        <v>37148</v>
      </c>
      <c r="C15" s="345"/>
      <c r="D15" s="344"/>
      <c r="E15" s="345"/>
      <c r="F15" s="344"/>
      <c r="G15" s="342"/>
      <c r="H15" s="344"/>
      <c r="I15" s="345"/>
      <c r="J15" s="344"/>
      <c r="K15" s="345"/>
      <c r="L15" s="344"/>
      <c r="M15" s="345"/>
      <c r="N15" s="344"/>
      <c r="O15" s="342"/>
      <c r="P15" s="344"/>
      <c r="Q15" s="345"/>
      <c r="R15" s="346"/>
      <c r="S15" s="345"/>
      <c r="T15" s="346"/>
      <c r="U15" s="349"/>
      <c r="V15" s="350"/>
      <c r="W15" s="349"/>
      <c r="X15" s="350"/>
      <c r="Y15" s="349"/>
      <c r="Z15" s="350"/>
      <c r="AA15" s="349"/>
      <c r="AB15" s="350"/>
      <c r="AC15" s="349"/>
      <c r="AD15" s="350"/>
      <c r="AE15" s="349"/>
      <c r="AF15" s="350"/>
      <c r="AG15" s="349"/>
      <c r="AH15" s="350"/>
      <c r="AI15" s="349"/>
      <c r="AJ15" s="350"/>
      <c r="AK15" s="342"/>
      <c r="AL15" s="344"/>
      <c r="AM15" s="345"/>
      <c r="AN15" s="344"/>
      <c r="AO15" s="345"/>
      <c r="AP15" s="344"/>
      <c r="AQ15" s="345"/>
      <c r="AR15" s="344"/>
      <c r="AS15" s="345"/>
      <c r="AT15" s="344"/>
      <c r="AU15" s="345"/>
      <c r="AV15" s="344"/>
      <c r="AW15" s="345"/>
      <c r="AX15" s="346"/>
      <c r="AY15" s="342"/>
      <c r="AZ15" s="344"/>
      <c r="BA15" s="345"/>
      <c r="BB15" s="344"/>
      <c r="BC15" s="345"/>
      <c r="BD15" s="344"/>
      <c r="BE15" s="345"/>
      <c r="BF15" s="344"/>
      <c r="BG15" s="345"/>
      <c r="BH15" s="344"/>
      <c r="BI15" s="345"/>
      <c r="BJ15" s="344"/>
      <c r="BK15" s="345"/>
      <c r="BL15" s="346"/>
      <c r="BM15" s="345"/>
      <c r="BN15" s="346"/>
      <c r="BO15" s="345"/>
      <c r="BP15" s="346"/>
      <c r="BQ15" s="345"/>
      <c r="BR15" s="344"/>
      <c r="BS15" s="357"/>
      <c r="BT15" s="350"/>
      <c r="BU15" s="345"/>
      <c r="BV15" s="344"/>
      <c r="BW15" s="345"/>
      <c r="BX15" s="344"/>
      <c r="BY15" s="345"/>
      <c r="BZ15" s="344"/>
      <c r="CA15" s="345"/>
      <c r="CB15" s="346"/>
      <c r="CC15" s="349"/>
      <c r="CD15" s="350"/>
      <c r="CE15" s="351">
        <f t="shared" si="0"/>
        <v>0</v>
      </c>
      <c r="CF15" s="369">
        <f>(D15+F15+H15+P15+R15+T15+X15+Z15+AB15+AD15+AF15+AH15+AJ15+AL15+AN15+AP15+AR15+AT15+AZ15+BB15+BH15)/21</f>
        <v>0</v>
      </c>
      <c r="CG15" s="368">
        <f t="shared" si="1"/>
        <v>37148</v>
      </c>
    </row>
    <row r="16" spans="2:85" ht="15.6" x14ac:dyDescent="0.3">
      <c r="B16" s="368">
        <v>37151</v>
      </c>
      <c r="C16" s="349"/>
      <c r="D16" s="350"/>
      <c r="E16" s="349"/>
      <c r="F16" s="350"/>
      <c r="G16" s="349"/>
      <c r="H16" s="350"/>
      <c r="I16" s="345"/>
      <c r="J16" s="346"/>
      <c r="K16" s="345"/>
      <c r="L16" s="344"/>
      <c r="M16" s="345"/>
      <c r="N16" s="344"/>
      <c r="O16" s="342"/>
      <c r="P16" s="344"/>
      <c r="Q16" s="345"/>
      <c r="R16" s="344"/>
      <c r="S16" s="345"/>
      <c r="T16" s="344"/>
      <c r="U16" s="345"/>
      <c r="V16" s="344"/>
      <c r="W16" s="349"/>
      <c r="X16" s="350"/>
      <c r="Y16" s="345"/>
      <c r="Z16" s="346"/>
      <c r="AA16" s="342"/>
      <c r="AB16" s="344"/>
      <c r="AC16" s="342"/>
      <c r="AD16" s="344"/>
      <c r="AE16" s="345"/>
      <c r="AF16" s="344"/>
      <c r="AG16" s="345"/>
      <c r="AH16" s="344"/>
      <c r="AI16" s="345"/>
      <c r="AJ16" s="344"/>
      <c r="AK16" s="345"/>
      <c r="AL16" s="344"/>
      <c r="AM16" s="347"/>
      <c r="AN16" s="348"/>
      <c r="AO16" s="345"/>
      <c r="AP16" s="346"/>
      <c r="AQ16" s="345"/>
      <c r="AR16" s="346"/>
      <c r="AS16" s="345"/>
      <c r="AT16" s="346"/>
      <c r="AU16" s="345"/>
      <c r="AV16" s="344"/>
      <c r="AW16" s="357"/>
      <c r="AX16" s="350"/>
      <c r="AY16" s="342"/>
      <c r="AZ16" s="344"/>
      <c r="BA16" s="345"/>
      <c r="BB16" s="344"/>
      <c r="BC16" s="345"/>
      <c r="BD16" s="344"/>
      <c r="BE16" s="345"/>
      <c r="BF16" s="344"/>
      <c r="BG16" s="345"/>
      <c r="BH16" s="344"/>
      <c r="BI16" s="342"/>
      <c r="BJ16" s="508"/>
      <c r="BK16" s="345"/>
      <c r="BL16" s="346"/>
      <c r="BM16" s="345"/>
      <c r="BN16" s="346"/>
      <c r="BO16" s="345"/>
      <c r="BP16" s="346"/>
      <c r="BQ16" s="345"/>
      <c r="BR16" s="344"/>
      <c r="BS16" s="357"/>
      <c r="BT16" s="350"/>
      <c r="BU16" s="345"/>
      <c r="BV16" s="344"/>
      <c r="BW16" s="345"/>
      <c r="BX16" s="344"/>
      <c r="BY16" s="345"/>
      <c r="BZ16" s="344"/>
      <c r="CA16" s="345"/>
      <c r="CB16" s="346"/>
      <c r="CC16" s="349"/>
      <c r="CD16" s="350"/>
      <c r="CE16" s="351">
        <f t="shared" si="0"/>
        <v>0</v>
      </c>
      <c r="CF16" s="369">
        <f>(X16+AF16+AH16+AZ16)/4</f>
        <v>0</v>
      </c>
      <c r="CG16" s="368">
        <f t="shared" si="1"/>
        <v>37151</v>
      </c>
    </row>
    <row r="17" spans="2:85" ht="15.6" x14ac:dyDescent="0.3">
      <c r="B17" s="368">
        <v>37152</v>
      </c>
      <c r="C17" s="349"/>
      <c r="D17" s="350"/>
      <c r="E17" s="349"/>
      <c r="F17" s="350"/>
      <c r="G17" s="349"/>
      <c r="H17" s="350"/>
      <c r="I17" s="345"/>
      <c r="J17" s="346"/>
      <c r="K17" s="345"/>
      <c r="L17" s="344"/>
      <c r="M17" s="345"/>
      <c r="N17" s="344"/>
      <c r="O17" s="342"/>
      <c r="P17" s="344"/>
      <c r="Q17" s="345"/>
      <c r="R17" s="344"/>
      <c r="S17" s="345"/>
      <c r="T17" s="344"/>
      <c r="U17" s="345"/>
      <c r="V17" s="344"/>
      <c r="W17" s="345"/>
      <c r="X17" s="346"/>
      <c r="Y17" s="345"/>
      <c r="Z17" s="346"/>
      <c r="AA17" s="345"/>
      <c r="AB17" s="346"/>
      <c r="AC17" s="342"/>
      <c r="AD17" s="344"/>
      <c r="AE17" s="345"/>
      <c r="AF17" s="344"/>
      <c r="AG17" s="345"/>
      <c r="AH17" s="344"/>
      <c r="AI17" s="345"/>
      <c r="AJ17" s="344"/>
      <c r="AK17" s="345"/>
      <c r="AL17" s="344"/>
      <c r="AM17" s="345"/>
      <c r="AN17" s="344"/>
      <c r="AO17" s="345"/>
      <c r="AP17" s="346"/>
      <c r="AQ17" s="345"/>
      <c r="AR17" s="346"/>
      <c r="AS17" s="345"/>
      <c r="AT17" s="346"/>
      <c r="AU17" s="345"/>
      <c r="AV17" s="344"/>
      <c r="AW17" s="357"/>
      <c r="AX17" s="350"/>
      <c r="AY17" s="342"/>
      <c r="AZ17" s="344"/>
      <c r="BA17" s="345"/>
      <c r="BB17" s="344"/>
      <c r="BC17" s="345"/>
      <c r="BD17" s="344"/>
      <c r="BE17" s="345"/>
      <c r="BF17" s="344"/>
      <c r="BG17" s="345"/>
      <c r="BH17" s="344"/>
      <c r="BI17" s="342"/>
      <c r="BJ17" s="344"/>
      <c r="BK17" s="345"/>
      <c r="BL17" s="344"/>
      <c r="BM17" s="345"/>
      <c r="BN17" s="344"/>
      <c r="BO17" s="345"/>
      <c r="BP17" s="346"/>
      <c r="BQ17" s="345"/>
      <c r="BR17" s="344"/>
      <c r="BS17" s="357"/>
      <c r="BT17" s="350"/>
      <c r="BU17" s="345"/>
      <c r="BV17" s="344"/>
      <c r="BW17" s="345"/>
      <c r="BX17" s="344"/>
      <c r="BY17" s="345"/>
      <c r="BZ17" s="344"/>
      <c r="CA17" s="345"/>
      <c r="CB17" s="346"/>
      <c r="CC17" s="349"/>
      <c r="CD17" s="350"/>
      <c r="CE17" s="351">
        <f t="shared" si="0"/>
        <v>0</v>
      </c>
      <c r="CF17" s="369">
        <f>(D17+F17+H17+J17+L17+N17+P17+R17+T17+V17+X17+Z17+AB17+AD17+AJ17+AP17+AR17+AT17)/18</f>
        <v>0</v>
      </c>
      <c r="CG17" s="368">
        <f t="shared" si="1"/>
        <v>37152</v>
      </c>
    </row>
    <row r="18" spans="2:85" ht="15.6" x14ac:dyDescent="0.3">
      <c r="B18" s="368">
        <v>37153</v>
      </c>
      <c r="C18" s="349"/>
      <c r="D18" s="350"/>
      <c r="E18" s="349"/>
      <c r="F18" s="350"/>
      <c r="G18" s="349"/>
      <c r="H18" s="350"/>
      <c r="I18" s="345"/>
      <c r="J18" s="346"/>
      <c r="K18" s="345"/>
      <c r="L18" s="344"/>
      <c r="M18" s="345"/>
      <c r="N18" s="344"/>
      <c r="O18" s="342"/>
      <c r="P18" s="344"/>
      <c r="Q18" s="345"/>
      <c r="R18" s="344"/>
      <c r="S18" s="345"/>
      <c r="T18" s="344"/>
      <c r="U18" s="345"/>
      <c r="V18" s="344"/>
      <c r="W18" s="345"/>
      <c r="X18" s="346"/>
      <c r="Y18" s="345"/>
      <c r="Z18" s="346"/>
      <c r="AA18" s="345"/>
      <c r="AB18" s="346"/>
      <c r="AC18" s="342"/>
      <c r="AD18" s="344"/>
      <c r="AE18" s="345"/>
      <c r="AF18" s="344"/>
      <c r="AG18" s="345"/>
      <c r="AH18" s="344"/>
      <c r="AI18" s="345"/>
      <c r="AJ18" s="344"/>
      <c r="AK18" s="345"/>
      <c r="AL18" s="344"/>
      <c r="AM18" s="345"/>
      <c r="AN18" s="344"/>
      <c r="AO18" s="345"/>
      <c r="AP18" s="346"/>
      <c r="AQ18" s="342">
        <v>50</v>
      </c>
      <c r="AR18" s="344">
        <v>36</v>
      </c>
      <c r="AS18" s="345">
        <v>50</v>
      </c>
      <c r="AT18" s="344">
        <v>35.5</v>
      </c>
      <c r="AU18" s="345">
        <v>50</v>
      </c>
      <c r="AV18" s="344">
        <v>35</v>
      </c>
      <c r="AW18" s="345">
        <v>-50</v>
      </c>
      <c r="AX18" s="344">
        <v>35</v>
      </c>
      <c r="AY18" s="345">
        <v>-50</v>
      </c>
      <c r="AZ18" s="344">
        <v>35</v>
      </c>
      <c r="BA18" s="345">
        <v>50</v>
      </c>
      <c r="BB18" s="344">
        <v>34.75</v>
      </c>
      <c r="BC18" s="345">
        <v>-50</v>
      </c>
      <c r="BD18" s="346">
        <v>34.75</v>
      </c>
      <c r="BE18" s="345"/>
      <c r="BF18" s="346"/>
      <c r="BG18" s="345"/>
      <c r="BH18" s="344"/>
      <c r="BI18" s="342"/>
      <c r="BJ18" s="344"/>
      <c r="BK18" s="345"/>
      <c r="BL18" s="344"/>
      <c r="BM18" s="345"/>
      <c r="BN18" s="344"/>
      <c r="BO18" s="345"/>
      <c r="BP18" s="346"/>
      <c r="BQ18" s="345"/>
      <c r="BR18" s="344"/>
      <c r="BS18" s="357"/>
      <c r="BT18" s="350"/>
      <c r="BU18" s="345"/>
      <c r="BV18" s="344"/>
      <c r="BW18" s="345"/>
      <c r="BX18" s="344"/>
      <c r="BY18" s="345"/>
      <c r="BZ18" s="344"/>
      <c r="CA18" s="345"/>
      <c r="CB18" s="346"/>
      <c r="CC18" s="349"/>
      <c r="CD18" s="350"/>
      <c r="CE18" s="351">
        <f t="shared" si="0"/>
        <v>50</v>
      </c>
      <c r="CF18" s="369">
        <f>(D18+F18+H18+J18+L18+N18+P18+R18+T18+V18+X18+Z18+AB18+AD18+AJ18+AP18+AR18+AT18)/18</f>
        <v>3.9722222222222223</v>
      </c>
      <c r="CG18" s="368">
        <f t="shared" si="1"/>
        <v>37153</v>
      </c>
    </row>
    <row r="19" spans="2:85" ht="15.6" x14ac:dyDescent="0.3">
      <c r="B19" s="368">
        <v>37154</v>
      </c>
      <c r="C19" s="349">
        <v>-50</v>
      </c>
      <c r="D19" s="350">
        <v>39.25</v>
      </c>
      <c r="E19" s="349">
        <v>50</v>
      </c>
      <c r="F19" s="350">
        <v>41.5</v>
      </c>
      <c r="G19" s="349">
        <v>50</v>
      </c>
      <c r="H19" s="350">
        <v>40.5</v>
      </c>
      <c r="I19" s="345">
        <v>-50</v>
      </c>
      <c r="J19" s="346">
        <v>37.75</v>
      </c>
      <c r="K19" s="345">
        <v>-50</v>
      </c>
      <c r="L19" s="344">
        <v>37</v>
      </c>
      <c r="M19" s="345">
        <v>-50</v>
      </c>
      <c r="N19" s="344">
        <v>37.5</v>
      </c>
      <c r="O19" s="342">
        <v>-50</v>
      </c>
      <c r="P19" s="344">
        <v>38</v>
      </c>
      <c r="Q19" s="345">
        <v>-50</v>
      </c>
      <c r="R19" s="344">
        <v>38.75</v>
      </c>
      <c r="S19" s="345">
        <v>50</v>
      </c>
      <c r="T19" s="344">
        <v>38</v>
      </c>
      <c r="U19" s="345">
        <v>-50</v>
      </c>
      <c r="V19" s="344">
        <v>38.75</v>
      </c>
      <c r="W19" s="345">
        <v>50</v>
      </c>
      <c r="X19" s="346">
        <v>38.75</v>
      </c>
      <c r="Y19" s="345">
        <v>-50</v>
      </c>
      <c r="Z19" s="346">
        <v>38.9</v>
      </c>
      <c r="AA19" s="345">
        <v>50</v>
      </c>
      <c r="AB19" s="346">
        <v>38.75</v>
      </c>
      <c r="AC19" s="342">
        <v>-50</v>
      </c>
      <c r="AD19" s="344">
        <v>38.25</v>
      </c>
      <c r="AE19" s="345">
        <v>50</v>
      </c>
      <c r="AF19" s="344">
        <v>38.25</v>
      </c>
      <c r="AG19" s="345">
        <v>50</v>
      </c>
      <c r="AH19" s="346">
        <v>38.75</v>
      </c>
      <c r="AI19" s="345">
        <v>-50</v>
      </c>
      <c r="AJ19" s="346">
        <v>38.9</v>
      </c>
      <c r="AK19" s="345">
        <v>50</v>
      </c>
      <c r="AL19" s="346">
        <v>39.25</v>
      </c>
      <c r="AM19" s="342">
        <v>50</v>
      </c>
      <c r="AN19" s="344">
        <v>38</v>
      </c>
      <c r="AO19" s="345"/>
      <c r="AP19" s="344"/>
      <c r="AQ19" s="342">
        <v>50</v>
      </c>
      <c r="AR19" s="344">
        <v>36.5</v>
      </c>
      <c r="AS19" s="345">
        <v>50</v>
      </c>
      <c r="AT19" s="344">
        <v>36.25</v>
      </c>
      <c r="AU19" s="345">
        <v>50</v>
      </c>
      <c r="AV19" s="344">
        <v>35.25</v>
      </c>
      <c r="AW19" s="345">
        <v>50</v>
      </c>
      <c r="AX19" s="344">
        <v>34.5</v>
      </c>
      <c r="AY19" s="345"/>
      <c r="AZ19" s="344"/>
      <c r="BA19" s="345"/>
      <c r="BB19" s="344"/>
      <c r="BC19" s="345"/>
      <c r="BD19" s="346"/>
      <c r="BE19" s="345"/>
      <c r="BF19" s="346"/>
      <c r="BG19" s="342">
        <v>-50</v>
      </c>
      <c r="BH19" s="344">
        <v>33.25</v>
      </c>
      <c r="BI19" s="345">
        <v>-50</v>
      </c>
      <c r="BJ19" s="344">
        <v>33.25</v>
      </c>
      <c r="BK19" s="345"/>
      <c r="BL19" s="344"/>
      <c r="BM19" s="345"/>
      <c r="BN19" s="344"/>
      <c r="BO19" s="345"/>
      <c r="BP19" s="346"/>
      <c r="BQ19" s="342"/>
      <c r="BR19" s="343"/>
      <c r="BS19" s="357"/>
      <c r="BT19" s="350"/>
      <c r="BU19" s="345"/>
      <c r="BV19" s="344"/>
      <c r="BW19" s="345"/>
      <c r="BX19" s="344"/>
      <c r="BY19" s="345"/>
      <c r="BZ19" s="344"/>
      <c r="CA19" s="345"/>
      <c r="CB19" s="346"/>
      <c r="CC19" s="349"/>
      <c r="CD19" s="350"/>
      <c r="CE19" s="351">
        <f t="shared" si="0"/>
        <v>50</v>
      </c>
      <c r="CF19" s="369">
        <f>(D19+F19+H19+J19+L19+N19+P19+R19+T19+V19+X19+Z19+AB19+AD19+AJ19+AP19+AR19+AT19)/18</f>
        <v>36.294444444444444</v>
      </c>
      <c r="CG19" s="368">
        <f t="shared" si="1"/>
        <v>37154</v>
      </c>
    </row>
    <row r="20" spans="2:85" ht="15.6" x14ac:dyDescent="0.3">
      <c r="B20" s="368">
        <v>37155</v>
      </c>
      <c r="C20" s="349">
        <v>-50</v>
      </c>
      <c r="D20" s="350">
        <v>39.25</v>
      </c>
      <c r="E20" s="349">
        <v>50</v>
      </c>
      <c r="F20" s="350">
        <v>41.5</v>
      </c>
      <c r="G20" s="349">
        <v>50</v>
      </c>
      <c r="H20" s="350">
        <v>40.5</v>
      </c>
      <c r="I20" s="345">
        <v>-50</v>
      </c>
      <c r="J20" s="346">
        <v>37.75</v>
      </c>
      <c r="K20" s="345">
        <v>-50</v>
      </c>
      <c r="L20" s="344">
        <v>37</v>
      </c>
      <c r="M20" s="345">
        <v>-50</v>
      </c>
      <c r="N20" s="344">
        <v>37.5</v>
      </c>
      <c r="O20" s="342">
        <v>-50</v>
      </c>
      <c r="P20" s="344">
        <v>38</v>
      </c>
      <c r="Q20" s="345">
        <v>-50</v>
      </c>
      <c r="R20" s="344">
        <v>38.75</v>
      </c>
      <c r="S20" s="345">
        <v>50</v>
      </c>
      <c r="T20" s="344">
        <v>38</v>
      </c>
      <c r="U20" s="345">
        <v>-50</v>
      </c>
      <c r="V20" s="344">
        <v>38.75</v>
      </c>
      <c r="W20" s="345">
        <v>50</v>
      </c>
      <c r="X20" s="346">
        <v>38.75</v>
      </c>
      <c r="Y20" s="345">
        <v>-50</v>
      </c>
      <c r="Z20" s="346">
        <v>38.9</v>
      </c>
      <c r="AA20" s="345">
        <v>50</v>
      </c>
      <c r="AB20" s="346">
        <v>38.75</v>
      </c>
      <c r="AC20" s="342">
        <v>-50</v>
      </c>
      <c r="AD20" s="344">
        <v>38.25</v>
      </c>
      <c r="AE20" s="345">
        <v>50</v>
      </c>
      <c r="AF20" s="344">
        <v>38.25</v>
      </c>
      <c r="AG20" s="345">
        <v>50</v>
      </c>
      <c r="AH20" s="346">
        <v>38.75</v>
      </c>
      <c r="AI20" s="345">
        <v>-50</v>
      </c>
      <c r="AJ20" s="346">
        <v>38.9</v>
      </c>
      <c r="AK20" s="345">
        <v>50</v>
      </c>
      <c r="AL20" s="346">
        <v>39.25</v>
      </c>
      <c r="AM20" s="342">
        <v>50</v>
      </c>
      <c r="AN20" s="344">
        <v>38</v>
      </c>
      <c r="AO20" s="345"/>
      <c r="AP20" s="344"/>
      <c r="AQ20" s="342">
        <v>50</v>
      </c>
      <c r="AR20" s="344">
        <v>36.5</v>
      </c>
      <c r="AS20" s="345">
        <v>50</v>
      </c>
      <c r="AT20" s="344">
        <v>36.25</v>
      </c>
      <c r="AU20" s="345">
        <v>50</v>
      </c>
      <c r="AV20" s="344">
        <v>35.25</v>
      </c>
      <c r="AW20" s="345">
        <v>50</v>
      </c>
      <c r="AX20" s="344">
        <v>34.5</v>
      </c>
      <c r="AY20" s="345"/>
      <c r="AZ20" s="344"/>
      <c r="BA20" s="345"/>
      <c r="BB20" s="344"/>
      <c r="BC20" s="345"/>
      <c r="BD20" s="346"/>
      <c r="BE20" s="345"/>
      <c r="BF20" s="346"/>
      <c r="BG20" s="342">
        <v>-50</v>
      </c>
      <c r="BH20" s="344">
        <v>33.25</v>
      </c>
      <c r="BI20" s="345"/>
      <c r="BJ20" s="344"/>
      <c r="BK20" s="345"/>
      <c r="BL20" s="344"/>
      <c r="BM20" s="345"/>
      <c r="BN20" s="344"/>
      <c r="BO20" s="345"/>
      <c r="BP20" s="346"/>
      <c r="BQ20" s="342"/>
      <c r="BR20" s="343"/>
      <c r="BS20" s="357"/>
      <c r="BT20" s="350"/>
      <c r="BU20" s="345"/>
      <c r="BV20" s="344"/>
      <c r="BW20" s="345"/>
      <c r="BX20" s="344"/>
      <c r="BY20" s="345"/>
      <c r="BZ20" s="344"/>
      <c r="CA20" s="345"/>
      <c r="CB20" s="346"/>
      <c r="CC20" s="349"/>
      <c r="CD20" s="350"/>
      <c r="CE20" s="351">
        <f t="shared" si="0"/>
        <v>100</v>
      </c>
      <c r="CF20" s="369">
        <f>(D20+F20+H20+J20+L20+N20+P20+R20+T20+V20+X20+Z20+AB20+AD20+AJ20+AP20+AR20+AT20)/18</f>
        <v>36.294444444444444</v>
      </c>
      <c r="CG20" s="368">
        <f t="shared" si="1"/>
        <v>37155</v>
      </c>
    </row>
    <row r="21" spans="2:85" ht="15.6" x14ac:dyDescent="0.3">
      <c r="B21" s="368">
        <v>37158</v>
      </c>
      <c r="C21" s="349">
        <v>-50</v>
      </c>
      <c r="D21" s="350">
        <v>39.25</v>
      </c>
      <c r="E21" s="349">
        <v>50</v>
      </c>
      <c r="F21" s="350">
        <v>41.5</v>
      </c>
      <c r="G21" s="349">
        <v>50</v>
      </c>
      <c r="H21" s="350">
        <v>40.5</v>
      </c>
      <c r="I21" s="345">
        <v>-50</v>
      </c>
      <c r="J21" s="346">
        <v>37.75</v>
      </c>
      <c r="K21" s="345">
        <v>-50</v>
      </c>
      <c r="L21" s="344">
        <v>37</v>
      </c>
      <c r="M21" s="345">
        <v>-50</v>
      </c>
      <c r="N21" s="344">
        <v>37.5</v>
      </c>
      <c r="O21" s="345"/>
      <c r="P21" s="346"/>
      <c r="Q21" s="342"/>
      <c r="R21" s="343"/>
      <c r="S21" s="357"/>
      <c r="T21" s="350"/>
      <c r="U21" s="349"/>
      <c r="V21" s="350"/>
      <c r="W21" s="345"/>
      <c r="X21" s="346"/>
      <c r="Y21" s="345">
        <v>-50</v>
      </c>
      <c r="Z21" s="346">
        <v>39.5</v>
      </c>
      <c r="AA21" s="345">
        <v>-50</v>
      </c>
      <c r="AB21" s="346">
        <v>40</v>
      </c>
      <c r="AC21" s="345"/>
      <c r="AD21" s="346"/>
      <c r="AE21" s="345">
        <v>-50</v>
      </c>
      <c r="AF21" s="344">
        <v>38.75</v>
      </c>
      <c r="AG21" s="345"/>
      <c r="AH21" s="346"/>
      <c r="AI21" s="345">
        <v>-50</v>
      </c>
      <c r="AJ21" s="346">
        <v>39.5</v>
      </c>
      <c r="AK21" s="345">
        <v>-50</v>
      </c>
      <c r="AL21" s="346">
        <v>40</v>
      </c>
      <c r="AM21" s="342"/>
      <c r="AN21" s="344"/>
      <c r="AO21" s="345">
        <v>-50</v>
      </c>
      <c r="AP21" s="344">
        <v>36.5</v>
      </c>
      <c r="AQ21" s="342">
        <v>-50</v>
      </c>
      <c r="AR21" s="344">
        <v>36</v>
      </c>
      <c r="AS21" s="345">
        <v>-50</v>
      </c>
      <c r="AT21" s="344">
        <v>35.75</v>
      </c>
      <c r="AU21" s="345">
        <v>-50</v>
      </c>
      <c r="AV21" s="344">
        <v>35.75</v>
      </c>
      <c r="AW21" s="345">
        <v>50</v>
      </c>
      <c r="AX21" s="344">
        <v>35.5</v>
      </c>
      <c r="AY21" s="345">
        <v>50</v>
      </c>
      <c r="AZ21" s="346">
        <v>35.25</v>
      </c>
      <c r="BA21" s="345">
        <v>50</v>
      </c>
      <c r="BB21" s="344">
        <v>35</v>
      </c>
      <c r="BC21" s="345">
        <v>50</v>
      </c>
      <c r="BD21" s="346">
        <v>34.75</v>
      </c>
      <c r="BE21" s="345">
        <v>-50</v>
      </c>
      <c r="BF21" s="346">
        <v>34.25</v>
      </c>
      <c r="BG21" s="342">
        <v>-50</v>
      </c>
      <c r="BH21" s="344">
        <v>33.5</v>
      </c>
      <c r="BI21" s="342">
        <v>-50</v>
      </c>
      <c r="BJ21" s="344">
        <v>34</v>
      </c>
      <c r="BK21" s="345">
        <v>-50</v>
      </c>
      <c r="BL21" s="344">
        <v>34.5</v>
      </c>
      <c r="BM21" s="345">
        <v>-50</v>
      </c>
      <c r="BN21" s="344">
        <v>35</v>
      </c>
      <c r="BO21" s="345">
        <v>50</v>
      </c>
      <c r="BP21" s="344">
        <v>35.25</v>
      </c>
      <c r="BQ21" s="345">
        <v>50</v>
      </c>
      <c r="BR21" s="358">
        <v>35</v>
      </c>
      <c r="BS21" s="345">
        <v>50</v>
      </c>
      <c r="BT21" s="344">
        <v>34.5</v>
      </c>
      <c r="BU21" s="345">
        <v>-50</v>
      </c>
      <c r="BV21" s="346">
        <v>34.75</v>
      </c>
      <c r="BW21" s="345">
        <v>-50</v>
      </c>
      <c r="BX21" s="346">
        <v>34.5</v>
      </c>
      <c r="BY21" s="345">
        <v>-50</v>
      </c>
      <c r="BZ21" s="346">
        <v>34.75</v>
      </c>
      <c r="CA21" s="345"/>
      <c r="CB21" s="346"/>
      <c r="CC21" s="349"/>
      <c r="CD21" s="350"/>
      <c r="CE21" s="351">
        <f t="shared" si="0"/>
        <v>-600</v>
      </c>
      <c r="CF21" s="369">
        <f>(D21+F21+H21+J21+L21+N21+Z21+AB21+AF21+AJ21+AL21+AP21+AR21+AT21+AV21+AX21+AZ21+BB21+BD21+BF21+BH21+BJ21+BL21+BN21+BP21+BR21+BT21+BV21)/28</f>
        <v>36.660714285714285</v>
      </c>
      <c r="CG21" s="368">
        <f t="shared" si="1"/>
        <v>37158</v>
      </c>
    </row>
    <row r="22" spans="2:85" ht="15.6" x14ac:dyDescent="0.3">
      <c r="B22" s="368">
        <v>37159</v>
      </c>
      <c r="C22" s="349">
        <v>-50</v>
      </c>
      <c r="D22" s="350">
        <v>39.25</v>
      </c>
      <c r="E22" s="349">
        <v>50</v>
      </c>
      <c r="F22" s="350">
        <v>41.5</v>
      </c>
      <c r="G22" s="349">
        <v>50</v>
      </c>
      <c r="H22" s="350">
        <v>40.5</v>
      </c>
      <c r="I22" s="345">
        <v>-50</v>
      </c>
      <c r="J22" s="346">
        <v>37.75</v>
      </c>
      <c r="K22" s="345">
        <v>-50</v>
      </c>
      <c r="L22" s="344">
        <v>37</v>
      </c>
      <c r="M22" s="345">
        <v>-50</v>
      </c>
      <c r="N22" s="344">
        <v>37.5</v>
      </c>
      <c r="O22" s="345"/>
      <c r="P22" s="346"/>
      <c r="Q22" s="342"/>
      <c r="R22" s="343"/>
      <c r="S22" s="357"/>
      <c r="T22" s="350"/>
      <c r="U22" s="349"/>
      <c r="V22" s="350"/>
      <c r="W22" s="345"/>
      <c r="X22" s="346"/>
      <c r="Y22" s="345">
        <v>-50</v>
      </c>
      <c r="Z22" s="346">
        <v>39.5</v>
      </c>
      <c r="AA22" s="345">
        <v>-50</v>
      </c>
      <c r="AB22" s="346">
        <v>40</v>
      </c>
      <c r="AC22" s="342"/>
      <c r="AD22" s="344"/>
      <c r="AE22" s="345">
        <v>-50</v>
      </c>
      <c r="AF22" s="344">
        <v>38.75</v>
      </c>
      <c r="AG22" s="345"/>
      <c r="AH22" s="346"/>
      <c r="AI22" s="345">
        <v>-50</v>
      </c>
      <c r="AJ22" s="346">
        <v>39.5</v>
      </c>
      <c r="AK22" s="345">
        <v>-50</v>
      </c>
      <c r="AL22" s="346">
        <v>40</v>
      </c>
      <c r="AM22" s="342"/>
      <c r="AN22" s="344"/>
      <c r="AO22" s="345">
        <v>-50</v>
      </c>
      <c r="AP22" s="344">
        <v>36.5</v>
      </c>
      <c r="AQ22" s="342">
        <v>-50</v>
      </c>
      <c r="AR22" s="344">
        <v>36</v>
      </c>
      <c r="AS22" s="345">
        <v>-50</v>
      </c>
      <c r="AT22" s="344">
        <v>35.75</v>
      </c>
      <c r="AU22" s="345">
        <v>-50</v>
      </c>
      <c r="AV22" s="344">
        <v>35.75</v>
      </c>
      <c r="AW22" s="345">
        <v>50</v>
      </c>
      <c r="AX22" s="344">
        <v>35.5</v>
      </c>
      <c r="AY22" s="342">
        <v>50</v>
      </c>
      <c r="AZ22" s="344">
        <v>35.25</v>
      </c>
      <c r="BA22" s="345">
        <v>50</v>
      </c>
      <c r="BB22" s="344">
        <v>35</v>
      </c>
      <c r="BC22" s="345">
        <v>50</v>
      </c>
      <c r="BD22" s="346">
        <v>34.75</v>
      </c>
      <c r="BE22" s="345">
        <v>-50</v>
      </c>
      <c r="BF22" s="346">
        <v>34.25</v>
      </c>
      <c r="BG22" s="342">
        <v>-50</v>
      </c>
      <c r="BH22" s="344">
        <v>33.5</v>
      </c>
      <c r="BI22" s="342">
        <v>-50</v>
      </c>
      <c r="BJ22" s="344">
        <v>34</v>
      </c>
      <c r="BK22" s="345">
        <v>-50</v>
      </c>
      <c r="BL22" s="344">
        <v>34.5</v>
      </c>
      <c r="BM22" s="345">
        <v>-50</v>
      </c>
      <c r="BN22" s="344">
        <v>35</v>
      </c>
      <c r="BO22" s="345">
        <v>50</v>
      </c>
      <c r="BP22" s="344">
        <v>35.25</v>
      </c>
      <c r="BQ22" s="342">
        <v>50</v>
      </c>
      <c r="BR22" s="344">
        <v>35</v>
      </c>
      <c r="BS22" s="345">
        <v>50</v>
      </c>
      <c r="BT22" s="344">
        <v>34.5</v>
      </c>
      <c r="BU22" s="345">
        <v>-50</v>
      </c>
      <c r="BV22" s="346">
        <v>34.75</v>
      </c>
      <c r="BW22" s="342">
        <v>50</v>
      </c>
      <c r="BX22" s="344">
        <v>33.75</v>
      </c>
      <c r="BY22" s="345">
        <v>-50</v>
      </c>
      <c r="BZ22" s="344">
        <v>34</v>
      </c>
      <c r="CA22" s="345">
        <v>50</v>
      </c>
      <c r="CB22" s="344">
        <v>34</v>
      </c>
      <c r="CC22" s="345">
        <v>-50</v>
      </c>
      <c r="CD22" s="344">
        <v>34</v>
      </c>
      <c r="CE22" s="351">
        <f t="shared" si="0"/>
        <v>-500</v>
      </c>
      <c r="CF22" s="369">
        <f>(D22+F22+H22+J22+L22+N22+Z22+AB22+AF22+AJ22+AL22+AP22+AR22+AT22+AV22+AX22+AZ22+BB22+BD22+BF22+BH22+BJ22+BL22+BN22+BP22+BR22+BT22+BV22)/28</f>
        <v>36.660714285714285</v>
      </c>
      <c r="CG22" s="368">
        <f t="shared" si="1"/>
        <v>37159</v>
      </c>
    </row>
    <row r="23" spans="2:85" ht="15.6" x14ac:dyDescent="0.3">
      <c r="B23" s="368">
        <v>37160</v>
      </c>
      <c r="C23" s="349">
        <v>-50</v>
      </c>
      <c r="D23" s="350">
        <v>39.25</v>
      </c>
      <c r="E23" s="349">
        <v>50</v>
      </c>
      <c r="F23" s="350">
        <v>41.5</v>
      </c>
      <c r="G23" s="349">
        <v>50</v>
      </c>
      <c r="H23" s="350">
        <v>40.5</v>
      </c>
      <c r="I23" s="345">
        <v>-50</v>
      </c>
      <c r="J23" s="346">
        <v>37.75</v>
      </c>
      <c r="K23" s="345">
        <v>-50</v>
      </c>
      <c r="L23" s="344">
        <v>37</v>
      </c>
      <c r="M23" s="345">
        <v>-50</v>
      </c>
      <c r="N23" s="344">
        <v>37.5</v>
      </c>
      <c r="O23" s="345"/>
      <c r="P23" s="346"/>
      <c r="Q23" s="345"/>
      <c r="R23" s="346"/>
      <c r="S23" s="357"/>
      <c r="T23" s="350"/>
      <c r="U23" s="349"/>
      <c r="V23" s="350"/>
      <c r="W23" s="345"/>
      <c r="X23" s="346"/>
      <c r="Y23" s="345">
        <v>-50</v>
      </c>
      <c r="Z23" s="346">
        <v>39.5</v>
      </c>
      <c r="AA23" s="345">
        <v>-50</v>
      </c>
      <c r="AB23" s="346">
        <v>40</v>
      </c>
      <c r="AC23" s="342"/>
      <c r="AD23" s="344"/>
      <c r="AE23" s="345">
        <v>-50</v>
      </c>
      <c r="AF23" s="344">
        <v>38.75</v>
      </c>
      <c r="AG23" s="345"/>
      <c r="AH23" s="346"/>
      <c r="AI23" s="345">
        <v>-50</v>
      </c>
      <c r="AJ23" s="346">
        <v>39.5</v>
      </c>
      <c r="AK23" s="345">
        <v>-50</v>
      </c>
      <c r="AL23" s="346">
        <v>40</v>
      </c>
      <c r="AM23" s="342"/>
      <c r="AN23" s="344"/>
      <c r="AO23" s="345">
        <v>-50</v>
      </c>
      <c r="AP23" s="344">
        <v>36.5</v>
      </c>
      <c r="AQ23" s="342">
        <v>-50</v>
      </c>
      <c r="AR23" s="344">
        <v>36</v>
      </c>
      <c r="AS23" s="345">
        <v>-50</v>
      </c>
      <c r="AT23" s="344">
        <v>35.75</v>
      </c>
      <c r="AU23" s="345">
        <v>-50</v>
      </c>
      <c r="AV23" s="344">
        <v>35.75</v>
      </c>
      <c r="AW23" s="345">
        <v>50</v>
      </c>
      <c r="AX23" s="344">
        <v>35.5</v>
      </c>
      <c r="AY23" s="345">
        <v>50</v>
      </c>
      <c r="AZ23" s="346">
        <v>35.25</v>
      </c>
      <c r="BA23" s="345">
        <v>50</v>
      </c>
      <c r="BB23" s="344">
        <v>35</v>
      </c>
      <c r="BC23" s="345">
        <v>50</v>
      </c>
      <c r="BD23" s="346">
        <v>34.75</v>
      </c>
      <c r="BE23" s="345">
        <v>-50</v>
      </c>
      <c r="BF23" s="346">
        <v>34.25</v>
      </c>
      <c r="BG23" s="342">
        <v>-50</v>
      </c>
      <c r="BH23" s="344">
        <v>33.5</v>
      </c>
      <c r="BI23" s="342">
        <v>-50</v>
      </c>
      <c r="BJ23" s="344">
        <v>34</v>
      </c>
      <c r="BK23" s="345">
        <v>-50</v>
      </c>
      <c r="BL23" s="344">
        <v>34.5</v>
      </c>
      <c r="BM23" s="345">
        <v>-50</v>
      </c>
      <c r="BN23" s="344">
        <v>35</v>
      </c>
      <c r="BO23" s="345">
        <v>50</v>
      </c>
      <c r="BP23" s="344">
        <v>35.25</v>
      </c>
      <c r="BQ23" s="345">
        <v>50</v>
      </c>
      <c r="BR23" s="358">
        <v>35</v>
      </c>
      <c r="BS23" s="345">
        <v>50</v>
      </c>
      <c r="BT23" s="344">
        <v>34.5</v>
      </c>
      <c r="BU23" s="345">
        <v>-50</v>
      </c>
      <c r="BV23" s="346">
        <v>34.75</v>
      </c>
      <c r="BW23" s="342">
        <v>50</v>
      </c>
      <c r="BX23" s="344">
        <v>33.75</v>
      </c>
      <c r="BY23" s="345">
        <v>-50</v>
      </c>
      <c r="BZ23" s="344">
        <v>34</v>
      </c>
      <c r="CA23" s="345">
        <v>50</v>
      </c>
      <c r="CB23" s="344">
        <v>34</v>
      </c>
      <c r="CC23" s="345">
        <v>-50</v>
      </c>
      <c r="CD23" s="344">
        <v>34</v>
      </c>
      <c r="CE23" s="351">
        <f t="shared" si="0"/>
        <v>-500</v>
      </c>
      <c r="CF23" s="369">
        <f>(D23+F23+H23+J23+L23+N23+Z23+AB23+AF23+AJ23+AL23+AP23+AR23+AT23+AV23+AX23+AZ23+BB23+BD23+BF23+BH23+BJ23+BL23+BN23+BP23+BR23+BT23+BV23)/28</f>
        <v>36.660714285714285</v>
      </c>
      <c r="CG23" s="368">
        <f t="shared" si="1"/>
        <v>37160</v>
      </c>
    </row>
    <row r="24" spans="2:85" ht="15.6" x14ac:dyDescent="0.3">
      <c r="B24" s="368">
        <v>37161</v>
      </c>
      <c r="C24" s="349">
        <v>-50</v>
      </c>
      <c r="D24" s="350">
        <v>39.25</v>
      </c>
      <c r="E24" s="349">
        <v>50</v>
      </c>
      <c r="F24" s="350">
        <v>41.5</v>
      </c>
      <c r="G24" s="349">
        <v>50</v>
      </c>
      <c r="H24" s="350">
        <v>40.5</v>
      </c>
      <c r="I24" s="345">
        <v>-50</v>
      </c>
      <c r="J24" s="346">
        <v>37.75</v>
      </c>
      <c r="K24" s="345">
        <v>-50</v>
      </c>
      <c r="L24" s="344">
        <v>37</v>
      </c>
      <c r="M24" s="345">
        <v>-50</v>
      </c>
      <c r="N24" s="344">
        <v>37.5</v>
      </c>
      <c r="O24" s="345"/>
      <c r="P24" s="346"/>
      <c r="Q24" s="342"/>
      <c r="R24" s="343"/>
      <c r="S24" s="357"/>
      <c r="T24" s="350"/>
      <c r="U24" s="349"/>
      <c r="V24" s="350"/>
      <c r="W24" s="345"/>
      <c r="X24" s="346"/>
      <c r="Y24" s="345">
        <v>-50</v>
      </c>
      <c r="Z24" s="346">
        <v>39.5</v>
      </c>
      <c r="AA24" s="345">
        <v>-50</v>
      </c>
      <c r="AB24" s="346">
        <v>40</v>
      </c>
      <c r="AC24" s="342"/>
      <c r="AD24" s="344"/>
      <c r="AE24" s="345">
        <v>-50</v>
      </c>
      <c r="AF24" s="344">
        <v>38.75</v>
      </c>
      <c r="AG24" s="345"/>
      <c r="AH24" s="346"/>
      <c r="AI24" s="345">
        <v>-50</v>
      </c>
      <c r="AJ24" s="346">
        <v>39.5</v>
      </c>
      <c r="AK24" s="345">
        <v>-50</v>
      </c>
      <c r="AL24" s="346">
        <v>40</v>
      </c>
      <c r="AM24" s="342"/>
      <c r="AN24" s="344"/>
      <c r="AO24" s="345">
        <v>-50</v>
      </c>
      <c r="AP24" s="344">
        <v>36.5</v>
      </c>
      <c r="AQ24" s="342">
        <v>-50</v>
      </c>
      <c r="AR24" s="344">
        <v>36</v>
      </c>
      <c r="AS24" s="345">
        <v>-50</v>
      </c>
      <c r="AT24" s="344">
        <v>35.75</v>
      </c>
      <c r="AU24" s="345">
        <v>-50</v>
      </c>
      <c r="AV24" s="344">
        <v>35.75</v>
      </c>
      <c r="AW24" s="345">
        <v>50</v>
      </c>
      <c r="AX24" s="344">
        <v>35.5</v>
      </c>
      <c r="AY24" s="342">
        <v>50</v>
      </c>
      <c r="AZ24" s="344">
        <v>35.25</v>
      </c>
      <c r="BA24" s="345">
        <v>50</v>
      </c>
      <c r="BB24" s="344">
        <v>35</v>
      </c>
      <c r="BC24" s="345">
        <v>50</v>
      </c>
      <c r="BD24" s="346">
        <v>34.75</v>
      </c>
      <c r="BE24" s="345">
        <v>-50</v>
      </c>
      <c r="BF24" s="346">
        <v>34.25</v>
      </c>
      <c r="BG24" s="342">
        <v>-50</v>
      </c>
      <c r="BH24" s="344">
        <v>33.5</v>
      </c>
      <c r="BI24" s="342">
        <v>-50</v>
      </c>
      <c r="BJ24" s="344">
        <v>34</v>
      </c>
      <c r="BK24" s="345">
        <v>-50</v>
      </c>
      <c r="BL24" s="344">
        <v>34.5</v>
      </c>
      <c r="BM24" s="345">
        <v>-50</v>
      </c>
      <c r="BN24" s="344">
        <v>35</v>
      </c>
      <c r="BO24" s="345">
        <v>50</v>
      </c>
      <c r="BP24" s="344">
        <v>35.25</v>
      </c>
      <c r="BQ24" s="342">
        <v>50</v>
      </c>
      <c r="BR24" s="344">
        <v>35</v>
      </c>
      <c r="BS24" s="345">
        <v>50</v>
      </c>
      <c r="BT24" s="344">
        <v>34.5</v>
      </c>
      <c r="BU24" s="345">
        <v>-50</v>
      </c>
      <c r="BV24" s="346">
        <v>34.75</v>
      </c>
      <c r="BW24" s="342">
        <v>50</v>
      </c>
      <c r="BX24" s="344">
        <v>33.75</v>
      </c>
      <c r="BY24" s="345">
        <v>-50</v>
      </c>
      <c r="BZ24" s="344">
        <v>34</v>
      </c>
      <c r="CA24" s="345">
        <v>50</v>
      </c>
      <c r="CB24" s="344">
        <v>34</v>
      </c>
      <c r="CC24" s="345">
        <v>-50</v>
      </c>
      <c r="CD24" s="344">
        <v>34</v>
      </c>
      <c r="CE24" s="351">
        <f t="shared" si="0"/>
        <v>-500</v>
      </c>
      <c r="CF24" s="369">
        <f>(D24+F24+H24+J24+L24+N24+Z24+AB24+AF24+AJ24+AL24+AP24+AR24+AT24+AV24+AX24+AZ24+BB24+BD24+BF24+BH24+BJ24+BL24+BN24+BP24+BR24+BT24+BV24)/28</f>
        <v>36.660714285714285</v>
      </c>
      <c r="CG24" s="368">
        <f t="shared" si="1"/>
        <v>37161</v>
      </c>
    </row>
    <row r="25" spans="2:85" ht="15.6" x14ac:dyDescent="0.3">
      <c r="B25" s="368">
        <v>37162</v>
      </c>
      <c r="C25" s="349">
        <v>-50</v>
      </c>
      <c r="D25" s="350">
        <v>39.25</v>
      </c>
      <c r="E25" s="349">
        <v>50</v>
      </c>
      <c r="F25" s="350">
        <v>41.5</v>
      </c>
      <c r="G25" s="349">
        <v>50</v>
      </c>
      <c r="H25" s="350">
        <v>40.5</v>
      </c>
      <c r="I25" s="345">
        <v>-50</v>
      </c>
      <c r="J25" s="346">
        <v>37.75</v>
      </c>
      <c r="K25" s="345">
        <v>-50</v>
      </c>
      <c r="L25" s="344">
        <v>37</v>
      </c>
      <c r="M25" s="345">
        <v>-50</v>
      </c>
      <c r="N25" s="344">
        <v>37.5</v>
      </c>
      <c r="O25" s="345"/>
      <c r="P25" s="346"/>
      <c r="Q25" s="342"/>
      <c r="R25" s="343"/>
      <c r="S25" s="357"/>
      <c r="T25" s="350"/>
      <c r="U25" s="349"/>
      <c r="V25" s="350"/>
      <c r="W25" s="345"/>
      <c r="X25" s="346"/>
      <c r="Y25" s="345">
        <v>-50</v>
      </c>
      <c r="Z25" s="346">
        <v>39.5</v>
      </c>
      <c r="AA25" s="345">
        <v>-50</v>
      </c>
      <c r="AB25" s="346">
        <v>40</v>
      </c>
      <c r="AC25" s="342"/>
      <c r="AD25" s="344"/>
      <c r="AE25" s="345">
        <v>-50</v>
      </c>
      <c r="AF25" s="344">
        <v>38.75</v>
      </c>
      <c r="AG25" s="345"/>
      <c r="AH25" s="346"/>
      <c r="AI25" s="345">
        <v>-50</v>
      </c>
      <c r="AJ25" s="346">
        <v>39.5</v>
      </c>
      <c r="AK25" s="345">
        <v>-50</v>
      </c>
      <c r="AL25" s="346">
        <v>40</v>
      </c>
      <c r="AM25" s="342"/>
      <c r="AN25" s="344"/>
      <c r="AO25" s="345">
        <v>-50</v>
      </c>
      <c r="AP25" s="344">
        <v>36.5</v>
      </c>
      <c r="AQ25" s="342">
        <v>-50</v>
      </c>
      <c r="AR25" s="344">
        <v>36</v>
      </c>
      <c r="AS25" s="345">
        <v>-50</v>
      </c>
      <c r="AT25" s="344">
        <v>35.75</v>
      </c>
      <c r="AU25" s="345">
        <v>-50</v>
      </c>
      <c r="AV25" s="344">
        <v>35.75</v>
      </c>
      <c r="AW25" s="345">
        <v>50</v>
      </c>
      <c r="AX25" s="344">
        <v>35.5</v>
      </c>
      <c r="AY25" s="345">
        <v>50</v>
      </c>
      <c r="AZ25" s="346">
        <v>35.25</v>
      </c>
      <c r="BA25" s="345">
        <v>50</v>
      </c>
      <c r="BB25" s="344">
        <v>35</v>
      </c>
      <c r="BC25" s="345">
        <v>50</v>
      </c>
      <c r="BD25" s="346">
        <v>34.75</v>
      </c>
      <c r="BE25" s="345">
        <v>-50</v>
      </c>
      <c r="BF25" s="346">
        <v>34.25</v>
      </c>
      <c r="BG25" s="342">
        <v>-50</v>
      </c>
      <c r="BH25" s="344">
        <v>33.5</v>
      </c>
      <c r="BI25" s="342">
        <v>-50</v>
      </c>
      <c r="BJ25" s="344">
        <v>34</v>
      </c>
      <c r="BK25" s="345">
        <v>-50</v>
      </c>
      <c r="BL25" s="344">
        <v>34.5</v>
      </c>
      <c r="BM25" s="345">
        <v>-50</v>
      </c>
      <c r="BN25" s="344">
        <v>35</v>
      </c>
      <c r="BO25" s="345">
        <v>50</v>
      </c>
      <c r="BP25" s="344">
        <v>35.25</v>
      </c>
      <c r="BQ25" s="345">
        <v>50</v>
      </c>
      <c r="BR25" s="358">
        <v>35</v>
      </c>
      <c r="BS25" s="345">
        <v>50</v>
      </c>
      <c r="BT25" s="344">
        <v>34.5</v>
      </c>
      <c r="BU25" s="345">
        <v>-50</v>
      </c>
      <c r="BV25" s="346">
        <v>34.75</v>
      </c>
      <c r="BW25" s="342">
        <v>50</v>
      </c>
      <c r="BX25" s="344">
        <v>33.75</v>
      </c>
      <c r="BY25" s="345">
        <v>-50</v>
      </c>
      <c r="BZ25" s="344">
        <v>34</v>
      </c>
      <c r="CA25" s="345">
        <v>50</v>
      </c>
      <c r="CB25" s="344">
        <v>34</v>
      </c>
      <c r="CC25" s="345">
        <v>-50</v>
      </c>
      <c r="CD25" s="344">
        <v>34</v>
      </c>
      <c r="CE25" s="351">
        <f t="shared" si="0"/>
        <v>-500</v>
      </c>
      <c r="CF25" s="369">
        <f>(D25+F25+H25+J25+L25+N25+Z25+AB25+AF25+AJ25+AL25+AP25+AR25+AT25+AV25+AX25+AZ25+BB25+BD25+BF25+BH25+BJ25+BL25+BN25+BP25+BR25+BT25+BV25)/28</f>
        <v>36.660714285714285</v>
      </c>
      <c r="CG25" s="368">
        <f t="shared" si="1"/>
        <v>37162</v>
      </c>
    </row>
    <row r="26" spans="2:85" x14ac:dyDescent="0.25">
      <c r="B26" s="368">
        <v>37163</v>
      </c>
    </row>
    <row r="27" spans="2:85" x14ac:dyDescent="0.25">
      <c r="B27" s="368">
        <v>37164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Z49"/>
  <sheetViews>
    <sheetView topLeftCell="A8" workbookViewId="0">
      <selection activeCell="W29" sqref="W2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customWidth="1"/>
    <col min="20" max="20" width="1.88671875" customWidth="1"/>
    <col min="21" max="21" width="14" customWidth="1"/>
    <col min="25" max="25" width="10" bestFit="1" customWidth="1"/>
    <col min="104" max="104" width="12.5546875" customWidth="1"/>
  </cols>
  <sheetData>
    <row r="1" spans="1:104" ht="27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8" thickBot="1" x14ac:dyDescent="0.3">
      <c r="A3" s="83"/>
      <c r="B3" s="83"/>
      <c r="C3" s="84"/>
      <c r="D3" s="45"/>
      <c r="E3" s="85"/>
      <c r="F3" s="171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8" thickBot="1" x14ac:dyDescent="0.3">
      <c r="A4" s="76"/>
      <c r="B4" s="76">
        <v>37135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98"/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8" thickBot="1" x14ac:dyDescent="0.3">
      <c r="A5" s="218"/>
      <c r="B5" s="218">
        <f>B4+1</f>
        <v>37136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195"/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8" thickBot="1" x14ac:dyDescent="0.3">
      <c r="A6" s="181"/>
      <c r="B6" s="181"/>
      <c r="C6" s="182"/>
      <c r="D6" s="182"/>
      <c r="E6" s="196"/>
      <c r="F6" s="198"/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395" t="s">
        <v>241</v>
      </c>
      <c r="B7" s="395">
        <f>B5+1</f>
        <v>37137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 t="e">
        <f>#REF!</f>
        <v>#REF!</v>
      </c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 t="e">
        <f>U7</f>
        <v>#REF!</v>
      </c>
    </row>
    <row r="8" spans="1:104" ht="16.2" thickBot="1" x14ac:dyDescent="0.35">
      <c r="A8" s="199" t="s">
        <v>242</v>
      </c>
      <c r="B8" s="199">
        <f>B7+1</f>
        <v>37138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 t="e">
        <f>#REF!</f>
        <v>#REF!</v>
      </c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 t="e">
        <f t="shared" ref="CZ8:CZ28" si="5">U8</f>
        <v>#REF!</v>
      </c>
    </row>
    <row r="9" spans="1:104" ht="16.2" thickBot="1" x14ac:dyDescent="0.35">
      <c r="A9" s="199" t="s">
        <v>243</v>
      </c>
      <c r="B9" s="199">
        <f>B8+1</f>
        <v>37139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0</v>
      </c>
      <c r="J9" s="432">
        <f t="shared" si="6"/>
        <v>0</v>
      </c>
      <c r="K9" s="33">
        <f t="shared" si="3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>B7</f>
        <v>37137</v>
      </c>
      <c r="V9" s="345"/>
      <c r="W9" s="346"/>
      <c r="X9" s="345"/>
      <c r="Y9" s="346"/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0</v>
      </c>
      <c r="CY9" s="352">
        <f>IF(AND(CX9=0,DB9=0),0,(DE9+DF9)/DB9)</f>
        <v>0</v>
      </c>
      <c r="CZ9" s="368">
        <f t="shared" si="5"/>
        <v>37137</v>
      </c>
    </row>
    <row r="10" spans="1:104" ht="16.2" thickBot="1" x14ac:dyDescent="0.35">
      <c r="A10" s="199" t="s">
        <v>244</v>
      </c>
      <c r="B10" s="199">
        <f>B9+1</f>
        <v>37140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0</v>
      </c>
      <c r="J10" s="432">
        <f t="shared" si="6"/>
        <v>0</v>
      </c>
      <c r="K10" s="33">
        <f t="shared" si="3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>B8</f>
        <v>37138</v>
      </c>
      <c r="V10" s="342"/>
      <c r="W10" s="367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0</v>
      </c>
      <c r="CY10" s="352">
        <f>IF(AND(CX10=0,DB10=0),0,(DE10+DF10)/DB10)</f>
        <v>0</v>
      </c>
      <c r="CZ10" s="368">
        <f t="shared" si="5"/>
        <v>37138</v>
      </c>
    </row>
    <row r="11" spans="1:104" ht="16.2" thickBot="1" x14ac:dyDescent="0.35">
      <c r="A11" s="379" t="s">
        <v>245</v>
      </c>
      <c r="B11" s="379">
        <f>B10+1</f>
        <v>37141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0</v>
      </c>
      <c r="J11" s="435">
        <f t="shared" si="6"/>
        <v>0</v>
      </c>
      <c r="K11" s="178">
        <f t="shared" si="3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>B9</f>
        <v>37139</v>
      </c>
      <c r="V11" s="342"/>
      <c r="W11" s="367"/>
      <c r="X11" s="345"/>
      <c r="Y11" s="346"/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0</v>
      </c>
      <c r="CY11" s="352">
        <f>(W11+Y11+AA11+AC11+AE11+AG11+AI11+AK11)/8</f>
        <v>0</v>
      </c>
      <c r="CZ11" s="368">
        <f t="shared" si="5"/>
        <v>37139</v>
      </c>
    </row>
    <row r="12" spans="1:104" ht="16.2" thickBot="1" x14ac:dyDescent="0.35">
      <c r="A12" s="405" t="s">
        <v>241</v>
      </c>
      <c r="B12" s="405">
        <f>B11+3</f>
        <v>37144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0</v>
      </c>
      <c r="J12" s="434">
        <f t="shared" si="6"/>
        <v>0</v>
      </c>
      <c r="K12" s="419">
        <f t="shared" si="3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ref="U12:U28" si="7">B10</f>
        <v>37140</v>
      </c>
      <c r="V12" s="345"/>
      <c r="W12" s="358"/>
      <c r="X12" s="345"/>
      <c r="Y12" s="346"/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0</v>
      </c>
      <c r="CY12" s="352">
        <f>(W12+Y12+AA12+AC12+AE12+AG12+AI12+AK12+AM12+AO12+AQ12+AS12)/12</f>
        <v>0</v>
      </c>
      <c r="CZ12" s="368">
        <f t="shared" si="5"/>
        <v>37140</v>
      </c>
    </row>
    <row r="13" spans="1:104" ht="16.2" thickBot="1" x14ac:dyDescent="0.35">
      <c r="A13" s="322" t="s">
        <v>242</v>
      </c>
      <c r="B13" s="322">
        <f>B12+1</f>
        <v>37145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>R15</f>
        <v>0</v>
      </c>
      <c r="J13" s="432">
        <f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37141</v>
      </c>
      <c r="V13" s="345"/>
      <c r="W13" s="358"/>
      <c r="X13" s="345"/>
      <c r="Y13" s="346"/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0</v>
      </c>
      <c r="CY13" s="352">
        <f>(W13+Y13+AA13+AC13+AG13)/5</f>
        <v>0</v>
      </c>
      <c r="CZ13" s="368">
        <f t="shared" si="5"/>
        <v>37141</v>
      </c>
    </row>
    <row r="14" spans="1:104" ht="16.2" thickBot="1" x14ac:dyDescent="0.35">
      <c r="A14" s="323" t="s">
        <v>243</v>
      </c>
      <c r="B14" s="322">
        <f>B13+1</f>
        <v>37146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8">H13</f>
        <v>1260.5752961082912</v>
      </c>
      <c r="I14" s="377">
        <f t="shared" ref="I14:I26" si="9">R16</f>
        <v>0</v>
      </c>
      <c r="J14" s="432">
        <f t="shared" ref="J14:J26" si="10">S16</f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37144</v>
      </c>
      <c r="V14" s="345"/>
      <c r="W14" s="346"/>
      <c r="X14" s="345"/>
      <c r="Y14" s="344"/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0</v>
      </c>
      <c r="CY14" s="352">
        <f>(W14+Y14+AA14+AC14+AE14+AG14+AI14+AK14+AO14+AQ14+AS14)/11</f>
        <v>0</v>
      </c>
      <c r="CZ14" s="368">
        <f t="shared" si="5"/>
        <v>37144</v>
      </c>
    </row>
    <row r="15" spans="1:104" ht="16.2" thickBot="1" x14ac:dyDescent="0.35">
      <c r="A15" s="323" t="s">
        <v>244</v>
      </c>
      <c r="B15" s="322">
        <f>B14+1</f>
        <v>37147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8"/>
        <v>1260.5752961082912</v>
      </c>
      <c r="I15" s="377">
        <f t="shared" si="9"/>
        <v>0</v>
      </c>
      <c r="J15" s="432">
        <f t="shared" si="10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37145</v>
      </c>
      <c r="V15" s="345"/>
      <c r="W15" s="346"/>
      <c r="X15" s="345"/>
      <c r="Y15" s="344"/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0</v>
      </c>
      <c r="CY15" s="352">
        <f>(AM15+AU15)/2</f>
        <v>0</v>
      </c>
      <c r="CZ15" s="368">
        <f t="shared" si="5"/>
        <v>37145</v>
      </c>
    </row>
    <row r="16" spans="1:104" ht="16.2" thickBot="1" x14ac:dyDescent="0.35">
      <c r="A16" s="394" t="s">
        <v>245</v>
      </c>
      <c r="B16" s="380">
        <f>B15+1</f>
        <v>37148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8"/>
        <v>1260.5752961082912</v>
      </c>
      <c r="I16" s="377">
        <f t="shared" si="9"/>
        <v>0</v>
      </c>
      <c r="J16" s="432">
        <f t="shared" si="10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37146</v>
      </c>
      <c r="V16" s="345"/>
      <c r="W16" s="346"/>
      <c r="X16" s="345"/>
      <c r="Y16" s="344"/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0</v>
      </c>
      <c r="CY16" s="352">
        <f>(AM16+AU16)/2</f>
        <v>0</v>
      </c>
      <c r="CZ16" s="368">
        <f t="shared" si="5"/>
        <v>37146</v>
      </c>
    </row>
    <row r="17" spans="1:104" ht="16.2" thickBot="1" x14ac:dyDescent="0.35">
      <c r="A17" s="395" t="s">
        <v>241</v>
      </c>
      <c r="B17" s="395">
        <f>B16+3</f>
        <v>37151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8"/>
        <v>1260.5752961082912</v>
      </c>
      <c r="I17" s="377">
        <f t="shared" si="9"/>
        <v>0</v>
      </c>
      <c r="J17" s="432">
        <f t="shared" si="10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37147</v>
      </c>
      <c r="V17" s="345"/>
      <c r="W17" s="346"/>
      <c r="X17" s="345"/>
      <c r="Y17" s="344"/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0</v>
      </c>
      <c r="CY17" s="352">
        <f>(AM17+AU17)/2</f>
        <v>0</v>
      </c>
      <c r="CZ17" s="368">
        <f t="shared" si="5"/>
        <v>37147</v>
      </c>
    </row>
    <row r="18" spans="1:104" ht="16.2" thickBot="1" x14ac:dyDescent="0.35">
      <c r="A18" s="193" t="s">
        <v>242</v>
      </c>
      <c r="B18" s="193">
        <f>B17+1</f>
        <v>37152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8"/>
        <v>1260.5752961082912</v>
      </c>
      <c r="I18" s="377">
        <f t="shared" si="9"/>
        <v>0</v>
      </c>
      <c r="J18" s="432">
        <f t="shared" si="10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37148</v>
      </c>
      <c r="V18" s="345"/>
      <c r="W18" s="346"/>
      <c r="X18" s="345"/>
      <c r="Y18" s="344"/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0</v>
      </c>
      <c r="CY18" s="352">
        <f>(AM18+AU18)/2</f>
        <v>0</v>
      </c>
      <c r="CZ18" s="368">
        <f t="shared" si="5"/>
        <v>37148</v>
      </c>
    </row>
    <row r="19" spans="1:104" ht="16.2" thickBot="1" x14ac:dyDescent="0.35">
      <c r="A19" s="194" t="s">
        <v>243</v>
      </c>
      <c r="B19" s="194">
        <f>B18+1</f>
        <v>37153</v>
      </c>
      <c r="C19" s="507">
        <f>'EOL LINKS'!B8</f>
        <v>38.5</v>
      </c>
      <c r="D19" s="507">
        <f>'EOL LINKS'!C8</f>
        <v>39</v>
      </c>
      <c r="E19" s="70">
        <f t="shared" si="1"/>
        <v>38.75</v>
      </c>
      <c r="F19" s="398">
        <v>0</v>
      </c>
      <c r="G19" s="72">
        <f t="shared" si="2"/>
        <v>38.75</v>
      </c>
      <c r="H19" s="100">
        <f t="shared" si="8"/>
        <v>1260.5752961082912</v>
      </c>
      <c r="I19" s="377">
        <f t="shared" si="9"/>
        <v>0</v>
      </c>
      <c r="J19" s="432">
        <f t="shared" si="10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37151</v>
      </c>
      <c r="V19" s="345"/>
      <c r="W19" s="346"/>
      <c r="X19" s="345"/>
      <c r="Y19" s="344"/>
      <c r="Z19" s="345"/>
      <c r="AA19" s="344"/>
      <c r="AB19" s="345"/>
      <c r="AC19" s="346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0</v>
      </c>
      <c r="CY19" s="352">
        <f>(W19+Y19)/2</f>
        <v>0</v>
      </c>
      <c r="CZ19" s="368">
        <f t="shared" si="5"/>
        <v>37151</v>
      </c>
    </row>
    <row r="20" spans="1:104" ht="16.2" thickBot="1" x14ac:dyDescent="0.35">
      <c r="A20" s="194" t="s">
        <v>244</v>
      </c>
      <c r="B20" s="194">
        <f>B19+1</f>
        <v>37154</v>
      </c>
      <c r="C20" s="507">
        <f>'EOL LINKS'!B8</f>
        <v>38.5</v>
      </c>
      <c r="D20" s="507">
        <f>'EOL LINKS'!C8</f>
        <v>39</v>
      </c>
      <c r="E20" s="70">
        <f t="shared" si="1"/>
        <v>38.75</v>
      </c>
      <c r="F20" s="398">
        <v>0</v>
      </c>
      <c r="G20" s="72">
        <f t="shared" si="2"/>
        <v>38.75</v>
      </c>
      <c r="H20" s="100">
        <f t="shared" si="8"/>
        <v>1260.5752961082912</v>
      </c>
      <c r="I20" s="377">
        <f t="shared" si="9"/>
        <v>0</v>
      </c>
      <c r="J20" s="432">
        <f t="shared" si="10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v>0</v>
      </c>
      <c r="S20" s="482">
        <f>'Zone J'!CF17</f>
        <v>0</v>
      </c>
      <c r="U20" s="368">
        <f t="shared" si="7"/>
        <v>37152</v>
      </c>
      <c r="V20" s="345"/>
      <c r="W20" s="346"/>
      <c r="X20" s="345"/>
      <c r="Y20" s="344"/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0</v>
      </c>
      <c r="CY20" s="369">
        <f>(AA20)</f>
        <v>0</v>
      </c>
      <c r="CZ20" s="368">
        <f t="shared" si="5"/>
        <v>37152</v>
      </c>
    </row>
    <row r="21" spans="1:104" ht="16.2" thickBot="1" x14ac:dyDescent="0.35">
      <c r="A21" s="205" t="s">
        <v>245</v>
      </c>
      <c r="B21" s="205">
        <f>B20+1</f>
        <v>37155</v>
      </c>
      <c r="C21" s="32">
        <f>'EOL LINKS'!B8</f>
        <v>38.5</v>
      </c>
      <c r="D21" s="32">
        <f>'EOL LINKS'!C8</f>
        <v>39</v>
      </c>
      <c r="E21" s="78">
        <f t="shared" si="1"/>
        <v>38.75</v>
      </c>
      <c r="F21" s="398">
        <v>0</v>
      </c>
      <c r="G21" s="177">
        <f t="shared" si="2"/>
        <v>38.75</v>
      </c>
      <c r="H21" s="153">
        <f t="shared" si="8"/>
        <v>1260.5752961082912</v>
      </c>
      <c r="I21" s="377">
        <f t="shared" si="9"/>
        <v>0</v>
      </c>
      <c r="J21" s="432">
        <f t="shared" si="10"/>
        <v>9.4423076923076916</v>
      </c>
      <c r="K21" s="178">
        <f t="shared" si="3"/>
        <v>0</v>
      </c>
      <c r="L21" s="51"/>
      <c r="M21" s="51"/>
      <c r="N21" s="38"/>
      <c r="R21" s="452">
        <v>0</v>
      </c>
      <c r="S21" s="482">
        <f>'Zone J'!CF18</f>
        <v>0</v>
      </c>
      <c r="U21" s="368">
        <f t="shared" si="7"/>
        <v>37153</v>
      </c>
      <c r="V21" s="345"/>
      <c r="W21" s="346"/>
      <c r="X21" s="345"/>
      <c r="Y21" s="344"/>
      <c r="Z21" s="345"/>
      <c r="AA21" s="344"/>
      <c r="AB21" s="345"/>
      <c r="AC21" s="346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0</v>
      </c>
      <c r="CY21" s="369">
        <f>(AA21)</f>
        <v>0</v>
      </c>
      <c r="CZ21" s="368">
        <f t="shared" si="5"/>
        <v>37153</v>
      </c>
    </row>
    <row r="22" spans="1:104" ht="16.2" thickBot="1" x14ac:dyDescent="0.35">
      <c r="A22" s="399" t="s">
        <v>241</v>
      </c>
      <c r="B22" s="399">
        <f>B21+3</f>
        <v>37158</v>
      </c>
      <c r="C22" s="398">
        <f>'EOL LINKS'!B8</f>
        <v>38.5</v>
      </c>
      <c r="D22" s="398">
        <f>'EOL LINKS'!C8</f>
        <v>39</v>
      </c>
      <c r="E22" s="387">
        <f t="shared" si="1"/>
        <v>38.75</v>
      </c>
      <c r="F22" s="398">
        <v>0</v>
      </c>
      <c r="G22" s="406">
        <f t="shared" si="2"/>
        <v>38.75</v>
      </c>
      <c r="H22" s="390">
        <f t="shared" si="8"/>
        <v>1260.5752961082912</v>
      </c>
      <c r="I22" s="377">
        <f t="shared" si="9"/>
        <v>0</v>
      </c>
      <c r="J22" s="432">
        <f t="shared" si="10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v>0</v>
      </c>
      <c r="S22" s="482">
        <f>'Zone J'!CF19</f>
        <v>15.096153846153847</v>
      </c>
      <c r="U22" s="368">
        <f t="shared" si="7"/>
        <v>37154</v>
      </c>
      <c r="V22" s="345"/>
      <c r="W22" s="346"/>
      <c r="X22" s="345"/>
      <c r="Y22" s="344"/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0</v>
      </c>
      <c r="CY22" s="369">
        <f>(AA22)</f>
        <v>0</v>
      </c>
      <c r="CZ22" s="368">
        <f t="shared" si="5"/>
        <v>37154</v>
      </c>
    </row>
    <row r="23" spans="1:104" ht="16.2" thickBot="1" x14ac:dyDescent="0.35">
      <c r="A23" s="324" t="s">
        <v>242</v>
      </c>
      <c r="B23" s="324">
        <f>B22+1</f>
        <v>37159</v>
      </c>
      <c r="C23" s="328">
        <f>'EOL LINKS'!B8</f>
        <v>38.5</v>
      </c>
      <c r="D23" s="328">
        <f>'EOL LINKS'!C8</f>
        <v>39</v>
      </c>
      <c r="E23" s="372">
        <f t="shared" si="1"/>
        <v>38.75</v>
      </c>
      <c r="F23" s="398">
        <v>0</v>
      </c>
      <c r="G23" s="407">
        <f t="shared" si="2"/>
        <v>38.75</v>
      </c>
      <c r="H23" s="172">
        <f t="shared" si="8"/>
        <v>1260.5752961082912</v>
      </c>
      <c r="I23" s="377">
        <f t="shared" si="9"/>
        <v>0</v>
      </c>
      <c r="J23" s="432">
        <f t="shared" si="10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37155</v>
      </c>
      <c r="V23" s="345"/>
      <c r="W23" s="346"/>
      <c r="X23" s="345"/>
      <c r="Y23" s="346"/>
      <c r="Z23" s="345"/>
      <c r="AA23" s="344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0</v>
      </c>
      <c r="CY23" s="369">
        <f>(AA23)</f>
        <v>0</v>
      </c>
      <c r="CZ23" s="368">
        <f t="shared" si="5"/>
        <v>37155</v>
      </c>
    </row>
    <row r="24" spans="1:104" ht="16.2" thickBot="1" x14ac:dyDescent="0.35">
      <c r="A24" s="325" t="s">
        <v>243</v>
      </c>
      <c r="B24" s="324">
        <f>B23+1</f>
        <v>37160</v>
      </c>
      <c r="C24" s="327">
        <f>'EOL LINKS'!B10</f>
        <v>35.75</v>
      </c>
      <c r="D24" s="327">
        <f>'EOL LINKS'!C10</f>
        <v>36.25</v>
      </c>
      <c r="E24" s="373">
        <f t="shared" si="1"/>
        <v>36</v>
      </c>
      <c r="F24" s="398">
        <v>37</v>
      </c>
      <c r="G24" s="408">
        <f t="shared" si="2"/>
        <v>-1</v>
      </c>
      <c r="H24" s="100">
        <f t="shared" si="8"/>
        <v>1260.5752961082912</v>
      </c>
      <c r="I24" s="377">
        <f t="shared" si="9"/>
        <v>-150</v>
      </c>
      <c r="J24" s="432">
        <f t="shared" si="10"/>
        <v>41.06111111111111</v>
      </c>
      <c r="K24" s="421">
        <f t="shared" si="3"/>
        <v>2400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37158</v>
      </c>
      <c r="V24" s="345"/>
      <c r="W24" s="346"/>
      <c r="X24" s="345"/>
      <c r="Y24" s="346"/>
      <c r="Z24" s="345"/>
      <c r="AA24" s="344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0</v>
      </c>
      <c r="CY24" s="352">
        <f>(W24+Y24+AA24+AC24)/4</f>
        <v>0</v>
      </c>
      <c r="CZ24" s="368">
        <f t="shared" si="5"/>
        <v>37158</v>
      </c>
    </row>
    <row r="25" spans="1:104" ht="16.2" thickBot="1" x14ac:dyDescent="0.35">
      <c r="A25" s="325" t="s">
        <v>244</v>
      </c>
      <c r="B25" s="324">
        <f>B24+1</f>
        <v>37161</v>
      </c>
      <c r="C25" s="327">
        <f t="shared" ref="C25:D26" si="11">C24</f>
        <v>35.75</v>
      </c>
      <c r="D25" s="327">
        <f t="shared" si="11"/>
        <v>36.25</v>
      </c>
      <c r="E25" s="373">
        <f t="shared" si="1"/>
        <v>36</v>
      </c>
      <c r="F25" s="398">
        <v>37</v>
      </c>
      <c r="G25" s="408">
        <f t="shared" si="2"/>
        <v>-1</v>
      </c>
      <c r="H25" s="100">
        <f t="shared" si="8"/>
        <v>1260.5752961082912</v>
      </c>
      <c r="I25" s="377">
        <f t="shared" si="9"/>
        <v>-150</v>
      </c>
      <c r="J25" s="432">
        <f t="shared" si="10"/>
        <v>41.06111111111111</v>
      </c>
      <c r="K25" s="421">
        <f t="shared" si="3"/>
        <v>2400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37159</v>
      </c>
      <c r="V25" s="345"/>
      <c r="W25" s="346"/>
      <c r="X25" s="345"/>
      <c r="Y25" s="344"/>
      <c r="Z25" s="345"/>
      <c r="AA25" s="344"/>
      <c r="AB25" s="345"/>
      <c r="AC25" s="346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0</v>
      </c>
      <c r="CY25" s="352">
        <f>(W25+Y25+AA25+AC25)/4</f>
        <v>0</v>
      </c>
      <c r="CZ25" s="368">
        <f t="shared" si="5"/>
        <v>37159</v>
      </c>
    </row>
    <row r="26" spans="1:104" ht="16.2" thickBot="1" x14ac:dyDescent="0.35">
      <c r="A26" s="370" t="s">
        <v>245</v>
      </c>
      <c r="B26" s="370">
        <f>B25+1</f>
        <v>37162</v>
      </c>
      <c r="C26" s="326">
        <f t="shared" si="11"/>
        <v>35.75</v>
      </c>
      <c r="D26" s="326">
        <f t="shared" si="11"/>
        <v>36.25</v>
      </c>
      <c r="E26" s="371">
        <f t="shared" si="1"/>
        <v>36</v>
      </c>
      <c r="F26" s="398">
        <v>37</v>
      </c>
      <c r="G26" s="409">
        <f t="shared" si="2"/>
        <v>-1</v>
      </c>
      <c r="H26" s="153">
        <f t="shared" si="8"/>
        <v>1260.5752961082912</v>
      </c>
      <c r="I26" s="377">
        <f t="shared" si="9"/>
        <v>-150</v>
      </c>
      <c r="J26" s="432">
        <f t="shared" si="10"/>
        <v>41.06111111111111</v>
      </c>
      <c r="K26" s="422">
        <f t="shared" si="3"/>
        <v>2400</v>
      </c>
      <c r="L26" s="51"/>
      <c r="M26" s="22"/>
      <c r="N26" s="47"/>
      <c r="O26" s="49"/>
      <c r="P26" s="22"/>
      <c r="Q26" s="22"/>
      <c r="R26" s="452">
        <f>'Zone J'!CE23</f>
        <v>-150</v>
      </c>
      <c r="S26" s="482">
        <f>'Zone J'!CF23</f>
        <v>41.06111111111111</v>
      </c>
      <c r="U26" s="368">
        <f t="shared" si="7"/>
        <v>37160</v>
      </c>
      <c r="V26" s="345">
        <v>50</v>
      </c>
      <c r="W26" s="346">
        <v>36.5</v>
      </c>
      <c r="X26" s="345"/>
      <c r="Y26" s="346"/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50</v>
      </c>
      <c r="CY26" s="352">
        <f>(W26+Y26+AA26+AC26)/4</f>
        <v>9.125</v>
      </c>
      <c r="CZ26" s="368">
        <f t="shared" si="5"/>
        <v>37160</v>
      </c>
    </row>
    <row r="27" spans="1:104" ht="16.2" thickBot="1" x14ac:dyDescent="0.35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f>'Zone J'!CE24</f>
        <v>-150</v>
      </c>
      <c r="S27" s="482">
        <f>'Zone J'!CF24</f>
        <v>41.06111111111111</v>
      </c>
      <c r="U27" s="368">
        <f t="shared" si="7"/>
        <v>37161</v>
      </c>
      <c r="V27" s="345">
        <v>50</v>
      </c>
      <c r="W27" s="346">
        <v>36.5</v>
      </c>
      <c r="X27" s="345"/>
      <c r="Y27" s="344"/>
      <c r="Z27" s="345"/>
      <c r="AA27" s="344"/>
      <c r="AB27" s="345"/>
      <c r="AC27" s="346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50</v>
      </c>
      <c r="CY27" s="352">
        <f>(W27+Y27+AA27+AC27)/4</f>
        <v>9.125</v>
      </c>
      <c r="CZ27" s="368">
        <f t="shared" si="5"/>
        <v>37161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2">SUM(C7:C27)/21</f>
        <v>35.392857142857146</v>
      </c>
      <c r="D28" s="211">
        <f t="shared" si="12"/>
        <v>35.964285714285715</v>
      </c>
      <c r="E28" s="211">
        <f t="shared" si="12"/>
        <v>35.678571428571431</v>
      </c>
      <c r="F28" s="211">
        <f t="shared" si="12"/>
        <v>5.2857142857142856</v>
      </c>
      <c r="G28" s="211">
        <f t="shared" si="12"/>
        <v>30.392857142857142</v>
      </c>
      <c r="H28" s="216">
        <f t="shared" si="12"/>
        <v>1174.3614535492707</v>
      </c>
      <c r="I28" s="216"/>
      <c r="J28" s="216"/>
      <c r="K28" s="213">
        <f>SUM(K7:K27)</f>
        <v>7200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f>'Zone J'!CE25</f>
        <v>-150</v>
      </c>
      <c r="S28" s="483">
        <f>'Zone J'!CF25</f>
        <v>41.06111111111111</v>
      </c>
      <c r="U28" s="368">
        <f t="shared" si="7"/>
        <v>37162</v>
      </c>
      <c r="V28" s="345">
        <v>50</v>
      </c>
      <c r="W28" s="346">
        <v>36.5</v>
      </c>
      <c r="X28" s="345"/>
      <c r="Y28" s="346"/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50</v>
      </c>
      <c r="CY28" s="352">
        <f>(W28+Y28+AA28+AC28)/4</f>
        <v>9.125</v>
      </c>
      <c r="CZ28" s="368">
        <f t="shared" si="5"/>
        <v>37162</v>
      </c>
    </row>
    <row r="29" spans="1:104" ht="16.2" thickBot="1" x14ac:dyDescent="0.35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v>37163</v>
      </c>
      <c r="V29" s="342"/>
      <c r="W29" s="367"/>
      <c r="X29" s="345"/>
      <c r="Y29" s="346"/>
      <c r="Z29" s="345"/>
      <c r="AA29" s="346"/>
      <c r="AB29" s="345"/>
      <c r="AC29" s="346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2" thickBot="1" x14ac:dyDescent="0.35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>
        <v>37164</v>
      </c>
      <c r="V30" s="469"/>
      <c r="W30" s="470"/>
      <c r="X30" s="471"/>
      <c r="Y30" s="360"/>
      <c r="Z30" s="471"/>
      <c r="AA30" s="472"/>
      <c r="AB30" s="471"/>
      <c r="AC30" s="472"/>
      <c r="AD30" s="471"/>
      <c r="AE30" s="360"/>
      <c r="AF30" s="471"/>
      <c r="AG30" s="360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481"/>
    </row>
    <row r="31" spans="1:104" ht="16.2" thickBot="1" x14ac:dyDescent="0.35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461"/>
      <c r="V31" s="460"/>
      <c r="W31" s="462"/>
      <c r="X31" s="460"/>
      <c r="Y31" s="459"/>
      <c r="Z31" s="460"/>
      <c r="AA31" s="459"/>
      <c r="AB31" s="460"/>
      <c r="AC31" s="459"/>
      <c r="AD31" s="460"/>
      <c r="AE31" s="459"/>
      <c r="AF31" s="460"/>
      <c r="AG31" s="459"/>
      <c r="AH31" s="460"/>
      <c r="AI31" s="459"/>
      <c r="AJ31" s="460"/>
      <c r="AK31" s="459"/>
      <c r="AL31" s="460"/>
      <c r="AM31" s="459"/>
      <c r="AN31" s="460"/>
      <c r="AO31" s="459"/>
      <c r="AP31" s="460"/>
      <c r="AQ31" s="459"/>
      <c r="AR31" s="460"/>
      <c r="AS31" s="459"/>
      <c r="AT31" s="460"/>
      <c r="AU31" s="463"/>
      <c r="AV31" s="460"/>
      <c r="AW31" s="459"/>
      <c r="AX31" s="460"/>
      <c r="AY31" s="459"/>
      <c r="AZ31" s="460"/>
      <c r="BA31" s="459"/>
      <c r="BB31" s="460"/>
      <c r="BC31" s="459"/>
      <c r="BD31" s="460"/>
      <c r="BE31" s="459"/>
      <c r="BF31" s="460"/>
      <c r="BG31" s="459"/>
      <c r="BH31" s="460"/>
      <c r="BI31" s="459"/>
      <c r="BJ31" s="460"/>
      <c r="BK31" s="459"/>
      <c r="BL31" s="460"/>
      <c r="BM31" s="459"/>
      <c r="BN31" s="460"/>
      <c r="BO31" s="459"/>
      <c r="BP31" s="460"/>
      <c r="BQ31" s="459"/>
      <c r="BR31" s="460"/>
      <c r="BS31" s="459"/>
      <c r="BT31" s="460"/>
      <c r="BU31" s="459"/>
      <c r="BV31" s="460"/>
      <c r="BW31" s="459"/>
      <c r="BX31" s="460"/>
      <c r="BY31" s="459"/>
      <c r="BZ31" s="460"/>
      <c r="CA31" s="459"/>
      <c r="CB31" s="460"/>
      <c r="CC31" s="459"/>
      <c r="CD31" s="460"/>
      <c r="CE31" s="459"/>
      <c r="CF31" s="460"/>
      <c r="CG31" s="459"/>
      <c r="CH31" s="460"/>
      <c r="CI31" s="459"/>
      <c r="CJ31" s="460"/>
      <c r="CK31" s="459"/>
      <c r="CL31" s="460"/>
      <c r="CM31" s="459"/>
      <c r="CN31" s="460"/>
      <c r="CO31" s="459"/>
      <c r="CP31" s="460"/>
      <c r="CQ31" s="459"/>
      <c r="CR31" s="460"/>
      <c r="CS31" s="459"/>
      <c r="CT31" s="460"/>
      <c r="CU31" s="459"/>
      <c r="CV31" s="460"/>
      <c r="CW31" s="459"/>
      <c r="CX31" s="464"/>
      <c r="CY31" s="465"/>
      <c r="CZ31" s="466"/>
    </row>
    <row r="32" spans="1:104" ht="16.2" thickBot="1" x14ac:dyDescent="0.35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7200</v>
      </c>
      <c r="L32" s="51"/>
      <c r="M32" s="51"/>
      <c r="N32" s="22"/>
      <c r="Q32" s="58"/>
      <c r="R32" s="442"/>
      <c r="S32" s="263"/>
      <c r="U32" s="461"/>
      <c r="V32" s="460"/>
      <c r="W32" s="462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5.6" x14ac:dyDescent="0.3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442"/>
      <c r="S33" s="263"/>
      <c r="U33" s="461"/>
      <c r="V33" s="460"/>
      <c r="W33" s="462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5.6" x14ac:dyDescent="0.3">
      <c r="C34" s="56"/>
      <c r="E34" s="50"/>
      <c r="N34" s="22"/>
      <c r="O34" s="58"/>
      <c r="P34" s="58"/>
      <c r="R34" s="443"/>
      <c r="S34" s="437"/>
      <c r="U34" s="461"/>
      <c r="V34" s="460"/>
      <c r="W34" s="462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5.6" x14ac:dyDescent="0.3">
      <c r="C35" s="56"/>
      <c r="E35" s="50"/>
      <c r="R35" s="443"/>
      <c r="S35" s="437"/>
      <c r="U35" s="461"/>
      <c r="V35" s="460"/>
      <c r="W35" s="462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5.6" x14ac:dyDescent="0.3">
      <c r="C36" s="56"/>
      <c r="E36" s="50"/>
      <c r="R36" s="443"/>
      <c r="S36" s="437"/>
      <c r="U36" s="461"/>
      <c r="V36" s="460"/>
      <c r="W36" s="462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5.6" x14ac:dyDescent="0.3">
      <c r="C37" s="56"/>
      <c r="E37" s="50"/>
      <c r="R37" s="443"/>
      <c r="S37" s="437"/>
      <c r="U37" s="461"/>
      <c r="V37" s="460"/>
      <c r="W37" s="462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43"/>
      <c r="S38" s="437"/>
      <c r="U38" s="461"/>
      <c r="V38" s="460"/>
      <c r="W38" s="462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  <c r="R39" s="443"/>
      <c r="S39" s="437"/>
    </row>
    <row r="40" spans="2:104" x14ac:dyDescent="0.25">
      <c r="C40" s="56"/>
      <c r="E40" s="50"/>
    </row>
    <row r="41" spans="2:104" x14ac:dyDescent="0.25">
      <c r="C41" s="56"/>
      <c r="E41" s="50"/>
    </row>
    <row r="42" spans="2:104" x14ac:dyDescent="0.25">
      <c r="C42" s="56"/>
      <c r="E42" s="50"/>
    </row>
    <row r="43" spans="2:104" x14ac:dyDescent="0.25">
      <c r="C43" s="56"/>
      <c r="E43" s="50"/>
    </row>
    <row r="44" spans="2:104" x14ac:dyDescent="0.25">
      <c r="C44" s="56"/>
      <c r="E44" s="50"/>
    </row>
    <row r="45" spans="2:104" x14ac:dyDescent="0.25">
      <c r="C45" s="56"/>
      <c r="E45" s="50"/>
    </row>
    <row r="46" spans="2:104" x14ac:dyDescent="0.25">
      <c r="C46" s="56"/>
      <c r="E46" s="50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5"/>
  <sheetViews>
    <sheetView topLeftCell="AM4" workbookViewId="0">
      <selection activeCell="AS15" sqref="AS15"/>
    </sheetView>
  </sheetViews>
  <sheetFormatPr defaultRowHeight="13.2" x14ac:dyDescent="0.25"/>
  <cols>
    <col min="2" max="2" width="10.88671875" customWidth="1"/>
    <col min="85" max="85" width="13" customWidth="1"/>
  </cols>
  <sheetData>
    <row r="1" spans="2:85" ht="13.8" thickBot="1" x14ac:dyDescent="0.3"/>
    <row r="2" spans="2:85" x14ac:dyDescent="0.25">
      <c r="B2" s="329"/>
      <c r="C2" s="330">
        <v>1</v>
      </c>
      <c r="D2" s="331"/>
      <c r="E2" s="330">
        <v>2</v>
      </c>
      <c r="F2" s="331"/>
      <c r="G2" s="330">
        <v>3</v>
      </c>
      <c r="H2" s="331"/>
      <c r="I2" s="330">
        <v>4</v>
      </c>
      <c r="J2" s="331"/>
      <c r="K2" s="330">
        <v>5</v>
      </c>
      <c r="L2" s="331"/>
      <c r="M2" s="330">
        <v>6</v>
      </c>
      <c r="N2" s="331"/>
      <c r="O2" s="330">
        <v>7</v>
      </c>
      <c r="P2" s="331"/>
      <c r="Q2" s="330">
        <v>8</v>
      </c>
      <c r="R2" s="331"/>
      <c r="S2" s="330">
        <v>9</v>
      </c>
      <c r="T2" s="331"/>
      <c r="U2" s="330">
        <v>10</v>
      </c>
      <c r="V2" s="331"/>
      <c r="W2" s="330">
        <v>11</v>
      </c>
      <c r="X2" s="331"/>
      <c r="Y2" s="330">
        <v>12</v>
      </c>
      <c r="Z2" s="331"/>
      <c r="AA2" s="330">
        <v>13</v>
      </c>
      <c r="AB2" s="331"/>
      <c r="AC2" s="330">
        <v>14</v>
      </c>
      <c r="AD2" s="331"/>
      <c r="AE2" s="330">
        <v>15</v>
      </c>
      <c r="AF2" s="331"/>
      <c r="AG2" s="330">
        <v>16</v>
      </c>
      <c r="AH2" s="331"/>
      <c r="AI2" s="330">
        <v>17</v>
      </c>
      <c r="AJ2" s="331"/>
      <c r="AK2" s="330">
        <v>18</v>
      </c>
      <c r="AL2" s="331"/>
      <c r="AM2" s="330">
        <v>19</v>
      </c>
      <c r="AN2" s="331"/>
      <c r="AO2" s="330">
        <v>20</v>
      </c>
      <c r="AP2" s="331"/>
      <c r="AQ2" s="330">
        <v>21</v>
      </c>
      <c r="AR2" s="331"/>
      <c r="AS2" s="330">
        <v>22</v>
      </c>
      <c r="AT2" s="331"/>
      <c r="AU2" s="330">
        <v>23</v>
      </c>
      <c r="AV2" s="331"/>
      <c r="AW2" s="330">
        <v>24</v>
      </c>
      <c r="AX2" s="331"/>
      <c r="AY2" s="330">
        <v>25</v>
      </c>
      <c r="AZ2" s="331"/>
      <c r="BA2" s="330">
        <v>26</v>
      </c>
      <c r="BB2" s="331"/>
      <c r="BC2" s="330">
        <v>27</v>
      </c>
      <c r="BD2" s="331"/>
      <c r="BE2" s="330">
        <v>28</v>
      </c>
      <c r="BF2" s="331"/>
      <c r="BG2" s="330">
        <v>29</v>
      </c>
      <c r="BH2" s="331"/>
      <c r="BI2" s="330">
        <v>30</v>
      </c>
      <c r="BJ2" s="331"/>
      <c r="BK2" s="330">
        <v>31</v>
      </c>
      <c r="BL2" s="331"/>
      <c r="BM2" s="330">
        <v>32</v>
      </c>
      <c r="BN2" s="331"/>
      <c r="BO2" s="330">
        <v>33</v>
      </c>
      <c r="BP2" s="331"/>
      <c r="BQ2" s="330">
        <v>34</v>
      </c>
      <c r="BR2" s="331"/>
      <c r="BS2" s="330">
        <v>35</v>
      </c>
      <c r="BT2" s="331"/>
      <c r="BU2" s="330">
        <v>36</v>
      </c>
      <c r="BV2" s="331"/>
      <c r="BW2" s="330">
        <v>37</v>
      </c>
      <c r="BX2" s="331"/>
      <c r="BY2" s="330">
        <v>38</v>
      </c>
      <c r="BZ2" s="331"/>
      <c r="CA2" s="330">
        <v>39</v>
      </c>
      <c r="CB2" s="331"/>
      <c r="CC2" s="330">
        <v>40</v>
      </c>
      <c r="CD2" s="331"/>
      <c r="CE2" s="332" t="s">
        <v>252</v>
      </c>
      <c r="CF2" s="333" t="s">
        <v>253</v>
      </c>
    </row>
    <row r="3" spans="2:85" ht="13.8" thickBot="1" x14ac:dyDescent="0.3">
      <c r="B3" s="334" t="s">
        <v>235</v>
      </c>
      <c r="C3" s="335" t="s">
        <v>254</v>
      </c>
      <c r="D3" s="336" t="s">
        <v>255</v>
      </c>
      <c r="E3" s="335" t="s">
        <v>254</v>
      </c>
      <c r="F3" s="336" t="s">
        <v>255</v>
      </c>
      <c r="G3" s="335" t="s">
        <v>254</v>
      </c>
      <c r="H3" s="336" t="s">
        <v>255</v>
      </c>
      <c r="I3" s="335" t="s">
        <v>254</v>
      </c>
      <c r="J3" s="336" t="s">
        <v>255</v>
      </c>
      <c r="K3" s="335" t="s">
        <v>254</v>
      </c>
      <c r="L3" s="336" t="s">
        <v>255</v>
      </c>
      <c r="M3" s="335" t="s">
        <v>254</v>
      </c>
      <c r="N3" s="336" t="s">
        <v>255</v>
      </c>
      <c r="O3" s="335" t="s">
        <v>254</v>
      </c>
      <c r="P3" s="336" t="s">
        <v>255</v>
      </c>
      <c r="Q3" s="335" t="s">
        <v>254</v>
      </c>
      <c r="R3" s="336" t="s">
        <v>255</v>
      </c>
      <c r="S3" s="335" t="s">
        <v>254</v>
      </c>
      <c r="T3" s="336" t="s">
        <v>255</v>
      </c>
      <c r="U3" s="335" t="s">
        <v>254</v>
      </c>
      <c r="V3" s="336" t="s">
        <v>255</v>
      </c>
      <c r="W3" s="335" t="s">
        <v>254</v>
      </c>
      <c r="X3" s="336" t="s">
        <v>255</v>
      </c>
      <c r="Y3" s="335" t="s">
        <v>254</v>
      </c>
      <c r="Z3" s="336" t="s">
        <v>255</v>
      </c>
      <c r="AA3" s="337" t="s">
        <v>254</v>
      </c>
      <c r="AB3" s="338" t="s">
        <v>255</v>
      </c>
      <c r="AC3" s="335" t="s">
        <v>254</v>
      </c>
      <c r="AD3" s="336" t="s">
        <v>255</v>
      </c>
      <c r="AE3" s="335" t="s">
        <v>254</v>
      </c>
      <c r="AF3" s="336" t="s">
        <v>255</v>
      </c>
      <c r="AG3" s="335" t="s">
        <v>254</v>
      </c>
      <c r="AH3" s="336" t="s">
        <v>255</v>
      </c>
      <c r="AI3" s="335" t="s">
        <v>254</v>
      </c>
      <c r="AJ3" s="336" t="s">
        <v>255</v>
      </c>
      <c r="AK3" s="335" t="s">
        <v>254</v>
      </c>
      <c r="AL3" s="336" t="s">
        <v>255</v>
      </c>
      <c r="AM3" s="335" t="s">
        <v>254</v>
      </c>
      <c r="AN3" s="336" t="s">
        <v>255</v>
      </c>
      <c r="AO3" s="335" t="s">
        <v>254</v>
      </c>
      <c r="AP3" s="336" t="s">
        <v>255</v>
      </c>
      <c r="AQ3" s="335" t="s">
        <v>254</v>
      </c>
      <c r="AR3" s="336" t="s">
        <v>255</v>
      </c>
      <c r="AS3" s="335" t="s">
        <v>254</v>
      </c>
      <c r="AT3" s="336" t="s">
        <v>255</v>
      </c>
      <c r="AU3" s="335" t="s">
        <v>254</v>
      </c>
      <c r="AV3" s="336" t="s">
        <v>255</v>
      </c>
      <c r="AW3" s="335" t="s">
        <v>254</v>
      </c>
      <c r="AX3" s="336" t="s">
        <v>255</v>
      </c>
      <c r="AY3" s="335" t="s">
        <v>254</v>
      </c>
      <c r="AZ3" s="336" t="s">
        <v>255</v>
      </c>
      <c r="BA3" s="335" t="s">
        <v>254</v>
      </c>
      <c r="BB3" s="336" t="s">
        <v>255</v>
      </c>
      <c r="BC3" s="335" t="s">
        <v>254</v>
      </c>
      <c r="BD3" s="336" t="s">
        <v>255</v>
      </c>
      <c r="BE3" s="335" t="s">
        <v>254</v>
      </c>
      <c r="BF3" s="336" t="s">
        <v>255</v>
      </c>
      <c r="BG3" s="335" t="s">
        <v>254</v>
      </c>
      <c r="BH3" s="336" t="s">
        <v>255</v>
      </c>
      <c r="BI3" s="335" t="s">
        <v>254</v>
      </c>
      <c r="BJ3" s="336" t="s">
        <v>255</v>
      </c>
      <c r="BK3" s="335" t="s">
        <v>254</v>
      </c>
      <c r="BL3" s="336" t="s">
        <v>255</v>
      </c>
      <c r="BM3" s="335" t="s">
        <v>254</v>
      </c>
      <c r="BN3" s="336" t="s">
        <v>255</v>
      </c>
      <c r="BO3" s="335" t="s">
        <v>254</v>
      </c>
      <c r="BP3" s="336" t="s">
        <v>255</v>
      </c>
      <c r="BQ3" s="335" t="s">
        <v>254</v>
      </c>
      <c r="BR3" s="336" t="s">
        <v>255</v>
      </c>
      <c r="BS3" s="335" t="s">
        <v>254</v>
      </c>
      <c r="BT3" s="336" t="s">
        <v>255</v>
      </c>
      <c r="BU3" s="335" t="s">
        <v>254</v>
      </c>
      <c r="BV3" s="336" t="s">
        <v>255</v>
      </c>
      <c r="BW3" s="335" t="s">
        <v>254</v>
      </c>
      <c r="BX3" s="336" t="s">
        <v>255</v>
      </c>
      <c r="BY3" s="335" t="s">
        <v>254</v>
      </c>
      <c r="BZ3" s="336" t="s">
        <v>255</v>
      </c>
      <c r="CA3" s="335" t="s">
        <v>254</v>
      </c>
      <c r="CB3" s="336" t="s">
        <v>255</v>
      </c>
      <c r="CC3" s="335" t="s">
        <v>254</v>
      </c>
      <c r="CD3" s="336" t="s">
        <v>255</v>
      </c>
      <c r="CE3" s="339" t="s">
        <v>254</v>
      </c>
      <c r="CF3" s="340" t="s">
        <v>255</v>
      </c>
      <c r="CG3" s="334" t="s">
        <v>235</v>
      </c>
    </row>
    <row r="4" spans="2:85" ht="15.6" x14ac:dyDescent="0.3">
      <c r="B4" s="341"/>
      <c r="C4" s="342"/>
      <c r="D4" s="367"/>
      <c r="E4" s="345"/>
      <c r="F4" s="346"/>
      <c r="G4" s="345"/>
      <c r="H4" s="346"/>
      <c r="I4" s="345"/>
      <c r="J4" s="346"/>
      <c r="K4" s="345"/>
      <c r="L4" s="346"/>
      <c r="M4" s="345"/>
      <c r="N4" s="346"/>
      <c r="O4" s="345"/>
      <c r="P4" s="346"/>
      <c r="Q4" s="345"/>
      <c r="R4" s="346"/>
      <c r="S4" s="345"/>
      <c r="T4" s="346"/>
      <c r="U4" s="345"/>
      <c r="V4" s="346"/>
      <c r="W4" s="345"/>
      <c r="X4" s="346"/>
      <c r="Y4" s="345"/>
      <c r="Z4" s="364"/>
      <c r="AA4" s="365"/>
      <c r="AB4" s="366"/>
      <c r="AC4" s="357"/>
      <c r="AD4" s="350"/>
      <c r="AE4" s="349"/>
      <c r="AF4" s="350"/>
      <c r="AG4" s="349"/>
      <c r="AH4" s="350"/>
      <c r="AI4" s="349"/>
      <c r="AJ4" s="350"/>
      <c r="AK4" s="349"/>
      <c r="AL4" s="350"/>
      <c r="AM4" s="349"/>
      <c r="AN4" s="350"/>
      <c r="AO4" s="349"/>
      <c r="AP4" s="350"/>
      <c r="AQ4" s="349"/>
      <c r="AR4" s="350"/>
      <c r="AS4" s="349"/>
      <c r="AT4" s="350"/>
      <c r="AU4" s="349"/>
      <c r="AV4" s="350"/>
      <c r="AW4" s="349"/>
      <c r="AX4" s="350"/>
      <c r="AY4" s="349"/>
      <c r="AZ4" s="350"/>
      <c r="BA4" s="349"/>
      <c r="BB4" s="350"/>
      <c r="BC4" s="349"/>
      <c r="BD4" s="350"/>
      <c r="BE4" s="349"/>
      <c r="BF4" s="350"/>
      <c r="BG4" s="349"/>
      <c r="BH4" s="350"/>
      <c r="BI4" s="349"/>
      <c r="BJ4" s="350"/>
      <c r="BK4" s="349"/>
      <c r="BL4" s="350"/>
      <c r="BM4" s="349"/>
      <c r="BN4" s="350"/>
      <c r="BO4" s="349"/>
      <c r="BP4" s="350"/>
      <c r="BQ4" s="349"/>
      <c r="BR4" s="350"/>
      <c r="BS4" s="349"/>
      <c r="BT4" s="350"/>
      <c r="BU4" s="349"/>
      <c r="BV4" s="350"/>
      <c r="BW4" s="349"/>
      <c r="BX4" s="350"/>
      <c r="BY4" s="349"/>
      <c r="BZ4" s="350"/>
      <c r="CA4" s="349"/>
      <c r="CB4" s="350"/>
      <c r="CC4" s="349"/>
      <c r="CD4" s="350"/>
      <c r="CE4" s="351">
        <f t="shared" ref="CE4:CE25" si="0">C4+E4+G4+I4+K4+M4+O4+Q4+S4+U4+W4+Y4+AA4+AC4+AE4+AG4+AI4+AK4+AM4+AO4+AQ4+AS4+AU4+AW4+AY4+BA4+BC4+BE4+BG4+BI4+BK4+BM4+BO4+BQ4+BS4+BU4+BW4+BY4+CA4+CC4</f>
        <v>0</v>
      </c>
      <c r="CF4" s="352">
        <f>IF(AND(CE4=0,CI4=0),0,(CL4+CM4)/CI4)</f>
        <v>0</v>
      </c>
      <c r="CG4" s="368">
        <f>B4</f>
        <v>0</v>
      </c>
    </row>
    <row r="5" spans="2:85" ht="15.6" x14ac:dyDescent="0.3">
      <c r="B5" s="341"/>
      <c r="C5" s="345"/>
      <c r="D5" s="346"/>
      <c r="E5" s="347"/>
      <c r="F5" s="361"/>
      <c r="G5" s="345"/>
      <c r="H5" s="346"/>
      <c r="I5" s="345"/>
      <c r="J5" s="346"/>
      <c r="K5" s="345"/>
      <c r="L5" s="359"/>
      <c r="M5" s="345"/>
      <c r="N5" s="344"/>
      <c r="O5" s="345"/>
      <c r="P5" s="346"/>
      <c r="Q5" s="345"/>
      <c r="R5" s="346"/>
      <c r="S5" s="354"/>
      <c r="T5" s="344"/>
      <c r="U5" s="354"/>
      <c r="V5" s="358"/>
      <c r="W5" s="354"/>
      <c r="X5" s="358"/>
      <c r="Y5" s="345"/>
      <c r="Z5" s="364"/>
      <c r="AA5" s="355"/>
      <c r="AB5" s="356"/>
      <c r="AC5" s="357"/>
      <c r="AD5" s="350"/>
      <c r="AE5" s="349"/>
      <c r="AF5" s="350"/>
      <c r="AG5" s="349"/>
      <c r="AH5" s="350"/>
      <c r="AI5" s="349"/>
      <c r="AJ5" s="350"/>
      <c r="AK5" s="349"/>
      <c r="AL5" s="350"/>
      <c r="AM5" s="349"/>
      <c r="AN5" s="350"/>
      <c r="AO5" s="349"/>
      <c r="AP5" s="350"/>
      <c r="AQ5" s="349"/>
      <c r="AR5" s="350"/>
      <c r="AS5" s="349"/>
      <c r="AT5" s="350"/>
      <c r="AU5" s="349"/>
      <c r="AV5" s="350"/>
      <c r="AW5" s="349"/>
      <c r="AX5" s="350"/>
      <c r="AY5" s="349"/>
      <c r="AZ5" s="350"/>
      <c r="BA5" s="349"/>
      <c r="BB5" s="350"/>
      <c r="BC5" s="349"/>
      <c r="BD5" s="350"/>
      <c r="BE5" s="349"/>
      <c r="BF5" s="350"/>
      <c r="BG5" s="349"/>
      <c r="BH5" s="350"/>
      <c r="BI5" s="349"/>
      <c r="BJ5" s="350"/>
      <c r="BK5" s="349"/>
      <c r="BL5" s="350"/>
      <c r="BM5" s="349"/>
      <c r="BN5" s="350"/>
      <c r="BO5" s="349"/>
      <c r="BP5" s="350"/>
      <c r="BQ5" s="349"/>
      <c r="BR5" s="350"/>
      <c r="BS5" s="349"/>
      <c r="BT5" s="350"/>
      <c r="BU5" s="349"/>
      <c r="BV5" s="350"/>
      <c r="BW5" s="349"/>
      <c r="BX5" s="350"/>
      <c r="BY5" s="349"/>
      <c r="BZ5" s="350"/>
      <c r="CA5" s="349"/>
      <c r="CB5" s="350"/>
      <c r="CC5" s="349"/>
      <c r="CD5" s="350"/>
      <c r="CE5" s="351">
        <f t="shared" si="0"/>
        <v>0</v>
      </c>
      <c r="CF5" s="352">
        <f>IF(AND(CE5=0,CI5=0),0,(CL5+CM5)/CI5)</f>
        <v>0</v>
      </c>
      <c r="CG5" s="368">
        <f t="shared" ref="CG5:CG25" si="1">B5</f>
        <v>0</v>
      </c>
    </row>
    <row r="6" spans="2:85" ht="15.6" x14ac:dyDescent="0.3">
      <c r="B6" s="368">
        <v>37137</v>
      </c>
      <c r="C6" s="345"/>
      <c r="D6" s="346"/>
      <c r="E6" s="345"/>
      <c r="F6" s="346"/>
      <c r="G6" s="345"/>
      <c r="H6" s="344"/>
      <c r="I6" s="345"/>
      <c r="J6" s="346"/>
      <c r="K6" s="345"/>
      <c r="L6" s="346"/>
      <c r="M6" s="345"/>
      <c r="N6" s="346"/>
      <c r="O6" s="345"/>
      <c r="P6" s="346"/>
      <c r="Q6" s="345"/>
      <c r="R6" s="346"/>
      <c r="S6" s="354"/>
      <c r="T6" s="358"/>
      <c r="U6" s="354"/>
      <c r="V6" s="358"/>
      <c r="W6" s="354"/>
      <c r="X6" s="358"/>
      <c r="Y6" s="345"/>
      <c r="Z6" s="364"/>
      <c r="AA6" s="355"/>
      <c r="AB6" s="356"/>
      <c r="AC6" s="357"/>
      <c r="AD6" s="350"/>
      <c r="AE6" s="349"/>
      <c r="AF6" s="350"/>
      <c r="AG6" s="349"/>
      <c r="AH6" s="350"/>
      <c r="AI6" s="349"/>
      <c r="AJ6" s="350"/>
      <c r="AK6" s="349"/>
      <c r="AL6" s="350"/>
      <c r="AM6" s="349"/>
      <c r="AN6" s="350"/>
      <c r="AO6" s="349"/>
      <c r="AP6" s="350"/>
      <c r="AQ6" s="349"/>
      <c r="AR6" s="350"/>
      <c r="AS6" s="349"/>
      <c r="AT6" s="350"/>
      <c r="AU6" s="349"/>
      <c r="AV6" s="350"/>
      <c r="AW6" s="349"/>
      <c r="AX6" s="350"/>
      <c r="AY6" s="349"/>
      <c r="AZ6" s="350"/>
      <c r="BA6" s="349"/>
      <c r="BB6" s="350"/>
      <c r="BC6" s="349"/>
      <c r="BD6" s="350"/>
      <c r="BE6" s="349"/>
      <c r="BF6" s="350"/>
      <c r="BG6" s="349"/>
      <c r="BH6" s="350"/>
      <c r="BI6" s="349"/>
      <c r="BJ6" s="350"/>
      <c r="BK6" s="349"/>
      <c r="BL6" s="350"/>
      <c r="BM6" s="349"/>
      <c r="BN6" s="350"/>
      <c r="BO6" s="349"/>
      <c r="BP6" s="350"/>
      <c r="BQ6" s="349"/>
      <c r="BR6" s="350"/>
      <c r="BS6" s="349"/>
      <c r="BT6" s="350"/>
      <c r="BU6" s="349"/>
      <c r="BV6" s="350"/>
      <c r="BW6" s="349"/>
      <c r="BX6" s="350"/>
      <c r="BY6" s="349"/>
      <c r="BZ6" s="350"/>
      <c r="CA6" s="349"/>
      <c r="CB6" s="350"/>
      <c r="CC6" s="349"/>
      <c r="CD6" s="350"/>
      <c r="CE6" s="351">
        <f t="shared" si="0"/>
        <v>0</v>
      </c>
      <c r="CF6" s="352">
        <f>IF(AND(CE6=0,CI6=0),0,(CL6+CM6)/CI6)</f>
        <v>0</v>
      </c>
      <c r="CG6" s="368">
        <f t="shared" si="1"/>
        <v>37137</v>
      </c>
    </row>
    <row r="7" spans="2:85" ht="15.6" x14ac:dyDescent="0.3">
      <c r="B7" s="368">
        <v>37138</v>
      </c>
      <c r="C7" s="342"/>
      <c r="D7" s="367"/>
      <c r="E7" s="345"/>
      <c r="F7" s="346"/>
      <c r="G7" s="345"/>
      <c r="H7" s="346"/>
      <c r="I7" s="345"/>
      <c r="J7" s="346"/>
      <c r="K7" s="345"/>
      <c r="L7" s="346"/>
      <c r="M7" s="345"/>
      <c r="N7" s="346"/>
      <c r="O7" s="345"/>
      <c r="P7" s="346"/>
      <c r="Q7" s="345"/>
      <c r="R7" s="346"/>
      <c r="S7" s="345"/>
      <c r="T7" s="346"/>
      <c r="U7" s="345"/>
      <c r="V7" s="346"/>
      <c r="W7" s="345"/>
      <c r="X7" s="346"/>
      <c r="Y7" s="345"/>
      <c r="Z7" s="364"/>
      <c r="AA7" s="355"/>
      <c r="AB7" s="356"/>
      <c r="AC7" s="357"/>
      <c r="AD7" s="350"/>
      <c r="AE7" s="349"/>
      <c r="AF7" s="350"/>
      <c r="AG7" s="349"/>
      <c r="AH7" s="350"/>
      <c r="AI7" s="349"/>
      <c r="AJ7" s="350"/>
      <c r="AK7" s="349"/>
      <c r="AL7" s="350"/>
      <c r="AM7" s="349"/>
      <c r="AN7" s="350"/>
      <c r="AO7" s="349"/>
      <c r="AP7" s="350"/>
      <c r="AQ7" s="349"/>
      <c r="AR7" s="350"/>
      <c r="AS7" s="349"/>
      <c r="AT7" s="350"/>
      <c r="AU7" s="349"/>
      <c r="AV7" s="350"/>
      <c r="AW7" s="349"/>
      <c r="AX7" s="350"/>
      <c r="AY7" s="349"/>
      <c r="AZ7" s="350"/>
      <c r="BA7" s="349"/>
      <c r="BB7" s="350"/>
      <c r="BC7" s="349"/>
      <c r="BD7" s="350"/>
      <c r="BE7" s="349"/>
      <c r="BF7" s="350"/>
      <c r="BG7" s="349"/>
      <c r="BH7" s="350"/>
      <c r="BI7" s="349"/>
      <c r="BJ7" s="350"/>
      <c r="BK7" s="349"/>
      <c r="BL7" s="350"/>
      <c r="BM7" s="349"/>
      <c r="BN7" s="350"/>
      <c r="BO7" s="349"/>
      <c r="BP7" s="350"/>
      <c r="BQ7" s="349"/>
      <c r="BR7" s="350"/>
      <c r="BS7" s="349"/>
      <c r="BT7" s="350"/>
      <c r="BU7" s="349"/>
      <c r="BV7" s="350"/>
      <c r="BW7" s="349"/>
      <c r="BX7" s="350"/>
      <c r="BY7" s="349"/>
      <c r="BZ7" s="350"/>
      <c r="CA7" s="349"/>
      <c r="CB7" s="350"/>
      <c r="CC7" s="349"/>
      <c r="CD7" s="350"/>
      <c r="CE7" s="351">
        <f t="shared" si="0"/>
        <v>0</v>
      </c>
      <c r="CF7" s="352">
        <f>IF(AND(CE7=0,CI7=0),0,(CL7+CM7)/CI7)</f>
        <v>0</v>
      </c>
      <c r="CG7" s="368">
        <f t="shared" si="1"/>
        <v>37138</v>
      </c>
    </row>
    <row r="8" spans="2:85" ht="15.6" x14ac:dyDescent="0.3">
      <c r="B8" s="368">
        <v>37139</v>
      </c>
      <c r="C8" s="342"/>
      <c r="D8" s="367"/>
      <c r="E8" s="345"/>
      <c r="F8" s="346"/>
      <c r="G8" s="345"/>
      <c r="H8" s="346"/>
      <c r="I8" s="345"/>
      <c r="J8" s="346"/>
      <c r="K8" s="345"/>
      <c r="L8" s="346"/>
      <c r="M8" s="345"/>
      <c r="N8" s="344"/>
      <c r="O8" s="345"/>
      <c r="P8" s="346"/>
      <c r="Q8" s="345"/>
      <c r="R8" s="346"/>
      <c r="S8" s="345"/>
      <c r="T8" s="346"/>
      <c r="U8" s="345"/>
      <c r="V8" s="346"/>
      <c r="W8" s="345"/>
      <c r="X8" s="346"/>
      <c r="Y8" s="345"/>
      <c r="Z8" s="346"/>
      <c r="AA8" s="355"/>
      <c r="AB8" s="356"/>
      <c r="AC8" s="357"/>
      <c r="AD8" s="350"/>
      <c r="AE8" s="349"/>
      <c r="AF8" s="350"/>
      <c r="AG8" s="349"/>
      <c r="AH8" s="350"/>
      <c r="AI8" s="349"/>
      <c r="AJ8" s="350"/>
      <c r="AK8" s="349"/>
      <c r="AL8" s="350"/>
      <c r="AM8" s="349"/>
      <c r="AN8" s="350"/>
      <c r="AO8" s="349"/>
      <c r="AP8" s="350"/>
      <c r="AQ8" s="349"/>
      <c r="AR8" s="350"/>
      <c r="AS8" s="349"/>
      <c r="AT8" s="350"/>
      <c r="AU8" s="349"/>
      <c r="AV8" s="350"/>
      <c r="AW8" s="349"/>
      <c r="AX8" s="350"/>
      <c r="AY8" s="349"/>
      <c r="AZ8" s="350"/>
      <c r="BA8" s="349"/>
      <c r="BB8" s="350"/>
      <c r="BC8" s="349"/>
      <c r="BD8" s="350"/>
      <c r="BE8" s="349"/>
      <c r="BF8" s="350"/>
      <c r="BG8" s="349"/>
      <c r="BH8" s="350"/>
      <c r="BI8" s="349"/>
      <c r="BJ8" s="350"/>
      <c r="BK8" s="349"/>
      <c r="BL8" s="350"/>
      <c r="BM8" s="349"/>
      <c r="BN8" s="350"/>
      <c r="BO8" s="349"/>
      <c r="BP8" s="350"/>
      <c r="BQ8" s="349"/>
      <c r="BR8" s="350"/>
      <c r="BS8" s="349"/>
      <c r="BT8" s="350"/>
      <c r="BU8" s="349"/>
      <c r="BV8" s="350"/>
      <c r="BW8" s="349"/>
      <c r="BX8" s="350"/>
      <c r="BY8" s="349"/>
      <c r="BZ8" s="350"/>
      <c r="CA8" s="349"/>
      <c r="CB8" s="350"/>
      <c r="CC8" s="349"/>
      <c r="CD8" s="350"/>
      <c r="CE8" s="351">
        <f t="shared" si="0"/>
        <v>0</v>
      </c>
      <c r="CF8" s="352">
        <f>(D8+F8+H8+J8+L8+N8+P8+R8)/8</f>
        <v>0</v>
      </c>
      <c r="CG8" s="368">
        <f t="shared" si="1"/>
        <v>37139</v>
      </c>
    </row>
    <row r="9" spans="2:85" ht="15.6" x14ac:dyDescent="0.3">
      <c r="B9" s="368">
        <v>37140</v>
      </c>
      <c r="C9" s="345"/>
      <c r="D9" s="358"/>
      <c r="E9" s="345"/>
      <c r="F9" s="346"/>
      <c r="G9" s="345"/>
      <c r="H9" s="346"/>
      <c r="I9" s="345"/>
      <c r="J9" s="359"/>
      <c r="K9" s="345"/>
      <c r="L9" s="346"/>
      <c r="M9" s="345"/>
      <c r="N9" s="344"/>
      <c r="O9" s="345"/>
      <c r="P9" s="346"/>
      <c r="Q9" s="345"/>
      <c r="R9" s="346"/>
      <c r="S9" s="345"/>
      <c r="T9" s="346"/>
      <c r="U9" s="345"/>
      <c r="V9" s="346"/>
      <c r="W9" s="345"/>
      <c r="X9" s="346"/>
      <c r="Y9" s="345"/>
      <c r="Z9" s="346"/>
      <c r="AA9" s="355"/>
      <c r="AB9" s="356"/>
      <c r="AC9" s="357"/>
      <c r="AD9" s="350"/>
      <c r="AE9" s="349"/>
      <c r="AF9" s="350"/>
      <c r="AG9" s="349"/>
      <c r="AH9" s="350"/>
      <c r="AI9" s="349"/>
      <c r="AJ9" s="350"/>
      <c r="AK9" s="349"/>
      <c r="AL9" s="350"/>
      <c r="AM9" s="349"/>
      <c r="AN9" s="350"/>
      <c r="AO9" s="349"/>
      <c r="AP9" s="350"/>
      <c r="AQ9" s="349"/>
      <c r="AR9" s="350"/>
      <c r="AS9" s="349"/>
      <c r="AT9" s="350"/>
      <c r="AU9" s="349"/>
      <c r="AV9" s="350"/>
      <c r="AW9" s="349"/>
      <c r="AX9" s="350"/>
      <c r="AY9" s="349"/>
      <c r="AZ9" s="350"/>
      <c r="BA9" s="349"/>
      <c r="BB9" s="350"/>
      <c r="BC9" s="349"/>
      <c r="BD9" s="350"/>
      <c r="BE9" s="349"/>
      <c r="BF9" s="350"/>
      <c r="BG9" s="349"/>
      <c r="BH9" s="350"/>
      <c r="BI9" s="349"/>
      <c r="BJ9" s="350"/>
      <c r="BK9" s="349"/>
      <c r="BL9" s="350"/>
      <c r="BM9" s="349"/>
      <c r="BN9" s="350"/>
      <c r="BO9" s="349"/>
      <c r="BP9" s="350"/>
      <c r="BQ9" s="349"/>
      <c r="BR9" s="350"/>
      <c r="BS9" s="349"/>
      <c r="BT9" s="350"/>
      <c r="BU9" s="349"/>
      <c r="BV9" s="350"/>
      <c r="BW9" s="349"/>
      <c r="BX9" s="350"/>
      <c r="BY9" s="349"/>
      <c r="BZ9" s="350"/>
      <c r="CA9" s="349"/>
      <c r="CB9" s="350"/>
      <c r="CC9" s="349"/>
      <c r="CD9" s="350"/>
      <c r="CE9" s="351">
        <f t="shared" si="0"/>
        <v>0</v>
      </c>
      <c r="CF9" s="352">
        <f>(D9+F9+H9+J9+L9+N9+P9+R9+T9+V9+X9+Z9)/12</f>
        <v>0</v>
      </c>
      <c r="CG9" s="368">
        <f t="shared" si="1"/>
        <v>37140</v>
      </c>
    </row>
    <row r="10" spans="2:85" ht="15.6" x14ac:dyDescent="0.3">
      <c r="B10" s="368">
        <v>37141</v>
      </c>
      <c r="C10" s="345"/>
      <c r="D10" s="358"/>
      <c r="E10" s="345"/>
      <c r="F10" s="346"/>
      <c r="G10" s="345"/>
      <c r="H10" s="346"/>
      <c r="I10" s="345"/>
      <c r="J10" s="346"/>
      <c r="K10" s="345"/>
      <c r="L10" s="346"/>
      <c r="M10" s="345"/>
      <c r="N10" s="344"/>
      <c r="O10" s="345"/>
      <c r="P10" s="346"/>
      <c r="Q10" s="345"/>
      <c r="R10" s="346"/>
      <c r="S10" s="345"/>
      <c r="T10" s="346"/>
      <c r="U10" s="345"/>
      <c r="V10" s="346"/>
      <c r="W10" s="345"/>
      <c r="X10" s="346"/>
      <c r="Y10" s="345"/>
      <c r="Z10" s="346"/>
      <c r="AA10" s="355"/>
      <c r="AB10" s="356"/>
      <c r="AC10" s="357"/>
      <c r="AD10" s="350"/>
      <c r="AE10" s="349"/>
      <c r="AF10" s="350"/>
      <c r="AG10" s="349"/>
      <c r="AH10" s="350"/>
      <c r="AI10" s="349"/>
      <c r="AJ10" s="350"/>
      <c r="AK10" s="349"/>
      <c r="AL10" s="350"/>
      <c r="AM10" s="349"/>
      <c r="AN10" s="350"/>
      <c r="AO10" s="349"/>
      <c r="AP10" s="350"/>
      <c r="AQ10" s="349"/>
      <c r="AR10" s="350"/>
      <c r="AS10" s="349"/>
      <c r="AT10" s="350"/>
      <c r="AU10" s="349"/>
      <c r="AV10" s="350"/>
      <c r="AW10" s="349"/>
      <c r="AX10" s="350"/>
      <c r="AY10" s="349"/>
      <c r="AZ10" s="350"/>
      <c r="BA10" s="349"/>
      <c r="BB10" s="350"/>
      <c r="BC10" s="349"/>
      <c r="BD10" s="350"/>
      <c r="BE10" s="349"/>
      <c r="BF10" s="350"/>
      <c r="BG10" s="349"/>
      <c r="BH10" s="350"/>
      <c r="BI10" s="349"/>
      <c r="BJ10" s="350"/>
      <c r="BK10" s="349"/>
      <c r="BL10" s="350"/>
      <c r="BM10" s="349"/>
      <c r="BN10" s="350"/>
      <c r="BO10" s="349"/>
      <c r="BP10" s="350"/>
      <c r="BQ10" s="349"/>
      <c r="BR10" s="350"/>
      <c r="BS10" s="349"/>
      <c r="BT10" s="350"/>
      <c r="BU10" s="349"/>
      <c r="BV10" s="350"/>
      <c r="BW10" s="349"/>
      <c r="BX10" s="350"/>
      <c r="BY10" s="349"/>
      <c r="BZ10" s="350"/>
      <c r="CA10" s="349"/>
      <c r="CB10" s="350"/>
      <c r="CC10" s="349"/>
      <c r="CD10" s="350"/>
      <c r="CE10" s="351">
        <f t="shared" si="0"/>
        <v>0</v>
      </c>
      <c r="CF10" s="352">
        <f>(D10+F10+H10+J10+N10)/5</f>
        <v>0</v>
      </c>
      <c r="CG10" s="368">
        <f t="shared" si="1"/>
        <v>37141</v>
      </c>
    </row>
    <row r="11" spans="2:85" ht="15.6" x14ac:dyDescent="0.3">
      <c r="B11" s="368">
        <v>37144</v>
      </c>
      <c r="C11" s="345"/>
      <c r="D11" s="346"/>
      <c r="E11" s="345"/>
      <c r="F11" s="344"/>
      <c r="G11" s="345"/>
      <c r="H11" s="344"/>
      <c r="I11" s="345"/>
      <c r="J11" s="346"/>
      <c r="K11" s="345"/>
      <c r="L11" s="346"/>
      <c r="M11" s="345"/>
      <c r="N11" s="344"/>
      <c r="O11" s="345"/>
      <c r="P11" s="346"/>
      <c r="Q11" s="345"/>
      <c r="R11" s="359"/>
      <c r="S11" s="345"/>
      <c r="T11" s="346"/>
      <c r="U11" s="345"/>
      <c r="V11" s="346"/>
      <c r="W11" s="345"/>
      <c r="X11" s="346"/>
      <c r="Y11" s="345"/>
      <c r="Z11" s="359"/>
      <c r="AA11" s="355"/>
      <c r="AB11" s="356"/>
      <c r="AC11" s="357"/>
      <c r="AD11" s="350"/>
      <c r="AE11" s="349"/>
      <c r="AF11" s="350"/>
      <c r="AG11" s="349"/>
      <c r="AH11" s="350"/>
      <c r="AI11" s="349"/>
      <c r="AJ11" s="350"/>
      <c r="AK11" s="349"/>
      <c r="AL11" s="350"/>
      <c r="AM11" s="349"/>
      <c r="AN11" s="350"/>
      <c r="AO11" s="349"/>
      <c r="AP11" s="350"/>
      <c r="AQ11" s="349"/>
      <c r="AR11" s="350"/>
      <c r="AS11" s="349"/>
      <c r="AT11" s="350"/>
      <c r="AU11" s="349"/>
      <c r="AV11" s="350"/>
      <c r="AW11" s="349"/>
      <c r="AX11" s="350"/>
      <c r="AY11" s="349"/>
      <c r="AZ11" s="350"/>
      <c r="BA11" s="349"/>
      <c r="BB11" s="350"/>
      <c r="BC11" s="349"/>
      <c r="BD11" s="350"/>
      <c r="BE11" s="349"/>
      <c r="BF11" s="350"/>
      <c r="BG11" s="349"/>
      <c r="BH11" s="350"/>
      <c r="BI11" s="349"/>
      <c r="BJ11" s="350"/>
      <c r="BK11" s="349"/>
      <c r="BL11" s="350"/>
      <c r="BM11" s="349"/>
      <c r="BN11" s="350"/>
      <c r="BO11" s="349"/>
      <c r="BP11" s="350"/>
      <c r="BQ11" s="349"/>
      <c r="BR11" s="350"/>
      <c r="BS11" s="349"/>
      <c r="BT11" s="350"/>
      <c r="BU11" s="349"/>
      <c r="BV11" s="350"/>
      <c r="BW11" s="349"/>
      <c r="BX11" s="350"/>
      <c r="BY11" s="349"/>
      <c r="BZ11" s="350"/>
      <c r="CA11" s="349"/>
      <c r="CB11" s="350"/>
      <c r="CC11" s="349"/>
      <c r="CD11" s="350"/>
      <c r="CE11" s="351">
        <f t="shared" si="0"/>
        <v>0</v>
      </c>
      <c r="CF11" s="352">
        <f>(D11+F11+H11+J11+L11+N11+P11+R11+V11+X11+Z11)/11</f>
        <v>0</v>
      </c>
      <c r="CG11" s="368">
        <f t="shared" si="1"/>
        <v>37144</v>
      </c>
    </row>
    <row r="12" spans="2:85" ht="15.6" x14ac:dyDescent="0.3">
      <c r="B12" s="368">
        <v>37145</v>
      </c>
      <c r="C12" s="345"/>
      <c r="D12" s="346"/>
      <c r="E12" s="345"/>
      <c r="F12" s="344"/>
      <c r="G12" s="345"/>
      <c r="H12" s="344"/>
      <c r="I12" s="345"/>
      <c r="J12" s="346"/>
      <c r="K12" s="345"/>
      <c r="L12" s="346"/>
      <c r="M12" s="345"/>
      <c r="N12" s="344"/>
      <c r="O12" s="345"/>
      <c r="P12" s="346"/>
      <c r="Q12" s="345"/>
      <c r="R12" s="346"/>
      <c r="S12" s="345"/>
      <c r="T12" s="346"/>
      <c r="U12" s="345"/>
      <c r="V12" s="346"/>
      <c r="W12" s="345"/>
      <c r="X12" s="346"/>
      <c r="Y12" s="345"/>
      <c r="Z12" s="359"/>
      <c r="AA12" s="355"/>
      <c r="AB12" s="356"/>
      <c r="AC12" s="345"/>
      <c r="AD12" s="346"/>
      <c r="AE12" s="349"/>
      <c r="AF12" s="350"/>
      <c r="AG12" s="349"/>
      <c r="AH12" s="350"/>
      <c r="AI12" s="349"/>
      <c r="AJ12" s="350"/>
      <c r="AK12" s="349"/>
      <c r="AL12" s="350"/>
      <c r="AM12" s="349"/>
      <c r="AN12" s="350"/>
      <c r="AO12" s="349"/>
      <c r="AP12" s="350"/>
      <c r="AQ12" s="349"/>
      <c r="AR12" s="350"/>
      <c r="AS12" s="349"/>
      <c r="AT12" s="350"/>
      <c r="AU12" s="349"/>
      <c r="AV12" s="350"/>
      <c r="AW12" s="349"/>
      <c r="AX12" s="350"/>
      <c r="AY12" s="349"/>
      <c r="AZ12" s="350"/>
      <c r="BA12" s="345"/>
      <c r="BB12" s="346"/>
      <c r="BC12" s="345"/>
      <c r="BD12" s="344"/>
      <c r="BE12" s="345"/>
      <c r="BF12" s="344"/>
      <c r="BG12" s="345"/>
      <c r="BH12" s="346"/>
      <c r="BI12" s="345"/>
      <c r="BJ12" s="346"/>
      <c r="BK12" s="345"/>
      <c r="BL12" s="344"/>
      <c r="BM12" s="349"/>
      <c r="BN12" s="350"/>
      <c r="BO12" s="349"/>
      <c r="BP12" s="350"/>
      <c r="BQ12" s="349"/>
      <c r="BR12" s="350"/>
      <c r="BS12" s="349"/>
      <c r="BT12" s="350"/>
      <c r="BU12" s="349"/>
      <c r="BV12" s="350"/>
      <c r="BW12" s="349"/>
      <c r="BX12" s="350"/>
      <c r="BY12" s="349"/>
      <c r="BZ12" s="350"/>
      <c r="CA12" s="349"/>
      <c r="CB12" s="350"/>
      <c r="CC12" s="349"/>
      <c r="CD12" s="350"/>
      <c r="CE12" s="351">
        <f t="shared" si="0"/>
        <v>0</v>
      </c>
      <c r="CF12" s="352">
        <f>(T12+AB12+AD12+AF12+AH12+AJ12+AL12+AN12+AP12+AR12+AT12+AV12+AX12+AZ12)/14</f>
        <v>0</v>
      </c>
      <c r="CG12" s="368">
        <f t="shared" si="1"/>
        <v>37145</v>
      </c>
    </row>
    <row r="13" spans="2:85" ht="15.6" x14ac:dyDescent="0.3">
      <c r="B13" s="368">
        <v>37146</v>
      </c>
      <c r="C13" s="345"/>
      <c r="D13" s="346"/>
      <c r="E13" s="345"/>
      <c r="F13" s="344"/>
      <c r="G13" s="345"/>
      <c r="H13" s="344"/>
      <c r="I13" s="345"/>
      <c r="J13" s="346"/>
      <c r="K13" s="345"/>
      <c r="L13" s="346"/>
      <c r="M13" s="345"/>
      <c r="N13" s="344"/>
      <c r="O13" s="345"/>
      <c r="P13" s="346"/>
      <c r="Q13" s="345"/>
      <c r="R13" s="346"/>
      <c r="S13" s="345"/>
      <c r="T13" s="346"/>
      <c r="U13" s="345"/>
      <c r="V13" s="346"/>
      <c r="W13" s="345"/>
      <c r="X13" s="346"/>
      <c r="Y13" s="345"/>
      <c r="Z13" s="364"/>
      <c r="AA13" s="355"/>
      <c r="AB13" s="356"/>
      <c r="AC13" s="345"/>
      <c r="AD13" s="346"/>
      <c r="AE13" s="349"/>
      <c r="AF13" s="350"/>
      <c r="AG13" s="349"/>
      <c r="AH13" s="350"/>
      <c r="AI13" s="349"/>
      <c r="AJ13" s="350"/>
      <c r="AK13" s="349"/>
      <c r="AL13" s="350"/>
      <c r="AM13" s="349"/>
      <c r="AN13" s="350"/>
      <c r="AO13" s="349"/>
      <c r="AP13" s="350"/>
      <c r="AQ13" s="349"/>
      <c r="AR13" s="350"/>
      <c r="AS13" s="349"/>
      <c r="AT13" s="350"/>
      <c r="AU13" s="349"/>
      <c r="AV13" s="350"/>
      <c r="AW13" s="349"/>
      <c r="AX13" s="350"/>
      <c r="AY13" s="349"/>
      <c r="AZ13" s="350"/>
      <c r="BA13" s="345"/>
      <c r="BB13" s="344"/>
      <c r="BC13" s="345"/>
      <c r="BD13" s="346"/>
      <c r="BE13" s="345"/>
      <c r="BF13" s="346"/>
      <c r="BG13" s="345"/>
      <c r="BH13" s="344"/>
      <c r="BI13" s="345"/>
      <c r="BJ13" s="346"/>
      <c r="BK13" s="345"/>
      <c r="BL13" s="344"/>
      <c r="BM13" s="349"/>
      <c r="BN13" s="350"/>
      <c r="BO13" s="349"/>
      <c r="BP13" s="350"/>
      <c r="BQ13" s="349"/>
      <c r="BR13" s="350"/>
      <c r="BS13" s="349"/>
      <c r="BT13" s="350"/>
      <c r="BU13" s="349"/>
      <c r="BV13" s="350"/>
      <c r="BW13" s="349"/>
      <c r="BX13" s="350"/>
      <c r="BY13" s="349"/>
      <c r="BZ13" s="350"/>
      <c r="CA13" s="349"/>
      <c r="CB13" s="350"/>
      <c r="CC13" s="349"/>
      <c r="CD13" s="350"/>
      <c r="CE13" s="351">
        <f t="shared" si="0"/>
        <v>0</v>
      </c>
      <c r="CF13" s="352">
        <f>(T13+AB13+AD13+AF13+AH13+AJ13+AL13+AN13+AP13+AR13+AT13+AV13+AX13+AZ13+BB13+BD13+BF13)/17</f>
        <v>0</v>
      </c>
      <c r="CG13" s="368">
        <f t="shared" si="1"/>
        <v>37146</v>
      </c>
    </row>
    <row r="14" spans="2:85" ht="15.6" x14ac:dyDescent="0.3">
      <c r="B14" s="368">
        <v>37147</v>
      </c>
      <c r="C14" s="345"/>
      <c r="D14" s="346"/>
      <c r="E14" s="345"/>
      <c r="F14" s="344"/>
      <c r="G14" s="345"/>
      <c r="H14" s="344"/>
      <c r="I14" s="345"/>
      <c r="J14" s="346"/>
      <c r="K14" s="345"/>
      <c r="L14" s="346"/>
      <c r="M14" s="345"/>
      <c r="N14" s="344"/>
      <c r="O14" s="345"/>
      <c r="P14" s="346"/>
      <c r="Q14" s="345"/>
      <c r="R14" s="346"/>
      <c r="S14" s="345"/>
      <c r="T14" s="346"/>
      <c r="U14" s="345"/>
      <c r="V14" s="346"/>
      <c r="W14" s="345"/>
      <c r="X14" s="346"/>
      <c r="Y14" s="345"/>
      <c r="Z14" s="364"/>
      <c r="AA14" s="355"/>
      <c r="AB14" s="356"/>
      <c r="AC14" s="345"/>
      <c r="AD14" s="346"/>
      <c r="AE14" s="349"/>
      <c r="AF14" s="350"/>
      <c r="AG14" s="349"/>
      <c r="AH14" s="350"/>
      <c r="AI14" s="349"/>
      <c r="AJ14" s="350"/>
      <c r="AK14" s="349"/>
      <c r="AL14" s="350"/>
      <c r="AM14" s="349"/>
      <c r="AN14" s="350"/>
      <c r="AO14" s="349"/>
      <c r="AP14" s="350"/>
      <c r="AQ14" s="349"/>
      <c r="AR14" s="350"/>
      <c r="AS14" s="349"/>
      <c r="AT14" s="350"/>
      <c r="AU14" s="349"/>
      <c r="AV14" s="350"/>
      <c r="AW14" s="349"/>
      <c r="AX14" s="350"/>
      <c r="AY14" s="349"/>
      <c r="AZ14" s="350"/>
      <c r="BA14" s="345"/>
      <c r="BB14" s="344"/>
      <c r="BC14" s="345"/>
      <c r="BD14" s="346"/>
      <c r="BE14" s="345"/>
      <c r="BF14" s="346"/>
      <c r="BG14" s="345"/>
      <c r="BH14" s="344"/>
      <c r="BI14" s="345"/>
      <c r="BJ14" s="346"/>
      <c r="BK14" s="345"/>
      <c r="BL14" s="344"/>
      <c r="BM14" s="345"/>
      <c r="BN14" s="344"/>
      <c r="BO14" s="345"/>
      <c r="BP14" s="346"/>
      <c r="BQ14" s="345"/>
      <c r="BR14" s="344"/>
      <c r="BS14" s="345"/>
      <c r="BT14" s="346"/>
      <c r="BU14" s="349"/>
      <c r="BV14" s="350"/>
      <c r="BW14" s="349"/>
      <c r="BX14" s="350"/>
      <c r="BY14" s="349"/>
      <c r="BZ14" s="350"/>
      <c r="CA14" s="349"/>
      <c r="CB14" s="350"/>
      <c r="CC14" s="349"/>
      <c r="CD14" s="350"/>
      <c r="CE14" s="351">
        <f t="shared" si="0"/>
        <v>0</v>
      </c>
      <c r="CF14" s="352">
        <f>(T14+AB14+AD14+AF14+AH14+AJ14+AL14+AN14+AP14+AR14+AT14+AV14+AX14+AZ14+BB14+BD14+BH14)/17</f>
        <v>0</v>
      </c>
      <c r="CG14" s="368">
        <f t="shared" si="1"/>
        <v>37147</v>
      </c>
    </row>
    <row r="15" spans="2:85" ht="15.6" x14ac:dyDescent="0.3">
      <c r="B15" s="368">
        <v>37148</v>
      </c>
      <c r="C15" s="345"/>
      <c r="D15" s="346"/>
      <c r="E15" s="345"/>
      <c r="F15" s="344"/>
      <c r="G15" s="345"/>
      <c r="H15" s="344"/>
      <c r="I15" s="345"/>
      <c r="J15" s="346"/>
      <c r="K15" s="345"/>
      <c r="L15" s="346"/>
      <c r="M15" s="345"/>
      <c r="N15" s="344"/>
      <c r="O15" s="345"/>
      <c r="P15" s="346"/>
      <c r="Q15" s="345"/>
      <c r="R15" s="346"/>
      <c r="S15" s="345"/>
      <c r="T15" s="346"/>
      <c r="U15" s="345"/>
      <c r="V15" s="346"/>
      <c r="W15" s="345"/>
      <c r="X15" s="346"/>
      <c r="Y15" s="345"/>
      <c r="Z15" s="364"/>
      <c r="AA15" s="355"/>
      <c r="AB15" s="356"/>
      <c r="AC15" s="345"/>
      <c r="AD15" s="346"/>
      <c r="AE15" s="349"/>
      <c r="AF15" s="350"/>
      <c r="AG15" s="349"/>
      <c r="AH15" s="350"/>
      <c r="AI15" s="349"/>
      <c r="AJ15" s="350"/>
      <c r="AK15" s="349"/>
      <c r="AL15" s="350"/>
      <c r="AM15" s="349"/>
      <c r="AN15" s="350"/>
      <c r="AO15" s="349"/>
      <c r="AP15" s="350"/>
      <c r="AQ15" s="349"/>
      <c r="AR15" s="350"/>
      <c r="AS15" s="349"/>
      <c r="AT15" s="350"/>
      <c r="AU15" s="349"/>
      <c r="AV15" s="350"/>
      <c r="AW15" s="349"/>
      <c r="AX15" s="350"/>
      <c r="AY15" s="349"/>
      <c r="AZ15" s="350"/>
      <c r="BA15" s="345"/>
      <c r="BB15" s="344"/>
      <c r="BC15" s="345"/>
      <c r="BD15" s="346"/>
      <c r="BE15" s="345"/>
      <c r="BF15" s="346"/>
      <c r="BG15" s="345"/>
      <c r="BH15" s="344"/>
      <c r="BI15" s="345"/>
      <c r="BJ15" s="346"/>
      <c r="BK15" s="345"/>
      <c r="BL15" s="344"/>
      <c r="BM15" s="345"/>
      <c r="BN15" s="344"/>
      <c r="BO15" s="345"/>
      <c r="BP15" s="346"/>
      <c r="BQ15" s="345"/>
      <c r="BR15" s="344"/>
      <c r="BS15" s="345"/>
      <c r="BT15" s="346"/>
      <c r="BU15" s="349"/>
      <c r="BV15" s="350"/>
      <c r="BW15" s="349"/>
      <c r="BX15" s="350"/>
      <c r="BY15" s="349"/>
      <c r="BZ15" s="350"/>
      <c r="CA15" s="349"/>
      <c r="CB15" s="350"/>
      <c r="CC15" s="349"/>
      <c r="CD15" s="350"/>
      <c r="CE15" s="351">
        <f t="shared" si="0"/>
        <v>0</v>
      </c>
      <c r="CF15" s="352">
        <f>(T15+AB15+AD15+AF15+AH15+AJ15+AL15+AN15+AP15+AR15+AT15+AV15+AX15+AZ15+BB15+BD15+BH15)/17</f>
        <v>0</v>
      </c>
      <c r="CG15" s="368">
        <f t="shared" si="1"/>
        <v>37148</v>
      </c>
    </row>
    <row r="16" spans="2:85" ht="15.6" x14ac:dyDescent="0.3">
      <c r="B16" s="368">
        <v>37151</v>
      </c>
      <c r="C16" s="345"/>
      <c r="D16" s="346"/>
      <c r="E16" s="345"/>
      <c r="F16" s="344"/>
      <c r="G16" s="345"/>
      <c r="H16" s="344"/>
      <c r="I16" s="342"/>
      <c r="J16" s="359"/>
      <c r="K16" s="345"/>
      <c r="L16" s="346"/>
      <c r="M16" s="345"/>
      <c r="N16" s="344"/>
      <c r="O16" s="345"/>
      <c r="P16" s="346"/>
      <c r="Q16" s="345"/>
      <c r="R16" s="346"/>
      <c r="S16" s="345"/>
      <c r="T16" s="346"/>
      <c r="U16" s="345"/>
      <c r="V16" s="346"/>
      <c r="W16" s="345"/>
      <c r="X16" s="346"/>
      <c r="Y16" s="345"/>
      <c r="Z16" s="364"/>
      <c r="AA16" s="355"/>
      <c r="AB16" s="356"/>
      <c r="AC16" s="345"/>
      <c r="AD16" s="346"/>
      <c r="AE16" s="349"/>
      <c r="AF16" s="350"/>
      <c r="AG16" s="349"/>
      <c r="AH16" s="350"/>
      <c r="AI16" s="349"/>
      <c r="AJ16" s="350"/>
      <c r="AK16" s="349"/>
      <c r="AL16" s="350"/>
      <c r="AM16" s="349"/>
      <c r="AN16" s="350"/>
      <c r="AO16" s="349"/>
      <c r="AP16" s="350"/>
      <c r="AQ16" s="349"/>
      <c r="AR16" s="350"/>
      <c r="AS16" s="349"/>
      <c r="AT16" s="350"/>
      <c r="AU16" s="349"/>
      <c r="AV16" s="350"/>
      <c r="AW16" s="349"/>
      <c r="AX16" s="350"/>
      <c r="AY16" s="349"/>
      <c r="AZ16" s="350"/>
      <c r="BA16" s="345"/>
      <c r="BB16" s="344"/>
      <c r="BC16" s="345"/>
      <c r="BD16" s="346"/>
      <c r="BE16" s="345"/>
      <c r="BF16" s="346"/>
      <c r="BG16" s="345"/>
      <c r="BH16" s="344"/>
      <c r="BI16" s="345"/>
      <c r="BJ16" s="346"/>
      <c r="BK16" s="345"/>
      <c r="BL16" s="346"/>
      <c r="BM16" s="345"/>
      <c r="BN16" s="346"/>
      <c r="BO16" s="345"/>
      <c r="BP16" s="344"/>
      <c r="BQ16" s="345"/>
      <c r="BR16" s="344"/>
      <c r="BS16" s="345"/>
      <c r="BT16" s="346"/>
      <c r="BU16" s="349"/>
      <c r="BV16" s="350"/>
      <c r="BW16" s="349"/>
      <c r="BX16" s="350"/>
      <c r="BY16" s="349"/>
      <c r="BZ16" s="350"/>
      <c r="CA16" s="349"/>
      <c r="CB16" s="350"/>
      <c r="CC16" s="349"/>
      <c r="CD16" s="350"/>
      <c r="CE16" s="351">
        <f t="shared" si="0"/>
        <v>0</v>
      </c>
      <c r="CF16" s="352">
        <f>(T16+AD16+AF16+AH16+AJ16+AN16+AP16+AR16+AX16+BD16)/10</f>
        <v>0</v>
      </c>
      <c r="CG16" s="368">
        <f t="shared" si="1"/>
        <v>37151</v>
      </c>
    </row>
    <row r="17" spans="2:85" ht="15.6" x14ac:dyDescent="0.3">
      <c r="B17" s="368">
        <v>37152</v>
      </c>
      <c r="C17" s="345"/>
      <c r="D17" s="346"/>
      <c r="E17" s="345"/>
      <c r="F17" s="344"/>
      <c r="G17" s="345"/>
      <c r="H17" s="344"/>
      <c r="I17" s="345"/>
      <c r="J17" s="346"/>
      <c r="K17" s="345"/>
      <c r="L17" s="346"/>
      <c r="M17" s="345"/>
      <c r="N17" s="344"/>
      <c r="O17" s="345"/>
      <c r="P17" s="346"/>
      <c r="Q17" s="345"/>
      <c r="R17" s="346"/>
      <c r="S17" s="345"/>
      <c r="T17" s="346"/>
      <c r="U17" s="345"/>
      <c r="V17" s="346"/>
      <c r="W17" s="345"/>
      <c r="X17" s="346"/>
      <c r="Y17" s="345"/>
      <c r="Z17" s="364"/>
      <c r="AA17" s="355"/>
      <c r="AB17" s="356"/>
      <c r="AC17" s="345"/>
      <c r="AD17" s="346"/>
      <c r="AE17" s="349"/>
      <c r="AF17" s="350"/>
      <c r="AG17" s="349"/>
      <c r="AH17" s="350"/>
      <c r="AI17" s="349"/>
      <c r="AJ17" s="350"/>
      <c r="AK17" s="349"/>
      <c r="AL17" s="350"/>
      <c r="AM17" s="349"/>
      <c r="AN17" s="350"/>
      <c r="AO17" s="349"/>
      <c r="AP17" s="350"/>
      <c r="AQ17" s="349"/>
      <c r="AR17" s="350"/>
      <c r="AS17" s="349"/>
      <c r="AT17" s="350"/>
      <c r="AU17" s="349"/>
      <c r="AV17" s="350"/>
      <c r="AW17" s="349"/>
      <c r="AX17" s="350"/>
      <c r="AY17" s="349"/>
      <c r="AZ17" s="350"/>
      <c r="BA17" s="345"/>
      <c r="BB17" s="344"/>
      <c r="BC17" s="345"/>
      <c r="BD17" s="346"/>
      <c r="BE17" s="345"/>
      <c r="BF17" s="346"/>
      <c r="BG17" s="345"/>
      <c r="BH17" s="344"/>
      <c r="BI17" s="345"/>
      <c r="BJ17" s="346"/>
      <c r="BK17" s="345"/>
      <c r="BL17" s="346"/>
      <c r="BM17" s="345"/>
      <c r="BN17" s="346"/>
      <c r="BO17" s="345"/>
      <c r="BP17" s="344"/>
      <c r="BQ17" s="345"/>
      <c r="BR17" s="344"/>
      <c r="BS17" s="345"/>
      <c r="BT17" s="346"/>
      <c r="BU17" s="345"/>
      <c r="BV17" s="346"/>
      <c r="BW17" s="349"/>
      <c r="BX17" s="350"/>
      <c r="BY17" s="349"/>
      <c r="BZ17" s="350"/>
      <c r="CA17" s="349"/>
      <c r="CB17" s="350"/>
      <c r="CC17" s="349"/>
      <c r="CD17" s="350"/>
      <c r="CE17" s="351">
        <f t="shared" si="0"/>
        <v>0</v>
      </c>
      <c r="CF17" s="352">
        <f>(T17+AD17+AF17+AH17+AJ17+AN17+AP17+AR17+AX17+BD17+BL17+BR17+BT17)/13</f>
        <v>0</v>
      </c>
      <c r="CG17" s="368">
        <f t="shared" si="1"/>
        <v>37152</v>
      </c>
    </row>
    <row r="18" spans="2:85" ht="15.6" x14ac:dyDescent="0.3">
      <c r="B18" s="368">
        <v>37153</v>
      </c>
      <c r="C18" s="345"/>
      <c r="D18" s="346"/>
      <c r="E18" s="345"/>
      <c r="F18" s="344"/>
      <c r="G18" s="345"/>
      <c r="H18" s="344"/>
      <c r="I18" s="345"/>
      <c r="J18" s="346"/>
      <c r="K18" s="345"/>
      <c r="L18" s="346"/>
      <c r="M18" s="345"/>
      <c r="N18" s="344"/>
      <c r="O18" s="345"/>
      <c r="P18" s="346"/>
      <c r="Q18" s="345"/>
      <c r="R18" s="346"/>
      <c r="S18" s="345"/>
      <c r="T18" s="346"/>
      <c r="U18" s="345"/>
      <c r="V18" s="346"/>
      <c r="W18" s="345"/>
      <c r="X18" s="346"/>
      <c r="Y18" s="345"/>
      <c r="Z18" s="364"/>
      <c r="AA18" s="355"/>
      <c r="AB18" s="356"/>
      <c r="AC18" s="345"/>
      <c r="AD18" s="346"/>
      <c r="AE18" s="349"/>
      <c r="AF18" s="350"/>
      <c r="AG18" s="349"/>
      <c r="AH18" s="350"/>
      <c r="AI18" s="349"/>
      <c r="AJ18" s="350"/>
      <c r="AK18" s="349"/>
      <c r="AL18" s="350"/>
      <c r="AM18" s="349"/>
      <c r="AN18" s="350"/>
      <c r="AO18" s="349"/>
      <c r="AP18" s="350"/>
      <c r="AQ18" s="349"/>
      <c r="AR18" s="350"/>
      <c r="AS18" s="349"/>
      <c r="AT18" s="350"/>
      <c r="AU18" s="349"/>
      <c r="AV18" s="350"/>
      <c r="AW18" s="349"/>
      <c r="AX18" s="350"/>
      <c r="AY18" s="349"/>
      <c r="AZ18" s="350"/>
      <c r="BA18" s="345"/>
      <c r="BB18" s="344"/>
      <c r="BC18" s="345"/>
      <c r="BD18" s="346"/>
      <c r="BE18" s="345"/>
      <c r="BF18" s="346"/>
      <c r="BG18" s="345"/>
      <c r="BH18" s="344"/>
      <c r="BI18" s="345"/>
      <c r="BJ18" s="346"/>
      <c r="BK18" s="345"/>
      <c r="BL18" s="346"/>
      <c r="BM18" s="345"/>
      <c r="BN18" s="346"/>
      <c r="BO18" s="345"/>
      <c r="BP18" s="344"/>
      <c r="BQ18" s="345"/>
      <c r="BR18" s="344"/>
      <c r="BS18" s="345"/>
      <c r="BT18" s="346"/>
      <c r="BU18" s="345"/>
      <c r="BV18" s="346"/>
      <c r="BW18" s="345"/>
      <c r="BX18" s="346"/>
      <c r="BY18" s="345"/>
      <c r="BZ18" s="344"/>
      <c r="CA18" s="345"/>
      <c r="CB18" s="344"/>
      <c r="CC18" s="345"/>
      <c r="CD18" s="346"/>
      <c r="CE18" s="351">
        <f t="shared" si="0"/>
        <v>0</v>
      </c>
      <c r="CF18" s="352">
        <f>(T18+AD18+AF18+AH18+AJ18+AN18+AP18+AR18+AX18+BD18+BL18+BR18+BT18)/13</f>
        <v>0</v>
      </c>
      <c r="CG18" s="368">
        <f t="shared" si="1"/>
        <v>37153</v>
      </c>
    </row>
    <row r="19" spans="2:85" ht="15.6" x14ac:dyDescent="0.3">
      <c r="B19" s="368">
        <v>37154</v>
      </c>
      <c r="C19" s="345">
        <v>50</v>
      </c>
      <c r="D19" s="346">
        <v>42</v>
      </c>
      <c r="E19" s="345">
        <v>-50</v>
      </c>
      <c r="F19" s="346">
        <v>42.25</v>
      </c>
      <c r="G19" s="349">
        <v>50</v>
      </c>
      <c r="H19" s="350">
        <v>43</v>
      </c>
      <c r="I19" s="349">
        <v>-50</v>
      </c>
      <c r="J19" s="350">
        <v>43.25</v>
      </c>
      <c r="K19" s="349">
        <v>-50</v>
      </c>
      <c r="L19" s="350">
        <v>43</v>
      </c>
      <c r="M19" s="349"/>
      <c r="N19" s="350"/>
      <c r="O19" s="349">
        <v>-50</v>
      </c>
      <c r="P19" s="350">
        <v>43.3</v>
      </c>
      <c r="Q19" s="349">
        <v>50</v>
      </c>
      <c r="R19" s="350">
        <v>43.3</v>
      </c>
      <c r="S19" s="349">
        <v>50</v>
      </c>
      <c r="T19" s="350">
        <v>43.25</v>
      </c>
      <c r="U19" s="349">
        <v>50</v>
      </c>
      <c r="V19" s="350">
        <v>45</v>
      </c>
      <c r="W19" s="345">
        <v>-50</v>
      </c>
      <c r="X19" s="346">
        <v>40.75</v>
      </c>
      <c r="Y19" s="345">
        <v>-50</v>
      </c>
      <c r="Z19" s="346">
        <v>39.5</v>
      </c>
      <c r="AA19" s="345"/>
      <c r="AB19" s="346"/>
      <c r="AC19" s="345"/>
      <c r="AD19" s="344"/>
      <c r="AE19" s="345">
        <v>-50</v>
      </c>
      <c r="AF19" s="344">
        <v>40</v>
      </c>
      <c r="AG19" s="345">
        <v>50</v>
      </c>
      <c r="AH19" s="346">
        <v>39.5</v>
      </c>
      <c r="AI19" s="345"/>
      <c r="AJ19" s="346"/>
      <c r="AK19" s="345"/>
      <c r="AL19" s="346"/>
      <c r="AM19" s="345"/>
      <c r="AN19" s="344"/>
      <c r="AO19" s="345"/>
      <c r="AP19" s="344"/>
      <c r="AQ19" s="345"/>
      <c r="AR19" s="346"/>
      <c r="AS19" s="345">
        <v>-50</v>
      </c>
      <c r="AT19" s="346">
        <v>36.75</v>
      </c>
      <c r="AU19" s="345">
        <v>50</v>
      </c>
      <c r="AV19" s="344">
        <v>36.75</v>
      </c>
      <c r="AW19" s="345">
        <v>50</v>
      </c>
      <c r="AX19" s="344">
        <v>36.75</v>
      </c>
      <c r="AY19" s="345">
        <v>50</v>
      </c>
      <c r="AZ19" s="346">
        <v>36.75</v>
      </c>
      <c r="BA19" s="345">
        <v>-50</v>
      </c>
      <c r="BB19" s="346">
        <v>36.75</v>
      </c>
      <c r="BC19" s="345">
        <v>50</v>
      </c>
      <c r="BD19" s="344">
        <v>36.75</v>
      </c>
      <c r="BE19" s="345">
        <v>-50</v>
      </c>
      <c r="BF19" s="346">
        <v>36.75</v>
      </c>
      <c r="BG19" s="345">
        <v>50</v>
      </c>
      <c r="BH19" s="346">
        <v>36.75</v>
      </c>
      <c r="BI19" s="345">
        <v>-50</v>
      </c>
      <c r="BJ19" s="346">
        <v>36.75</v>
      </c>
      <c r="BK19" s="345"/>
      <c r="BL19" s="344"/>
      <c r="BM19" s="345"/>
      <c r="BN19" s="344"/>
      <c r="BO19" s="345"/>
      <c r="BP19" s="346"/>
      <c r="BQ19" s="345"/>
      <c r="BR19" s="344"/>
      <c r="BS19" s="345"/>
      <c r="BT19" s="346"/>
      <c r="BU19" s="345"/>
      <c r="BV19" s="346"/>
      <c r="BW19" s="345"/>
      <c r="BX19" s="346"/>
      <c r="BY19" s="345"/>
      <c r="BZ19" s="344"/>
      <c r="CA19" s="345"/>
      <c r="CB19" s="344"/>
      <c r="CC19" s="345"/>
      <c r="CD19" s="346"/>
      <c r="CE19" s="351">
        <f t="shared" si="0"/>
        <v>0</v>
      </c>
      <c r="CF19" s="352">
        <f>(T19+AD19+AF19+AH19+AJ19+AN19+AP19+AR19+AX19+BD19+BL19+BR19+BT19)/13</f>
        <v>15.096153846153847</v>
      </c>
      <c r="CG19" s="368">
        <f t="shared" si="1"/>
        <v>37154</v>
      </c>
    </row>
    <row r="20" spans="2:85" ht="15.6" x14ac:dyDescent="0.3">
      <c r="B20" s="368">
        <v>37155</v>
      </c>
      <c r="C20" s="345">
        <v>50</v>
      </c>
      <c r="D20" s="346">
        <v>42</v>
      </c>
      <c r="E20" s="345">
        <v>-50</v>
      </c>
      <c r="F20" s="346">
        <v>42.25</v>
      </c>
      <c r="G20" s="349">
        <v>50</v>
      </c>
      <c r="H20" s="350">
        <v>43</v>
      </c>
      <c r="I20" s="349">
        <v>-50</v>
      </c>
      <c r="J20" s="350">
        <v>43.25</v>
      </c>
      <c r="K20" s="349">
        <v>-50</v>
      </c>
      <c r="L20" s="350">
        <v>43</v>
      </c>
      <c r="M20" s="349"/>
      <c r="N20" s="350"/>
      <c r="O20" s="349">
        <v>-50</v>
      </c>
      <c r="P20" s="350">
        <v>43.3</v>
      </c>
      <c r="Q20" s="349">
        <v>50</v>
      </c>
      <c r="R20" s="350">
        <v>43.3</v>
      </c>
      <c r="S20" s="349">
        <v>50</v>
      </c>
      <c r="T20" s="350">
        <v>43.25</v>
      </c>
      <c r="U20" s="349">
        <v>50</v>
      </c>
      <c r="V20" s="350">
        <v>45</v>
      </c>
      <c r="W20" s="345">
        <v>-50</v>
      </c>
      <c r="X20" s="346">
        <v>40.75</v>
      </c>
      <c r="Y20" s="345">
        <v>-50</v>
      </c>
      <c r="Z20" s="346">
        <v>39.5</v>
      </c>
      <c r="AA20" s="345"/>
      <c r="AB20" s="346"/>
      <c r="AC20" s="345"/>
      <c r="AD20" s="346"/>
      <c r="AE20" s="345">
        <v>-50</v>
      </c>
      <c r="AF20" s="344">
        <v>40</v>
      </c>
      <c r="AG20" s="345">
        <v>50</v>
      </c>
      <c r="AH20" s="346">
        <v>39.5</v>
      </c>
      <c r="AI20" s="345"/>
      <c r="AJ20" s="346"/>
      <c r="AK20" s="345"/>
      <c r="AL20" s="346"/>
      <c r="AM20" s="345"/>
      <c r="AN20" s="346"/>
      <c r="AO20" s="345"/>
      <c r="AP20" s="344"/>
      <c r="AQ20" s="345"/>
      <c r="AR20" s="346"/>
      <c r="AS20" s="345">
        <v>-50</v>
      </c>
      <c r="AT20" s="346">
        <v>36.75</v>
      </c>
      <c r="AU20" s="345"/>
      <c r="AV20" s="346"/>
      <c r="AW20" s="345"/>
      <c r="AX20" s="344"/>
      <c r="AY20" s="345"/>
      <c r="AZ20" s="346"/>
      <c r="BA20" s="345"/>
      <c r="BB20" s="346"/>
      <c r="BC20" s="345"/>
      <c r="BD20" s="346"/>
      <c r="BE20" s="345"/>
      <c r="BF20" s="346"/>
      <c r="BG20" s="345"/>
      <c r="BH20" s="346"/>
      <c r="BI20" s="345"/>
      <c r="BJ20" s="346"/>
      <c r="BK20" s="345"/>
      <c r="BL20" s="346"/>
      <c r="BM20" s="345"/>
      <c r="BN20" s="344"/>
      <c r="BO20" s="345"/>
      <c r="BP20" s="346"/>
      <c r="BQ20" s="345"/>
      <c r="BR20" s="344"/>
      <c r="BS20" s="345"/>
      <c r="BT20" s="346"/>
      <c r="BU20" s="345"/>
      <c r="BV20" s="346"/>
      <c r="BW20" s="345"/>
      <c r="BX20" s="346"/>
      <c r="BY20" s="345"/>
      <c r="BZ20" s="346"/>
      <c r="CA20" s="345"/>
      <c r="CB20" s="344"/>
      <c r="CC20" s="345"/>
      <c r="CD20" s="346"/>
      <c r="CE20" s="351">
        <f t="shared" si="0"/>
        <v>-100</v>
      </c>
      <c r="CF20" s="352">
        <f>(T20+AD20+AF20+AH20+AJ20+AN20+AP20+AR20+AX20+BD20+BL20+BR20+BT20)/13</f>
        <v>9.4423076923076916</v>
      </c>
      <c r="CG20" s="368">
        <f t="shared" si="1"/>
        <v>37155</v>
      </c>
    </row>
    <row r="21" spans="2:85" ht="15.6" x14ac:dyDescent="0.3">
      <c r="B21" s="368">
        <v>37158</v>
      </c>
      <c r="C21" s="345">
        <v>50</v>
      </c>
      <c r="D21" s="346">
        <v>42</v>
      </c>
      <c r="E21" s="345">
        <v>-50</v>
      </c>
      <c r="F21" s="346">
        <v>42.25</v>
      </c>
      <c r="G21" s="349">
        <v>50</v>
      </c>
      <c r="H21" s="350">
        <v>43</v>
      </c>
      <c r="I21" s="349">
        <v>-50</v>
      </c>
      <c r="J21" s="350">
        <v>43.25</v>
      </c>
      <c r="K21" s="349">
        <v>-50</v>
      </c>
      <c r="L21" s="350">
        <v>43</v>
      </c>
      <c r="M21" s="349"/>
      <c r="N21" s="350"/>
      <c r="O21" s="349">
        <v>-50</v>
      </c>
      <c r="P21" s="350">
        <v>43.3</v>
      </c>
      <c r="Q21" s="349">
        <v>50</v>
      </c>
      <c r="R21" s="350">
        <v>43.3</v>
      </c>
      <c r="S21" s="349">
        <v>50</v>
      </c>
      <c r="T21" s="350">
        <v>43.25</v>
      </c>
      <c r="U21" s="349">
        <v>50</v>
      </c>
      <c r="V21" s="350">
        <v>45</v>
      </c>
      <c r="W21" s="345">
        <v>-50</v>
      </c>
      <c r="X21" s="346">
        <v>40.75</v>
      </c>
      <c r="Y21" s="345"/>
      <c r="Z21" s="346"/>
      <c r="AA21" s="345">
        <v>-50</v>
      </c>
      <c r="AB21" s="346">
        <v>40.5</v>
      </c>
      <c r="AC21" s="345">
        <v>-50</v>
      </c>
      <c r="AD21" s="346">
        <v>41</v>
      </c>
      <c r="AE21" s="345">
        <v>-50</v>
      </c>
      <c r="AF21" s="344">
        <v>41.5</v>
      </c>
      <c r="AG21" s="345"/>
      <c r="AH21" s="346"/>
      <c r="AI21" s="345">
        <v>-50</v>
      </c>
      <c r="AJ21" s="346">
        <v>38</v>
      </c>
      <c r="AK21" s="345">
        <v>-50</v>
      </c>
      <c r="AL21" s="346">
        <v>37.75</v>
      </c>
      <c r="AM21" s="345">
        <v>50</v>
      </c>
      <c r="AN21" s="346">
        <v>37.5</v>
      </c>
      <c r="AO21" s="345">
        <v>50</v>
      </c>
      <c r="AP21" s="344">
        <v>37</v>
      </c>
      <c r="AQ21" s="345">
        <v>-50</v>
      </c>
      <c r="AR21" s="346">
        <v>36.75</v>
      </c>
      <c r="AS21" s="345"/>
      <c r="AT21" s="346"/>
      <c r="AU21" s="345"/>
      <c r="AV21" s="344"/>
      <c r="AW21" s="345"/>
      <c r="AX21" s="346"/>
      <c r="AY21" s="345"/>
      <c r="AZ21" s="346"/>
      <c r="BA21" s="345"/>
      <c r="BB21" s="346"/>
      <c r="BC21" s="345"/>
      <c r="BD21" s="346"/>
      <c r="BE21" s="345"/>
      <c r="BF21" s="344"/>
      <c r="BG21" s="345"/>
      <c r="BH21" s="346"/>
      <c r="BI21" s="345"/>
      <c r="BJ21" s="346"/>
      <c r="BK21" s="345"/>
      <c r="BL21" s="346"/>
      <c r="BM21" s="345"/>
      <c r="BN21" s="344"/>
      <c r="BO21" s="345"/>
      <c r="BP21" s="346"/>
      <c r="BQ21" s="345"/>
      <c r="BR21" s="344"/>
      <c r="BS21" s="345"/>
      <c r="BT21" s="346"/>
      <c r="BU21" s="345"/>
      <c r="BV21" s="346"/>
      <c r="BW21" s="345"/>
      <c r="BX21" s="346"/>
      <c r="BY21" s="345"/>
      <c r="BZ21" s="346"/>
      <c r="CA21" s="345"/>
      <c r="CB21" s="344"/>
      <c r="CC21" s="345"/>
      <c r="CD21" s="346"/>
      <c r="CE21" s="351">
        <f t="shared" si="0"/>
        <v>-200</v>
      </c>
      <c r="CF21" s="352">
        <f>(D21+F21+H21+J21+L21+P21+R21+T21+V21+X21+AB21+AD21+AF21+AJ21+AL21+AN21+AP21+AR21)/18</f>
        <v>41.06111111111111</v>
      </c>
      <c r="CG21" s="368">
        <f t="shared" si="1"/>
        <v>37158</v>
      </c>
    </row>
    <row r="22" spans="2:85" ht="15.6" x14ac:dyDescent="0.3">
      <c r="B22" s="368">
        <v>37159</v>
      </c>
      <c r="C22" s="345">
        <v>50</v>
      </c>
      <c r="D22" s="346">
        <v>42</v>
      </c>
      <c r="E22" s="345">
        <v>-50</v>
      </c>
      <c r="F22" s="346">
        <v>42.25</v>
      </c>
      <c r="G22" s="349">
        <v>50</v>
      </c>
      <c r="H22" s="350">
        <v>43</v>
      </c>
      <c r="I22" s="349">
        <v>-50</v>
      </c>
      <c r="J22" s="350">
        <v>43.25</v>
      </c>
      <c r="K22" s="349">
        <v>-50</v>
      </c>
      <c r="L22" s="350">
        <v>43</v>
      </c>
      <c r="M22" s="349"/>
      <c r="N22" s="350"/>
      <c r="O22" s="349">
        <v>-50</v>
      </c>
      <c r="P22" s="350">
        <v>43.3</v>
      </c>
      <c r="Q22" s="349">
        <v>50</v>
      </c>
      <c r="R22" s="350">
        <v>43.3</v>
      </c>
      <c r="S22" s="349">
        <v>50</v>
      </c>
      <c r="T22" s="350">
        <v>43.25</v>
      </c>
      <c r="U22" s="349">
        <v>50</v>
      </c>
      <c r="V22" s="350">
        <v>45</v>
      </c>
      <c r="W22" s="345">
        <v>-50</v>
      </c>
      <c r="X22" s="346">
        <v>40.75</v>
      </c>
      <c r="Y22" s="345"/>
      <c r="Z22" s="344"/>
      <c r="AA22" s="345">
        <v>-50</v>
      </c>
      <c r="AB22" s="346">
        <v>40.5</v>
      </c>
      <c r="AC22" s="345">
        <v>-50</v>
      </c>
      <c r="AD22" s="344">
        <v>41</v>
      </c>
      <c r="AE22" s="345">
        <v>-50</v>
      </c>
      <c r="AF22" s="344">
        <v>41.5</v>
      </c>
      <c r="AG22" s="345"/>
      <c r="AH22" s="346"/>
      <c r="AI22" s="345">
        <v>-50</v>
      </c>
      <c r="AJ22" s="346">
        <v>38</v>
      </c>
      <c r="AK22" s="345">
        <v>-50</v>
      </c>
      <c r="AL22" s="346">
        <v>37.75</v>
      </c>
      <c r="AM22" s="345">
        <v>50</v>
      </c>
      <c r="AN22" s="344">
        <v>37.5</v>
      </c>
      <c r="AO22" s="345">
        <v>50</v>
      </c>
      <c r="AP22" s="344">
        <v>37</v>
      </c>
      <c r="AQ22" s="345">
        <v>-50</v>
      </c>
      <c r="AR22" s="346">
        <v>36.75</v>
      </c>
      <c r="AS22" s="345">
        <v>50</v>
      </c>
      <c r="AT22" s="346">
        <v>37.5</v>
      </c>
      <c r="AU22" s="345"/>
      <c r="AV22" s="344"/>
      <c r="AW22" s="345"/>
      <c r="AX22" s="346"/>
      <c r="AY22" s="345"/>
      <c r="AZ22" s="346"/>
      <c r="BA22" s="345"/>
      <c r="BB22" s="346"/>
      <c r="BC22" s="345"/>
      <c r="BD22" s="344"/>
      <c r="BE22" s="345"/>
      <c r="BF22" s="344"/>
      <c r="BG22" s="345"/>
      <c r="BH22" s="346"/>
      <c r="BI22" s="345"/>
      <c r="BJ22" s="346"/>
      <c r="BK22" s="345"/>
      <c r="BL22" s="344"/>
      <c r="BM22" s="345"/>
      <c r="BN22" s="344"/>
      <c r="BO22" s="345"/>
      <c r="BP22" s="346"/>
      <c r="BQ22" s="345"/>
      <c r="BR22" s="344"/>
      <c r="BS22" s="345"/>
      <c r="BT22" s="346"/>
      <c r="BU22" s="345"/>
      <c r="BV22" s="346"/>
      <c r="BW22" s="345"/>
      <c r="BX22" s="346"/>
      <c r="BY22" s="345"/>
      <c r="BZ22" s="344"/>
      <c r="CA22" s="345"/>
      <c r="CB22" s="344"/>
      <c r="CC22" s="345"/>
      <c r="CD22" s="346"/>
      <c r="CE22" s="351">
        <f t="shared" si="0"/>
        <v>-150</v>
      </c>
      <c r="CF22" s="352">
        <f>(D22+F22+H22+J22+L22+P22+R22+T22+V22+X22+AB22+AD22+AF22+AJ22+AL22+AN22+AP22+AR22)/18</f>
        <v>41.06111111111111</v>
      </c>
      <c r="CG22" s="368">
        <f t="shared" si="1"/>
        <v>37159</v>
      </c>
    </row>
    <row r="23" spans="2:85" ht="15.6" x14ac:dyDescent="0.3">
      <c r="B23" s="368">
        <v>37160</v>
      </c>
      <c r="C23" s="345">
        <v>50</v>
      </c>
      <c r="D23" s="346">
        <v>42</v>
      </c>
      <c r="E23" s="345">
        <v>-50</v>
      </c>
      <c r="F23" s="346">
        <v>42.25</v>
      </c>
      <c r="G23" s="349">
        <v>50</v>
      </c>
      <c r="H23" s="350">
        <v>43</v>
      </c>
      <c r="I23" s="349">
        <v>-50</v>
      </c>
      <c r="J23" s="350">
        <v>43.25</v>
      </c>
      <c r="K23" s="349">
        <v>-50</v>
      </c>
      <c r="L23" s="350">
        <v>43</v>
      </c>
      <c r="M23" s="349"/>
      <c r="N23" s="350"/>
      <c r="O23" s="349">
        <v>-50</v>
      </c>
      <c r="P23" s="350">
        <v>43.3</v>
      </c>
      <c r="Q23" s="349">
        <v>50</v>
      </c>
      <c r="R23" s="350">
        <v>43.3</v>
      </c>
      <c r="S23" s="349">
        <v>50</v>
      </c>
      <c r="T23" s="350">
        <v>43.25</v>
      </c>
      <c r="U23" s="349">
        <v>50</v>
      </c>
      <c r="V23" s="350">
        <v>45</v>
      </c>
      <c r="W23" s="345">
        <v>-50</v>
      </c>
      <c r="X23" s="346">
        <v>40.75</v>
      </c>
      <c r="Y23" s="345"/>
      <c r="Z23" s="344"/>
      <c r="AA23" s="345">
        <v>-50</v>
      </c>
      <c r="AB23" s="346">
        <v>40.5</v>
      </c>
      <c r="AC23" s="345">
        <v>-50</v>
      </c>
      <c r="AD23" s="346">
        <v>41</v>
      </c>
      <c r="AE23" s="345">
        <v>-50</v>
      </c>
      <c r="AF23" s="344">
        <v>41.5</v>
      </c>
      <c r="AG23" s="345"/>
      <c r="AH23" s="346"/>
      <c r="AI23" s="345">
        <v>-50</v>
      </c>
      <c r="AJ23" s="346">
        <v>38</v>
      </c>
      <c r="AK23" s="345">
        <v>-50</v>
      </c>
      <c r="AL23" s="346">
        <v>37.75</v>
      </c>
      <c r="AM23" s="345">
        <v>50</v>
      </c>
      <c r="AN23" s="346">
        <v>37.5</v>
      </c>
      <c r="AO23" s="345">
        <v>50</v>
      </c>
      <c r="AP23" s="344">
        <v>37</v>
      </c>
      <c r="AQ23" s="345">
        <v>-50</v>
      </c>
      <c r="AR23" s="346">
        <v>36.75</v>
      </c>
      <c r="AS23" s="345">
        <v>50</v>
      </c>
      <c r="AT23" s="346">
        <v>37.5</v>
      </c>
      <c r="AU23" s="345"/>
      <c r="AV23" s="344"/>
      <c r="AW23" s="345"/>
      <c r="AX23" s="346"/>
      <c r="AY23" s="345"/>
      <c r="AZ23" s="346"/>
      <c r="BA23" s="345"/>
      <c r="BB23" s="346"/>
      <c r="BC23" s="345"/>
      <c r="BD23" s="346"/>
      <c r="BE23" s="345"/>
      <c r="BF23" s="344"/>
      <c r="BG23" s="345"/>
      <c r="BH23" s="346"/>
      <c r="BI23" s="345"/>
      <c r="BJ23" s="346"/>
      <c r="BK23" s="345"/>
      <c r="BL23" s="346"/>
      <c r="BM23" s="345"/>
      <c r="BN23" s="344"/>
      <c r="BO23" s="345"/>
      <c r="BP23" s="346"/>
      <c r="BQ23" s="345"/>
      <c r="BR23" s="344"/>
      <c r="BS23" s="345"/>
      <c r="BT23" s="346"/>
      <c r="BU23" s="345"/>
      <c r="BV23" s="346"/>
      <c r="BW23" s="345"/>
      <c r="BX23" s="346"/>
      <c r="BY23" s="345"/>
      <c r="BZ23" s="346"/>
      <c r="CA23" s="345"/>
      <c r="CB23" s="344"/>
      <c r="CC23" s="345"/>
      <c r="CD23" s="346"/>
      <c r="CE23" s="351">
        <f t="shared" si="0"/>
        <v>-150</v>
      </c>
      <c r="CF23" s="352">
        <f>(D23+F23+H23+J23+L23+P23+R23+T23+V23+X23+AB23+AD23+AF23+AJ23+AL23+AN23+AP23+AR23)/18</f>
        <v>41.06111111111111</v>
      </c>
      <c r="CG23" s="368">
        <f t="shared" si="1"/>
        <v>37160</v>
      </c>
    </row>
    <row r="24" spans="2:85" ht="15.6" x14ac:dyDescent="0.3">
      <c r="B24" s="368">
        <v>37161</v>
      </c>
      <c r="C24" s="345">
        <v>50</v>
      </c>
      <c r="D24" s="346">
        <v>42</v>
      </c>
      <c r="E24" s="345">
        <v>-50</v>
      </c>
      <c r="F24" s="346">
        <v>42.25</v>
      </c>
      <c r="G24" s="349">
        <v>50</v>
      </c>
      <c r="H24" s="350">
        <v>43</v>
      </c>
      <c r="I24" s="349">
        <v>-50</v>
      </c>
      <c r="J24" s="350">
        <v>43.25</v>
      </c>
      <c r="K24" s="349">
        <v>-50</v>
      </c>
      <c r="L24" s="350">
        <v>43</v>
      </c>
      <c r="M24" s="349"/>
      <c r="N24" s="350"/>
      <c r="O24" s="349">
        <v>-50</v>
      </c>
      <c r="P24" s="350">
        <v>43.3</v>
      </c>
      <c r="Q24" s="349">
        <v>50</v>
      </c>
      <c r="R24" s="350">
        <v>43.3</v>
      </c>
      <c r="S24" s="349">
        <v>50</v>
      </c>
      <c r="T24" s="350">
        <v>43.25</v>
      </c>
      <c r="U24" s="349">
        <v>50</v>
      </c>
      <c r="V24" s="350">
        <v>45</v>
      </c>
      <c r="W24" s="345">
        <v>-50</v>
      </c>
      <c r="X24" s="346">
        <v>40.75</v>
      </c>
      <c r="Y24" s="345"/>
      <c r="Z24" s="344"/>
      <c r="AA24" s="345">
        <v>-50</v>
      </c>
      <c r="AB24" s="346">
        <v>40.5</v>
      </c>
      <c r="AC24" s="345">
        <v>-50</v>
      </c>
      <c r="AD24" s="344">
        <v>41</v>
      </c>
      <c r="AE24" s="345">
        <v>-50</v>
      </c>
      <c r="AF24" s="344">
        <v>41.5</v>
      </c>
      <c r="AG24" s="345"/>
      <c r="AH24" s="346"/>
      <c r="AI24" s="345">
        <v>-50</v>
      </c>
      <c r="AJ24" s="346">
        <v>38</v>
      </c>
      <c r="AK24" s="345">
        <v>-50</v>
      </c>
      <c r="AL24" s="346">
        <v>37.75</v>
      </c>
      <c r="AM24" s="345">
        <v>50</v>
      </c>
      <c r="AN24" s="344">
        <v>37.5</v>
      </c>
      <c r="AO24" s="345">
        <v>50</v>
      </c>
      <c r="AP24" s="344">
        <v>37</v>
      </c>
      <c r="AQ24" s="345">
        <v>-50</v>
      </c>
      <c r="AR24" s="346">
        <v>36.75</v>
      </c>
      <c r="AS24" s="345">
        <v>50</v>
      </c>
      <c r="AT24" s="346">
        <v>37.5</v>
      </c>
      <c r="AU24" s="345"/>
      <c r="AV24" s="344"/>
      <c r="AW24" s="345"/>
      <c r="AX24" s="346"/>
      <c r="AY24" s="345"/>
      <c r="AZ24" s="346"/>
      <c r="BA24" s="345"/>
      <c r="BB24" s="346"/>
      <c r="BC24" s="345"/>
      <c r="BD24" s="344"/>
      <c r="BE24" s="345"/>
      <c r="BF24" s="344"/>
      <c r="BG24" s="345"/>
      <c r="BH24" s="346"/>
      <c r="BI24" s="345"/>
      <c r="BJ24" s="346"/>
      <c r="BK24" s="345"/>
      <c r="BL24" s="344"/>
      <c r="BM24" s="345"/>
      <c r="BN24" s="344"/>
      <c r="BO24" s="345"/>
      <c r="BP24" s="346"/>
      <c r="BQ24" s="345"/>
      <c r="BR24" s="344"/>
      <c r="BS24" s="345"/>
      <c r="BT24" s="346"/>
      <c r="BU24" s="345"/>
      <c r="BV24" s="346"/>
      <c r="BW24" s="345"/>
      <c r="BX24" s="346"/>
      <c r="BY24" s="345"/>
      <c r="BZ24" s="344"/>
      <c r="CA24" s="345"/>
      <c r="CB24" s="344"/>
      <c r="CC24" s="345"/>
      <c r="CD24" s="346"/>
      <c r="CE24" s="351">
        <f t="shared" si="0"/>
        <v>-150</v>
      </c>
      <c r="CF24" s="352">
        <f>(D24+F24+H24+J24+L24+P24+R24+T24+V24+X24+AB24+AD24+AF24+AJ24+AL24+AN24+AP24+AR24)/18</f>
        <v>41.06111111111111</v>
      </c>
      <c r="CG24" s="368">
        <f t="shared" si="1"/>
        <v>37161</v>
      </c>
    </row>
    <row r="25" spans="2:85" ht="15.6" x14ac:dyDescent="0.3">
      <c r="B25" s="368">
        <v>37162</v>
      </c>
      <c r="C25" s="345">
        <v>50</v>
      </c>
      <c r="D25" s="346">
        <v>42</v>
      </c>
      <c r="E25" s="345">
        <v>-50</v>
      </c>
      <c r="F25" s="346">
        <v>42.25</v>
      </c>
      <c r="G25" s="349">
        <v>50</v>
      </c>
      <c r="H25" s="350">
        <v>43</v>
      </c>
      <c r="I25" s="349">
        <v>-50</v>
      </c>
      <c r="J25" s="350">
        <v>43.25</v>
      </c>
      <c r="K25" s="349">
        <v>-50</v>
      </c>
      <c r="L25" s="350">
        <v>43</v>
      </c>
      <c r="M25" s="349"/>
      <c r="N25" s="350"/>
      <c r="O25" s="349">
        <v>-50</v>
      </c>
      <c r="P25" s="350">
        <v>43.3</v>
      </c>
      <c r="Q25" s="349">
        <v>50</v>
      </c>
      <c r="R25" s="350">
        <v>43.3</v>
      </c>
      <c r="S25" s="349">
        <v>50</v>
      </c>
      <c r="T25" s="350">
        <v>43.25</v>
      </c>
      <c r="U25" s="349">
        <v>50</v>
      </c>
      <c r="V25" s="350">
        <v>45</v>
      </c>
      <c r="W25" s="345">
        <v>-50</v>
      </c>
      <c r="X25" s="346">
        <v>40.75</v>
      </c>
      <c r="Y25" s="345"/>
      <c r="Z25" s="344"/>
      <c r="AA25" s="345">
        <v>-50</v>
      </c>
      <c r="AB25" s="346">
        <v>40.5</v>
      </c>
      <c r="AC25" s="345">
        <v>-50</v>
      </c>
      <c r="AD25" s="346">
        <v>41</v>
      </c>
      <c r="AE25" s="345">
        <v>-50</v>
      </c>
      <c r="AF25" s="344">
        <v>41.5</v>
      </c>
      <c r="AG25" s="345"/>
      <c r="AH25" s="346"/>
      <c r="AI25" s="345">
        <v>-50</v>
      </c>
      <c r="AJ25" s="346">
        <v>38</v>
      </c>
      <c r="AK25" s="345">
        <v>-50</v>
      </c>
      <c r="AL25" s="346">
        <v>37.75</v>
      </c>
      <c r="AM25" s="345">
        <v>50</v>
      </c>
      <c r="AN25" s="346">
        <v>37.5</v>
      </c>
      <c r="AO25" s="345">
        <v>50</v>
      </c>
      <c r="AP25" s="344">
        <v>37</v>
      </c>
      <c r="AQ25" s="345">
        <v>-50</v>
      </c>
      <c r="AR25" s="346">
        <v>36.75</v>
      </c>
      <c r="AS25" s="345">
        <v>50</v>
      </c>
      <c r="AT25" s="346">
        <v>37.5</v>
      </c>
      <c r="AU25" s="345"/>
      <c r="AV25" s="344"/>
      <c r="AW25" s="345"/>
      <c r="AX25" s="346"/>
      <c r="AY25" s="345"/>
      <c r="AZ25" s="346"/>
      <c r="BA25" s="345"/>
      <c r="BB25" s="346"/>
      <c r="BC25" s="345"/>
      <c r="BD25" s="346"/>
      <c r="BE25" s="345"/>
      <c r="BF25" s="344"/>
      <c r="BG25" s="345"/>
      <c r="BH25" s="346"/>
      <c r="BI25" s="345"/>
      <c r="BJ25" s="346"/>
      <c r="BK25" s="345"/>
      <c r="BL25" s="346"/>
      <c r="BM25" s="345"/>
      <c r="BN25" s="344"/>
      <c r="BO25" s="345"/>
      <c r="BP25" s="346"/>
      <c r="BQ25" s="345"/>
      <c r="BR25" s="344"/>
      <c r="BS25" s="345"/>
      <c r="BT25" s="346"/>
      <c r="BU25" s="345"/>
      <c r="BV25" s="346"/>
      <c r="BW25" s="345"/>
      <c r="BX25" s="346"/>
      <c r="BY25" s="345"/>
      <c r="BZ25" s="346"/>
      <c r="CA25" s="345"/>
      <c r="CB25" s="344"/>
      <c r="CC25" s="345"/>
      <c r="CD25" s="346"/>
      <c r="CE25" s="351">
        <f t="shared" si="0"/>
        <v>-150</v>
      </c>
      <c r="CF25" s="352">
        <f>(D25+F25+H25+J25+L25+P25+R25+T25+V25+X25+AB25+AD25+AF25+AJ25+AL25+AN25+AP25+AR25)/18</f>
        <v>41.06111111111111</v>
      </c>
      <c r="CG25" s="368">
        <f t="shared" si="1"/>
        <v>37162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M21" workbookViewId="0">
      <selection activeCell="U35" sqref="U35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customWidth="1"/>
    <col min="20" max="20" width="7.109375" customWidth="1"/>
    <col min="21" max="21" width="14" customWidth="1"/>
    <col min="25" max="25" width="10" bestFit="1" customWidth="1"/>
    <col min="104" max="104" width="12.5546875" customWidth="1"/>
  </cols>
  <sheetData>
    <row r="1" spans="1:104" ht="27" thickBot="1" x14ac:dyDescent="0.3">
      <c r="A1" s="186" t="s">
        <v>240</v>
      </c>
      <c r="B1" s="186" t="s">
        <v>14</v>
      </c>
      <c r="C1" s="187" t="s">
        <v>15</v>
      </c>
      <c r="D1" s="188" t="s">
        <v>16</v>
      </c>
      <c r="E1" s="189" t="s">
        <v>17</v>
      </c>
      <c r="F1" s="190" t="s">
        <v>18</v>
      </c>
      <c r="G1" s="187" t="s">
        <v>19</v>
      </c>
      <c r="H1" s="188" t="s">
        <v>36</v>
      </c>
      <c r="I1" s="188" t="s">
        <v>20</v>
      </c>
      <c r="J1" s="433" t="s">
        <v>300</v>
      </c>
      <c r="K1" s="191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38"/>
      <c r="S1" s="439"/>
    </row>
    <row r="2" spans="1:104" ht="13.8" thickBot="1" x14ac:dyDescent="0.3">
      <c r="A2" s="77"/>
      <c r="B2" s="77"/>
      <c r="C2" s="184"/>
      <c r="D2" s="32"/>
      <c r="E2" s="78"/>
      <c r="F2" s="175"/>
      <c r="G2" s="177"/>
      <c r="H2" s="153"/>
      <c r="I2" s="176"/>
      <c r="J2" s="176"/>
      <c r="K2" s="178"/>
      <c r="L2" s="18"/>
      <c r="M2" s="19" t="s">
        <v>22</v>
      </c>
      <c r="N2" s="20"/>
      <c r="O2" s="21"/>
      <c r="P2" s="75" t="s">
        <v>33</v>
      </c>
      <c r="Q2" s="22"/>
      <c r="R2" s="440"/>
      <c r="S2" s="438"/>
    </row>
    <row r="3" spans="1:104" ht="13.8" thickBot="1" x14ac:dyDescent="0.3">
      <c r="A3" s="83"/>
      <c r="B3" s="83"/>
      <c r="C3" s="84"/>
      <c r="D3" s="45"/>
      <c r="E3" s="85"/>
      <c r="F3" s="398"/>
      <c r="G3" s="173"/>
      <c r="H3" s="172"/>
      <c r="I3" s="97"/>
      <c r="J3" s="97"/>
      <c r="K3" s="174"/>
      <c r="L3" s="22"/>
      <c r="M3" s="23">
        <v>8</v>
      </c>
      <c r="N3" s="150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6"/>
      <c r="R3" s="436"/>
      <c r="S3" s="436"/>
    </row>
    <row r="4" spans="1:104" ht="13.8" thickBot="1" x14ac:dyDescent="0.3">
      <c r="A4" s="76"/>
      <c r="B4" s="76">
        <v>37163</v>
      </c>
      <c r="C4" s="74">
        <f>'EOL LINKS'!B3</f>
        <v>29.4</v>
      </c>
      <c r="D4" s="68">
        <f>'EOL LINKS'!C3</f>
        <v>29.7</v>
      </c>
      <c r="E4" s="71">
        <f>(C4+D4)/2</f>
        <v>29.549999999999997</v>
      </c>
      <c r="F4" s="398">
        <v>0</v>
      </c>
      <c r="G4" s="73">
        <f>E4-F4</f>
        <v>29.549999999999997</v>
      </c>
      <c r="H4" s="100">
        <f>'EOL LINKS'!I6</f>
        <v>962.68656716417911</v>
      </c>
      <c r="I4" s="97"/>
      <c r="J4" s="97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6"/>
      <c r="R4" s="436"/>
      <c r="S4" s="436"/>
    </row>
    <row r="5" spans="1:104" ht="13.8" thickBot="1" x14ac:dyDescent="0.3">
      <c r="A5" s="218"/>
      <c r="B5" s="218">
        <f>B4+1</f>
        <v>37164</v>
      </c>
      <c r="C5" s="81">
        <f>'EOL LINKS'!B11</f>
        <v>30.25</v>
      </c>
      <c r="D5" s="29">
        <f>'EOL LINKS'!C11</f>
        <v>30.75</v>
      </c>
      <c r="E5" s="80">
        <f>(C5+D5)/2</f>
        <v>30.5</v>
      </c>
      <c r="F5" s="398">
        <v>0</v>
      </c>
      <c r="G5" s="152">
        <f>E5-F5</f>
        <v>30.5</v>
      </c>
      <c r="H5" s="153">
        <f>'EOL LINKS'!I6</f>
        <v>962.68656716417911</v>
      </c>
      <c r="I5" s="97"/>
      <c r="J5" s="79"/>
      <c r="K5" s="154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6"/>
      <c r="R5" s="450" t="s">
        <v>306</v>
      </c>
      <c r="S5" s="451">
        <f>DATE(2001,9,10)</f>
        <v>37144</v>
      </c>
      <c r="U5" s="329"/>
      <c r="V5" s="330">
        <v>1</v>
      </c>
      <c r="W5" s="331"/>
      <c r="X5" s="330">
        <v>2</v>
      </c>
      <c r="Y5" s="331"/>
      <c r="Z5" s="330">
        <v>3</v>
      </c>
      <c r="AA5" s="331"/>
      <c r="AB5" s="330">
        <v>4</v>
      </c>
      <c r="AC5" s="331"/>
      <c r="AD5" s="330">
        <v>5</v>
      </c>
      <c r="AE5" s="331"/>
      <c r="AF5" s="330">
        <v>6</v>
      </c>
      <c r="AG5" s="331"/>
      <c r="AH5" s="330">
        <v>7</v>
      </c>
      <c r="AI5" s="331"/>
      <c r="AJ5" s="330">
        <v>8</v>
      </c>
      <c r="AK5" s="331"/>
      <c r="AL5" s="330">
        <v>9</v>
      </c>
      <c r="AM5" s="331"/>
      <c r="AN5" s="330">
        <v>10</v>
      </c>
      <c r="AO5" s="331"/>
      <c r="AP5" s="330">
        <v>11</v>
      </c>
      <c r="AQ5" s="331"/>
      <c r="AR5" s="330">
        <v>12</v>
      </c>
      <c r="AS5" s="331"/>
      <c r="AT5" s="330">
        <v>13</v>
      </c>
      <c r="AU5" s="331"/>
      <c r="AV5" s="330">
        <v>14</v>
      </c>
      <c r="AW5" s="331"/>
      <c r="AX5" s="330">
        <v>15</v>
      </c>
      <c r="AY5" s="331"/>
      <c r="AZ5" s="330">
        <v>16</v>
      </c>
      <c r="BA5" s="331"/>
      <c r="BB5" s="330">
        <v>17</v>
      </c>
      <c r="BC5" s="331"/>
      <c r="BD5" s="330">
        <v>18</v>
      </c>
      <c r="BE5" s="331"/>
      <c r="BF5" s="330">
        <v>19</v>
      </c>
      <c r="BG5" s="331"/>
      <c r="BH5" s="330">
        <v>20</v>
      </c>
      <c r="BI5" s="331"/>
      <c r="BJ5" s="330">
        <v>21</v>
      </c>
      <c r="BK5" s="331"/>
      <c r="BL5" s="330">
        <v>22</v>
      </c>
      <c r="BM5" s="331"/>
      <c r="BN5" s="330">
        <v>23</v>
      </c>
      <c r="BO5" s="331"/>
      <c r="BP5" s="330">
        <v>24</v>
      </c>
      <c r="BQ5" s="331"/>
      <c r="BR5" s="330">
        <v>25</v>
      </c>
      <c r="BS5" s="331"/>
      <c r="BT5" s="330">
        <v>26</v>
      </c>
      <c r="BU5" s="331"/>
      <c r="BV5" s="330">
        <v>27</v>
      </c>
      <c r="BW5" s="331"/>
      <c r="BX5" s="330">
        <v>28</v>
      </c>
      <c r="BY5" s="331"/>
      <c r="BZ5" s="330">
        <v>29</v>
      </c>
      <c r="CA5" s="331"/>
      <c r="CB5" s="330">
        <v>30</v>
      </c>
      <c r="CC5" s="331"/>
      <c r="CD5" s="330">
        <v>31</v>
      </c>
      <c r="CE5" s="331"/>
      <c r="CF5" s="330">
        <v>32</v>
      </c>
      <c r="CG5" s="331"/>
      <c r="CH5" s="330">
        <v>33</v>
      </c>
      <c r="CI5" s="331"/>
      <c r="CJ5" s="330">
        <v>34</v>
      </c>
      <c r="CK5" s="331"/>
      <c r="CL5" s="330">
        <v>35</v>
      </c>
      <c r="CM5" s="331"/>
      <c r="CN5" s="330">
        <v>36</v>
      </c>
      <c r="CO5" s="331"/>
      <c r="CP5" s="330">
        <v>37</v>
      </c>
      <c r="CQ5" s="331"/>
      <c r="CR5" s="330">
        <v>38</v>
      </c>
      <c r="CS5" s="331"/>
      <c r="CT5" s="330">
        <v>39</v>
      </c>
      <c r="CU5" s="331"/>
      <c r="CV5" s="330">
        <v>40</v>
      </c>
      <c r="CW5" s="331"/>
      <c r="CX5" s="332" t="s">
        <v>252</v>
      </c>
      <c r="CY5" s="333" t="s">
        <v>253</v>
      </c>
    </row>
    <row r="6" spans="1:104" ht="13.8" thickBot="1" x14ac:dyDescent="0.3">
      <c r="A6" s="181"/>
      <c r="B6" s="181"/>
      <c r="C6" s="182"/>
      <c r="D6" s="182"/>
      <c r="E6" s="196"/>
      <c r="F6" s="518">
        <v>0</v>
      </c>
      <c r="G6" s="197"/>
      <c r="H6" s="185"/>
      <c r="I6" s="183"/>
      <c r="J6" s="427"/>
      <c r="K6" s="212">
        <f>SUM(K2:K5)</f>
        <v>0</v>
      </c>
      <c r="L6" s="22"/>
      <c r="M6" s="27">
        <v>11</v>
      </c>
      <c r="N6" s="165">
        <f>'ZONE J DAY AHEAD'!I28</f>
        <v>46.99</v>
      </c>
      <c r="O6" s="165">
        <f>'ZONE J DAY AHEAD'!K13</f>
        <v>0</v>
      </c>
      <c r="P6" s="25">
        <f t="shared" si="0"/>
        <v>-46.99</v>
      </c>
      <c r="Q6" s="86"/>
      <c r="R6" s="444" t="s">
        <v>301</v>
      </c>
      <c r="S6" s="445" t="s">
        <v>302</v>
      </c>
      <c r="U6" s="334" t="s">
        <v>235</v>
      </c>
      <c r="V6" s="335" t="s">
        <v>254</v>
      </c>
      <c r="W6" s="336" t="s">
        <v>255</v>
      </c>
      <c r="X6" s="335" t="s">
        <v>254</v>
      </c>
      <c r="Y6" s="336" t="s">
        <v>255</v>
      </c>
      <c r="Z6" s="335" t="s">
        <v>254</v>
      </c>
      <c r="AA6" s="336" t="s">
        <v>255</v>
      </c>
      <c r="AB6" s="335" t="s">
        <v>254</v>
      </c>
      <c r="AC6" s="336" t="s">
        <v>255</v>
      </c>
      <c r="AD6" s="335" t="s">
        <v>254</v>
      </c>
      <c r="AE6" s="336" t="s">
        <v>255</v>
      </c>
      <c r="AF6" s="335" t="s">
        <v>254</v>
      </c>
      <c r="AG6" s="336" t="s">
        <v>255</v>
      </c>
      <c r="AH6" s="335" t="s">
        <v>254</v>
      </c>
      <c r="AI6" s="336" t="s">
        <v>255</v>
      </c>
      <c r="AJ6" s="335" t="s">
        <v>254</v>
      </c>
      <c r="AK6" s="336" t="s">
        <v>255</v>
      </c>
      <c r="AL6" s="335" t="s">
        <v>254</v>
      </c>
      <c r="AM6" s="336" t="s">
        <v>255</v>
      </c>
      <c r="AN6" s="335" t="s">
        <v>254</v>
      </c>
      <c r="AO6" s="336" t="s">
        <v>255</v>
      </c>
      <c r="AP6" s="335" t="s">
        <v>254</v>
      </c>
      <c r="AQ6" s="336" t="s">
        <v>255</v>
      </c>
      <c r="AR6" s="335" t="s">
        <v>254</v>
      </c>
      <c r="AS6" s="336" t="s">
        <v>255</v>
      </c>
      <c r="AT6" s="337" t="s">
        <v>254</v>
      </c>
      <c r="AU6" s="338" t="s">
        <v>255</v>
      </c>
      <c r="AV6" s="335" t="s">
        <v>254</v>
      </c>
      <c r="AW6" s="336" t="s">
        <v>255</v>
      </c>
      <c r="AX6" s="335" t="s">
        <v>254</v>
      </c>
      <c r="AY6" s="336" t="s">
        <v>255</v>
      </c>
      <c r="AZ6" s="335" t="s">
        <v>254</v>
      </c>
      <c r="BA6" s="336" t="s">
        <v>255</v>
      </c>
      <c r="BB6" s="335" t="s">
        <v>254</v>
      </c>
      <c r="BC6" s="336" t="s">
        <v>255</v>
      </c>
      <c r="BD6" s="335" t="s">
        <v>254</v>
      </c>
      <c r="BE6" s="336" t="s">
        <v>255</v>
      </c>
      <c r="BF6" s="335" t="s">
        <v>254</v>
      </c>
      <c r="BG6" s="336" t="s">
        <v>255</v>
      </c>
      <c r="BH6" s="335" t="s">
        <v>254</v>
      </c>
      <c r="BI6" s="336" t="s">
        <v>255</v>
      </c>
      <c r="BJ6" s="335" t="s">
        <v>254</v>
      </c>
      <c r="BK6" s="336" t="s">
        <v>255</v>
      </c>
      <c r="BL6" s="335" t="s">
        <v>254</v>
      </c>
      <c r="BM6" s="336" t="s">
        <v>255</v>
      </c>
      <c r="BN6" s="335" t="s">
        <v>254</v>
      </c>
      <c r="BO6" s="336" t="s">
        <v>255</v>
      </c>
      <c r="BP6" s="335" t="s">
        <v>254</v>
      </c>
      <c r="BQ6" s="336" t="s">
        <v>255</v>
      </c>
      <c r="BR6" s="335" t="s">
        <v>254</v>
      </c>
      <c r="BS6" s="336" t="s">
        <v>255</v>
      </c>
      <c r="BT6" s="335" t="s">
        <v>254</v>
      </c>
      <c r="BU6" s="336" t="s">
        <v>255</v>
      </c>
      <c r="BV6" s="335" t="s">
        <v>254</v>
      </c>
      <c r="BW6" s="336" t="s">
        <v>255</v>
      </c>
      <c r="BX6" s="335" t="s">
        <v>254</v>
      </c>
      <c r="BY6" s="336" t="s">
        <v>255</v>
      </c>
      <c r="BZ6" s="335" t="s">
        <v>254</v>
      </c>
      <c r="CA6" s="336" t="s">
        <v>255</v>
      </c>
      <c r="CB6" s="335" t="s">
        <v>254</v>
      </c>
      <c r="CC6" s="336" t="s">
        <v>255</v>
      </c>
      <c r="CD6" s="335" t="s">
        <v>254</v>
      </c>
      <c r="CE6" s="336" t="s">
        <v>255</v>
      </c>
      <c r="CF6" s="335" t="s">
        <v>254</v>
      </c>
      <c r="CG6" s="336" t="s">
        <v>255</v>
      </c>
      <c r="CH6" s="335" t="s">
        <v>254</v>
      </c>
      <c r="CI6" s="336" t="s">
        <v>255</v>
      </c>
      <c r="CJ6" s="335" t="s">
        <v>254</v>
      </c>
      <c r="CK6" s="336" t="s">
        <v>255</v>
      </c>
      <c r="CL6" s="335" t="s">
        <v>254</v>
      </c>
      <c r="CM6" s="336" t="s">
        <v>255</v>
      </c>
      <c r="CN6" s="335" t="s">
        <v>254</v>
      </c>
      <c r="CO6" s="336" t="s">
        <v>255</v>
      </c>
      <c r="CP6" s="335" t="s">
        <v>254</v>
      </c>
      <c r="CQ6" s="336" t="s">
        <v>255</v>
      </c>
      <c r="CR6" s="335" t="s">
        <v>254</v>
      </c>
      <c r="CS6" s="336" t="s">
        <v>255</v>
      </c>
      <c r="CT6" s="335" t="s">
        <v>254</v>
      </c>
      <c r="CU6" s="336" t="s">
        <v>255</v>
      </c>
      <c r="CV6" s="335" t="s">
        <v>254</v>
      </c>
      <c r="CW6" s="336" t="s">
        <v>255</v>
      </c>
      <c r="CX6" s="339" t="s">
        <v>254</v>
      </c>
      <c r="CY6" s="340" t="s">
        <v>255</v>
      </c>
      <c r="CZ6" s="334" t="s">
        <v>235</v>
      </c>
    </row>
    <row r="7" spans="1:104" ht="16.2" thickBot="1" x14ac:dyDescent="0.35">
      <c r="A7" s="395" t="s">
        <v>241</v>
      </c>
      <c r="B7" s="395">
        <f>B5+1</f>
        <v>37165</v>
      </c>
      <c r="C7" s="400">
        <f>'EOL LINKS'!B13</f>
        <v>37.75</v>
      </c>
      <c r="D7" s="396">
        <f>'EOL LINKS'!C13</f>
        <v>38.75</v>
      </c>
      <c r="E7" s="397">
        <f t="shared" ref="E7:E26" si="1">(C7+D7)/2</f>
        <v>38.25</v>
      </c>
      <c r="F7" s="398">
        <v>0</v>
      </c>
      <c r="G7" s="413">
        <f t="shared" ref="G7:G26" si="2">E7-F7</f>
        <v>38.25</v>
      </c>
      <c r="H7" s="402">
        <f>'EOL LINKS'!I7</f>
        <v>1091.3705583756346</v>
      </c>
      <c r="I7" s="403"/>
      <c r="J7" s="428"/>
      <c r="K7" s="404">
        <f t="shared" ref="K7:K27" si="3">(I7*16)*G7</f>
        <v>0</v>
      </c>
      <c r="L7" s="22"/>
      <c r="M7" s="27">
        <v>12</v>
      </c>
      <c r="N7" s="165">
        <f>'ZONE J DAY AHEAD'!I29</f>
        <v>48.47</v>
      </c>
      <c r="O7" s="165">
        <f>'ZONE J DAY AHEAD'!L13</f>
        <v>0</v>
      </c>
      <c r="P7" s="25">
        <f t="shared" si="0"/>
        <v>-48.47</v>
      </c>
      <c r="Q7" s="86"/>
      <c r="R7" s="485"/>
      <c r="S7" s="486"/>
      <c r="U7" s="341"/>
      <c r="V7" s="342"/>
      <c r="W7" s="367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345"/>
      <c r="AO7" s="346"/>
      <c r="AP7" s="345"/>
      <c r="AQ7" s="346"/>
      <c r="AR7" s="345"/>
      <c r="AS7" s="364"/>
      <c r="AT7" s="365"/>
      <c r="AU7" s="366"/>
      <c r="AV7" s="357"/>
      <c r="AW7" s="350"/>
      <c r="AX7" s="349"/>
      <c r="AY7" s="350"/>
      <c r="AZ7" s="349"/>
      <c r="BA7" s="350"/>
      <c r="BB7" s="349"/>
      <c r="BC7" s="350"/>
      <c r="BD7" s="349"/>
      <c r="BE7" s="350"/>
      <c r="BF7" s="349"/>
      <c r="BG7" s="350"/>
      <c r="BH7" s="349"/>
      <c r="BI7" s="350"/>
      <c r="BJ7" s="349"/>
      <c r="BK7" s="350"/>
      <c r="BL7" s="349"/>
      <c r="BM7" s="350"/>
      <c r="BN7" s="349"/>
      <c r="BO7" s="350"/>
      <c r="BP7" s="349"/>
      <c r="BQ7" s="350"/>
      <c r="BR7" s="349"/>
      <c r="BS7" s="350"/>
      <c r="BT7" s="349"/>
      <c r="BU7" s="350"/>
      <c r="BV7" s="349"/>
      <c r="BW7" s="350"/>
      <c r="BX7" s="349"/>
      <c r="BY7" s="350"/>
      <c r="BZ7" s="349"/>
      <c r="CA7" s="350"/>
      <c r="CB7" s="349"/>
      <c r="CC7" s="350"/>
      <c r="CD7" s="349"/>
      <c r="CE7" s="350"/>
      <c r="CF7" s="349"/>
      <c r="CG7" s="350"/>
      <c r="CH7" s="349"/>
      <c r="CI7" s="350"/>
      <c r="CJ7" s="349"/>
      <c r="CK7" s="350"/>
      <c r="CL7" s="349"/>
      <c r="CM7" s="350"/>
      <c r="CN7" s="349"/>
      <c r="CO7" s="350"/>
      <c r="CP7" s="349"/>
      <c r="CQ7" s="350"/>
      <c r="CR7" s="349"/>
      <c r="CS7" s="350"/>
      <c r="CT7" s="349"/>
      <c r="CU7" s="350"/>
      <c r="CV7" s="349"/>
      <c r="CW7" s="350"/>
      <c r="CX7" s="351">
        <f t="shared" ref="CX7:CX28" si="4">V7+X7+Z7+AB7+AD7+AF7+AH7+AJ7+AL7+AN7+AP7+AR7+AT7+AV7+AX7+AZ7+BB7+BD7+BF7+BH7+BJ7+BL7+BN7+BP7+BR7+BT7+BV7+BX7+BZ7+CB7+CD7+CF7+CH7+CJ7+CL7+CN7+CP7+CR7+CT7+CV7</f>
        <v>0</v>
      </c>
      <c r="CY7" s="352">
        <f>IF(AND(CX7=0,DB7=0),0,(DE7+DF7)/DB7)</f>
        <v>0</v>
      </c>
      <c r="CZ7" s="368">
        <f t="shared" ref="CZ7:CZ28" si="5">U7</f>
        <v>0</v>
      </c>
    </row>
    <row r="8" spans="1:104" ht="16.2" thickBot="1" x14ac:dyDescent="0.35">
      <c r="A8" s="199" t="s">
        <v>242</v>
      </c>
      <c r="B8" s="199">
        <f>B7+1</f>
        <v>37166</v>
      </c>
      <c r="C8" s="82">
        <f>'EOL LINKS'!B12</f>
        <v>34.5</v>
      </c>
      <c r="D8" s="82">
        <f>'EOL LINKS'!C12</f>
        <v>35.5</v>
      </c>
      <c r="E8" s="170">
        <f t="shared" si="1"/>
        <v>35</v>
      </c>
      <c r="F8" s="398">
        <v>0</v>
      </c>
      <c r="G8" s="201">
        <f t="shared" si="2"/>
        <v>35</v>
      </c>
      <c r="H8" s="172">
        <f>'EOL LINKS'!I5</f>
        <v>1184.4331641285958</v>
      </c>
      <c r="I8" s="79"/>
      <c r="J8" s="79"/>
      <c r="K8" s="203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6"/>
      <c r="R8" s="452">
        <f>'Zone J'!CE5</f>
        <v>0</v>
      </c>
      <c r="S8" s="482">
        <f>'Zone J'!CF5</f>
        <v>0</v>
      </c>
      <c r="U8" s="341"/>
      <c r="V8" s="345"/>
      <c r="W8" s="346"/>
      <c r="X8" s="347"/>
      <c r="Y8" s="361"/>
      <c r="Z8" s="345"/>
      <c r="AA8" s="346"/>
      <c r="AB8" s="345"/>
      <c r="AC8" s="346"/>
      <c r="AD8" s="345"/>
      <c r="AE8" s="359"/>
      <c r="AF8" s="345"/>
      <c r="AG8" s="344"/>
      <c r="AH8" s="345"/>
      <c r="AI8" s="346"/>
      <c r="AJ8" s="345"/>
      <c r="AK8" s="346"/>
      <c r="AL8" s="354"/>
      <c r="AM8" s="344"/>
      <c r="AN8" s="354"/>
      <c r="AO8" s="358"/>
      <c r="AP8" s="354"/>
      <c r="AQ8" s="358"/>
      <c r="AR8" s="345"/>
      <c r="AS8" s="364"/>
      <c r="AT8" s="355"/>
      <c r="AU8" s="356"/>
      <c r="AV8" s="357"/>
      <c r="AW8" s="350"/>
      <c r="AX8" s="349"/>
      <c r="AY8" s="350"/>
      <c r="AZ8" s="349"/>
      <c r="BA8" s="350"/>
      <c r="BB8" s="349"/>
      <c r="BC8" s="350"/>
      <c r="BD8" s="349"/>
      <c r="BE8" s="350"/>
      <c r="BF8" s="349"/>
      <c r="BG8" s="350"/>
      <c r="BH8" s="349"/>
      <c r="BI8" s="350"/>
      <c r="BJ8" s="349"/>
      <c r="BK8" s="350"/>
      <c r="BL8" s="349"/>
      <c r="BM8" s="350"/>
      <c r="BN8" s="349"/>
      <c r="BO8" s="350"/>
      <c r="BP8" s="349"/>
      <c r="BQ8" s="350"/>
      <c r="BR8" s="349"/>
      <c r="BS8" s="350"/>
      <c r="BT8" s="349"/>
      <c r="BU8" s="350"/>
      <c r="BV8" s="349"/>
      <c r="BW8" s="350"/>
      <c r="BX8" s="349"/>
      <c r="BY8" s="350"/>
      <c r="BZ8" s="349"/>
      <c r="CA8" s="350"/>
      <c r="CB8" s="349"/>
      <c r="CC8" s="350"/>
      <c r="CD8" s="349"/>
      <c r="CE8" s="350"/>
      <c r="CF8" s="349"/>
      <c r="CG8" s="350"/>
      <c r="CH8" s="349"/>
      <c r="CI8" s="350"/>
      <c r="CJ8" s="349"/>
      <c r="CK8" s="350"/>
      <c r="CL8" s="349"/>
      <c r="CM8" s="350"/>
      <c r="CN8" s="349"/>
      <c r="CO8" s="350"/>
      <c r="CP8" s="349"/>
      <c r="CQ8" s="350"/>
      <c r="CR8" s="349"/>
      <c r="CS8" s="350"/>
      <c r="CT8" s="349"/>
      <c r="CU8" s="350"/>
      <c r="CV8" s="349"/>
      <c r="CW8" s="350"/>
      <c r="CX8" s="351">
        <f t="shared" si="4"/>
        <v>0</v>
      </c>
      <c r="CY8" s="352">
        <f>IF(AND(CX8=0,DB8=0),0,(DE8+DF8)/DB8)</f>
        <v>0</v>
      </c>
      <c r="CZ8" s="368">
        <f t="shared" si="5"/>
        <v>0</v>
      </c>
    </row>
    <row r="9" spans="1:104" ht="16.2" thickBot="1" x14ac:dyDescent="0.35">
      <c r="A9" s="199" t="s">
        <v>243</v>
      </c>
      <c r="B9" s="199">
        <f>B8+1</f>
        <v>37167</v>
      </c>
      <c r="C9" s="61">
        <f>'EOL LINKS'!B12</f>
        <v>34.5</v>
      </c>
      <c r="D9" s="61">
        <f>'EOL LINKS'!C12</f>
        <v>35.5</v>
      </c>
      <c r="E9" s="70">
        <f t="shared" si="1"/>
        <v>35</v>
      </c>
      <c r="F9" s="398">
        <v>0</v>
      </c>
      <c r="G9" s="72">
        <f t="shared" si="2"/>
        <v>35</v>
      </c>
      <c r="H9" s="100">
        <f>H8</f>
        <v>1184.4331641285958</v>
      </c>
      <c r="I9" s="69">
        <f t="shared" ref="I9:J12" si="6">CX11</f>
        <v>100</v>
      </c>
      <c r="J9" s="432">
        <f t="shared" si="6"/>
        <v>6.09375</v>
      </c>
      <c r="K9" s="33">
        <f t="shared" si="3"/>
        <v>56000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6"/>
      <c r="R9" s="452">
        <f>'Zone J'!CE6</f>
        <v>0</v>
      </c>
      <c r="S9" s="482">
        <f>'Zone J'!CF6</f>
        <v>0</v>
      </c>
      <c r="U9" s="368">
        <f t="shared" ref="U9:U31" si="7">B7</f>
        <v>37165</v>
      </c>
      <c r="V9" s="345">
        <v>50</v>
      </c>
      <c r="W9" s="346">
        <v>24.5</v>
      </c>
      <c r="X9" s="345">
        <v>50</v>
      </c>
      <c r="Y9" s="346">
        <v>24.25</v>
      </c>
      <c r="Z9" s="345"/>
      <c r="AA9" s="344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54"/>
      <c r="AM9" s="358"/>
      <c r="AN9" s="354"/>
      <c r="AO9" s="358"/>
      <c r="AP9" s="354"/>
      <c r="AQ9" s="358"/>
      <c r="AR9" s="345"/>
      <c r="AS9" s="364"/>
      <c r="AT9" s="355"/>
      <c r="AU9" s="356"/>
      <c r="AV9" s="357"/>
      <c r="AW9" s="350"/>
      <c r="AX9" s="349"/>
      <c r="AY9" s="350"/>
      <c r="AZ9" s="349"/>
      <c r="BA9" s="350"/>
      <c r="BB9" s="349"/>
      <c r="BC9" s="350"/>
      <c r="BD9" s="349"/>
      <c r="BE9" s="350"/>
      <c r="BF9" s="349"/>
      <c r="BG9" s="350"/>
      <c r="BH9" s="349"/>
      <c r="BI9" s="350"/>
      <c r="BJ9" s="349"/>
      <c r="BK9" s="350"/>
      <c r="BL9" s="349"/>
      <c r="BM9" s="350"/>
      <c r="BN9" s="349"/>
      <c r="BO9" s="350"/>
      <c r="BP9" s="349"/>
      <c r="BQ9" s="350"/>
      <c r="BR9" s="349"/>
      <c r="BS9" s="350"/>
      <c r="BT9" s="349"/>
      <c r="BU9" s="350"/>
      <c r="BV9" s="349"/>
      <c r="BW9" s="350"/>
      <c r="BX9" s="349"/>
      <c r="BY9" s="350"/>
      <c r="BZ9" s="349"/>
      <c r="CA9" s="350"/>
      <c r="CB9" s="349"/>
      <c r="CC9" s="350"/>
      <c r="CD9" s="349"/>
      <c r="CE9" s="350"/>
      <c r="CF9" s="349"/>
      <c r="CG9" s="350"/>
      <c r="CH9" s="349"/>
      <c r="CI9" s="350"/>
      <c r="CJ9" s="349"/>
      <c r="CK9" s="350"/>
      <c r="CL9" s="349"/>
      <c r="CM9" s="350"/>
      <c r="CN9" s="349"/>
      <c r="CO9" s="350"/>
      <c r="CP9" s="349"/>
      <c r="CQ9" s="350"/>
      <c r="CR9" s="349"/>
      <c r="CS9" s="350"/>
      <c r="CT9" s="349"/>
      <c r="CU9" s="350"/>
      <c r="CV9" s="349"/>
      <c r="CW9" s="350"/>
      <c r="CX9" s="351">
        <f t="shared" si="4"/>
        <v>100</v>
      </c>
      <c r="CY9" s="352" t="e">
        <f>IF(AND(CX9=0,DB9=0),0,(DE9+DF9)/DB9)</f>
        <v>#DIV/0!</v>
      </c>
      <c r="CZ9" s="368">
        <f t="shared" si="5"/>
        <v>37165</v>
      </c>
    </row>
    <row r="10" spans="1:104" ht="16.2" thickBot="1" x14ac:dyDescent="0.35">
      <c r="A10" s="199" t="s">
        <v>244</v>
      </c>
      <c r="B10" s="199">
        <f>B9+1</f>
        <v>37168</v>
      </c>
      <c r="C10" s="61">
        <f>'EOL LINKS'!B12</f>
        <v>34.5</v>
      </c>
      <c r="D10" s="61">
        <f>'EOL LINKS'!C12</f>
        <v>35.5</v>
      </c>
      <c r="E10" s="70">
        <f t="shared" si="1"/>
        <v>35</v>
      </c>
      <c r="F10" s="398">
        <v>0</v>
      </c>
      <c r="G10" s="72">
        <f t="shared" si="2"/>
        <v>35</v>
      </c>
      <c r="H10" s="100">
        <f>H9</f>
        <v>1184.4331641285958</v>
      </c>
      <c r="I10" s="69">
        <f t="shared" si="6"/>
        <v>100</v>
      </c>
      <c r="J10" s="432">
        <f t="shared" si="6"/>
        <v>4.0625</v>
      </c>
      <c r="K10" s="33">
        <f t="shared" si="3"/>
        <v>56000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6"/>
      <c r="R10" s="452">
        <f>'Zone J'!CE7</f>
        <v>0</v>
      </c>
      <c r="S10" s="482">
        <f>'Zone J'!CF7</f>
        <v>0</v>
      </c>
      <c r="U10" s="368">
        <f t="shared" si="7"/>
        <v>37166</v>
      </c>
      <c r="V10" s="342">
        <v>50</v>
      </c>
      <c r="W10" s="367">
        <v>24.5</v>
      </c>
      <c r="X10" s="345">
        <v>50</v>
      </c>
      <c r="Y10" s="346">
        <v>24.25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345"/>
      <c r="AO10" s="346"/>
      <c r="AP10" s="345"/>
      <c r="AQ10" s="346"/>
      <c r="AR10" s="345"/>
      <c r="AS10" s="364"/>
      <c r="AT10" s="355"/>
      <c r="AU10" s="356"/>
      <c r="AV10" s="357"/>
      <c r="AW10" s="350"/>
      <c r="AX10" s="349"/>
      <c r="AY10" s="350"/>
      <c r="AZ10" s="349"/>
      <c r="BA10" s="350"/>
      <c r="BB10" s="349"/>
      <c r="BC10" s="350"/>
      <c r="BD10" s="349"/>
      <c r="BE10" s="350"/>
      <c r="BF10" s="349"/>
      <c r="BG10" s="350"/>
      <c r="BH10" s="349"/>
      <c r="BI10" s="350"/>
      <c r="BJ10" s="349"/>
      <c r="BK10" s="350"/>
      <c r="BL10" s="349"/>
      <c r="BM10" s="350"/>
      <c r="BN10" s="349"/>
      <c r="BO10" s="350"/>
      <c r="BP10" s="349"/>
      <c r="BQ10" s="350"/>
      <c r="BR10" s="349"/>
      <c r="BS10" s="350"/>
      <c r="BT10" s="349"/>
      <c r="BU10" s="350"/>
      <c r="BV10" s="349"/>
      <c r="BW10" s="350"/>
      <c r="BX10" s="349"/>
      <c r="BY10" s="350"/>
      <c r="BZ10" s="349"/>
      <c r="CA10" s="350"/>
      <c r="CB10" s="349"/>
      <c r="CC10" s="350"/>
      <c r="CD10" s="349"/>
      <c r="CE10" s="350"/>
      <c r="CF10" s="349"/>
      <c r="CG10" s="350"/>
      <c r="CH10" s="349"/>
      <c r="CI10" s="350"/>
      <c r="CJ10" s="349"/>
      <c r="CK10" s="350"/>
      <c r="CL10" s="349"/>
      <c r="CM10" s="350"/>
      <c r="CN10" s="349"/>
      <c r="CO10" s="350"/>
      <c r="CP10" s="349"/>
      <c r="CQ10" s="350"/>
      <c r="CR10" s="349"/>
      <c r="CS10" s="350"/>
      <c r="CT10" s="349"/>
      <c r="CU10" s="350"/>
      <c r="CV10" s="349"/>
      <c r="CW10" s="350"/>
      <c r="CX10" s="351">
        <f t="shared" si="4"/>
        <v>100</v>
      </c>
      <c r="CY10" s="352" t="e">
        <f>IF(AND(CX10=0,DB10=0),0,(DE10+DF10)/DB10)</f>
        <v>#DIV/0!</v>
      </c>
      <c r="CZ10" s="368">
        <f t="shared" si="5"/>
        <v>37166</v>
      </c>
    </row>
    <row r="11" spans="1:104" ht="16.2" thickBot="1" x14ac:dyDescent="0.35">
      <c r="A11" s="379" t="s">
        <v>245</v>
      </c>
      <c r="B11" s="379">
        <f>B10+1</f>
        <v>37169</v>
      </c>
      <c r="C11" s="32">
        <f>'EOL LINKS'!B8</f>
        <v>38.5</v>
      </c>
      <c r="D11" s="32">
        <f>'EOL LINKS'!C8</f>
        <v>39</v>
      </c>
      <c r="E11" s="78">
        <f t="shared" si="1"/>
        <v>38.75</v>
      </c>
      <c r="F11" s="398">
        <v>0</v>
      </c>
      <c r="G11" s="177">
        <f t="shared" si="2"/>
        <v>38.75</v>
      </c>
      <c r="H11" s="153">
        <f>H10</f>
        <v>1184.4331641285958</v>
      </c>
      <c r="I11" s="376">
        <f t="shared" si="6"/>
        <v>100</v>
      </c>
      <c r="J11" s="435">
        <f t="shared" si="6"/>
        <v>9.75</v>
      </c>
      <c r="K11" s="178">
        <f t="shared" si="3"/>
        <v>62000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6"/>
      <c r="R11" s="452">
        <f>'Zone J'!CE8</f>
        <v>0</v>
      </c>
      <c r="S11" s="482">
        <f>'Zone J'!CF8</f>
        <v>0</v>
      </c>
      <c r="U11" s="368">
        <f t="shared" si="7"/>
        <v>37167</v>
      </c>
      <c r="V11" s="345">
        <v>50</v>
      </c>
      <c r="W11" s="346">
        <v>24.5</v>
      </c>
      <c r="X11" s="345">
        <v>50</v>
      </c>
      <c r="Y11" s="346">
        <v>24.25</v>
      </c>
      <c r="Z11" s="345"/>
      <c r="AA11" s="346"/>
      <c r="AB11" s="345"/>
      <c r="AC11" s="346"/>
      <c r="AD11" s="345"/>
      <c r="AE11" s="346"/>
      <c r="AF11" s="345"/>
      <c r="AG11" s="344"/>
      <c r="AH11" s="345"/>
      <c r="AI11" s="346"/>
      <c r="AJ11" s="345"/>
      <c r="AK11" s="346"/>
      <c r="AL11" s="345"/>
      <c r="AM11" s="346"/>
      <c r="AN11" s="345"/>
      <c r="AO11" s="346"/>
      <c r="AP11" s="345"/>
      <c r="AQ11" s="346"/>
      <c r="AR11" s="345"/>
      <c r="AS11" s="346"/>
      <c r="AT11" s="355"/>
      <c r="AU11" s="356"/>
      <c r="AV11" s="357"/>
      <c r="AW11" s="350"/>
      <c r="AX11" s="349"/>
      <c r="AY11" s="350"/>
      <c r="AZ11" s="349"/>
      <c r="BA11" s="350"/>
      <c r="BB11" s="349"/>
      <c r="BC11" s="350"/>
      <c r="BD11" s="349"/>
      <c r="BE11" s="350"/>
      <c r="BF11" s="349"/>
      <c r="BG11" s="350"/>
      <c r="BH11" s="349"/>
      <c r="BI11" s="350"/>
      <c r="BJ11" s="349"/>
      <c r="BK11" s="350"/>
      <c r="BL11" s="349"/>
      <c r="BM11" s="350"/>
      <c r="BN11" s="349"/>
      <c r="BO11" s="350"/>
      <c r="BP11" s="349"/>
      <c r="BQ11" s="350"/>
      <c r="BR11" s="349"/>
      <c r="BS11" s="350"/>
      <c r="BT11" s="349"/>
      <c r="BU11" s="350"/>
      <c r="BV11" s="349"/>
      <c r="BW11" s="350"/>
      <c r="BX11" s="349"/>
      <c r="BY11" s="350"/>
      <c r="BZ11" s="349"/>
      <c r="CA11" s="350"/>
      <c r="CB11" s="349"/>
      <c r="CC11" s="350"/>
      <c r="CD11" s="349"/>
      <c r="CE11" s="350"/>
      <c r="CF11" s="349"/>
      <c r="CG11" s="350"/>
      <c r="CH11" s="349"/>
      <c r="CI11" s="350"/>
      <c r="CJ11" s="349"/>
      <c r="CK11" s="350"/>
      <c r="CL11" s="349"/>
      <c r="CM11" s="350"/>
      <c r="CN11" s="349"/>
      <c r="CO11" s="350"/>
      <c r="CP11" s="349"/>
      <c r="CQ11" s="350"/>
      <c r="CR11" s="349"/>
      <c r="CS11" s="350"/>
      <c r="CT11" s="349"/>
      <c r="CU11" s="350"/>
      <c r="CV11" s="349"/>
      <c r="CW11" s="350"/>
      <c r="CX11" s="351">
        <f t="shared" si="4"/>
        <v>100</v>
      </c>
      <c r="CY11" s="352">
        <f>(W11+Y11+AA11+AC11+AE11+AG11+AI11+AK11)/8</f>
        <v>6.09375</v>
      </c>
      <c r="CZ11" s="368">
        <f t="shared" si="5"/>
        <v>37167</v>
      </c>
    </row>
    <row r="12" spans="1:104" ht="16.2" thickBot="1" x14ac:dyDescent="0.35">
      <c r="A12" s="405" t="s">
        <v>241</v>
      </c>
      <c r="B12" s="405">
        <f>B11+3</f>
        <v>37172</v>
      </c>
      <c r="C12" s="386">
        <f>'EOL LINKS'!B8</f>
        <v>38.5</v>
      </c>
      <c r="D12" s="386">
        <f>'EOL LINKS'!C8</f>
        <v>39</v>
      </c>
      <c r="E12" s="387">
        <f t="shared" si="1"/>
        <v>38.75</v>
      </c>
      <c r="F12" s="398">
        <v>0</v>
      </c>
      <c r="G12" s="406">
        <f t="shared" si="2"/>
        <v>38.75</v>
      </c>
      <c r="H12" s="390">
        <f>H11</f>
        <v>1184.4331641285958</v>
      </c>
      <c r="I12" s="412">
        <f t="shared" si="6"/>
        <v>100</v>
      </c>
      <c r="J12" s="434">
        <f t="shared" si="6"/>
        <v>4.4318181818181817</v>
      </c>
      <c r="K12" s="419">
        <f t="shared" si="3"/>
        <v>62000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7"/>
      <c r="R12" s="452">
        <f>'Zone J'!CE9</f>
        <v>0</v>
      </c>
      <c r="S12" s="482">
        <f>'Zone J'!CF9</f>
        <v>0</v>
      </c>
      <c r="U12" s="368">
        <f t="shared" si="7"/>
        <v>37168</v>
      </c>
      <c r="V12" s="342">
        <v>50</v>
      </c>
      <c r="W12" s="367">
        <v>24.5</v>
      </c>
      <c r="X12" s="345">
        <v>50</v>
      </c>
      <c r="Y12" s="346">
        <v>24.25</v>
      </c>
      <c r="Z12" s="345"/>
      <c r="AA12" s="346"/>
      <c r="AB12" s="345"/>
      <c r="AC12" s="359"/>
      <c r="AD12" s="345"/>
      <c r="AE12" s="346"/>
      <c r="AF12" s="345"/>
      <c r="AG12" s="344"/>
      <c r="AH12" s="345"/>
      <c r="AI12" s="346"/>
      <c r="AJ12" s="345"/>
      <c r="AK12" s="346"/>
      <c r="AL12" s="345"/>
      <c r="AM12" s="346"/>
      <c r="AN12" s="345"/>
      <c r="AO12" s="346"/>
      <c r="AP12" s="345"/>
      <c r="AQ12" s="346"/>
      <c r="AR12" s="345"/>
      <c r="AS12" s="346"/>
      <c r="AT12" s="355"/>
      <c r="AU12" s="356"/>
      <c r="AV12" s="357"/>
      <c r="AW12" s="350"/>
      <c r="AX12" s="349"/>
      <c r="AY12" s="350"/>
      <c r="AZ12" s="349"/>
      <c r="BA12" s="350"/>
      <c r="BB12" s="349"/>
      <c r="BC12" s="350"/>
      <c r="BD12" s="349"/>
      <c r="BE12" s="350"/>
      <c r="BF12" s="349"/>
      <c r="BG12" s="350"/>
      <c r="BH12" s="349"/>
      <c r="BI12" s="350"/>
      <c r="BJ12" s="349"/>
      <c r="BK12" s="350"/>
      <c r="BL12" s="349"/>
      <c r="BM12" s="350"/>
      <c r="BN12" s="349"/>
      <c r="BO12" s="350"/>
      <c r="BP12" s="349"/>
      <c r="BQ12" s="350"/>
      <c r="BR12" s="349"/>
      <c r="BS12" s="350"/>
      <c r="BT12" s="349"/>
      <c r="BU12" s="350"/>
      <c r="BV12" s="349"/>
      <c r="BW12" s="350"/>
      <c r="BX12" s="349"/>
      <c r="BY12" s="350"/>
      <c r="BZ12" s="349"/>
      <c r="CA12" s="350"/>
      <c r="CB12" s="349"/>
      <c r="CC12" s="350"/>
      <c r="CD12" s="349"/>
      <c r="CE12" s="350"/>
      <c r="CF12" s="349"/>
      <c r="CG12" s="350"/>
      <c r="CH12" s="349"/>
      <c r="CI12" s="350"/>
      <c r="CJ12" s="349"/>
      <c r="CK12" s="350"/>
      <c r="CL12" s="349"/>
      <c r="CM12" s="350"/>
      <c r="CN12" s="349"/>
      <c r="CO12" s="350"/>
      <c r="CP12" s="349"/>
      <c r="CQ12" s="350"/>
      <c r="CR12" s="349"/>
      <c r="CS12" s="350"/>
      <c r="CT12" s="349"/>
      <c r="CU12" s="350"/>
      <c r="CV12" s="349"/>
      <c r="CW12" s="350"/>
      <c r="CX12" s="351">
        <f t="shared" si="4"/>
        <v>100</v>
      </c>
      <c r="CY12" s="352">
        <f>(W12+Y12+AA12+AC12+AE12+AG12+AI12+AK12+AM12+AO12+AQ12+AS12)/12</f>
        <v>4.0625</v>
      </c>
      <c r="CZ12" s="368">
        <f t="shared" si="5"/>
        <v>37168</v>
      </c>
    </row>
    <row r="13" spans="1:104" ht="16.2" thickBot="1" x14ac:dyDescent="0.35">
      <c r="A13" s="322" t="s">
        <v>242</v>
      </c>
      <c r="B13" s="322">
        <f>B12+1</f>
        <v>37173</v>
      </c>
      <c r="C13" s="375">
        <f>'EOL LINKS'!B8</f>
        <v>38.5</v>
      </c>
      <c r="D13" s="375">
        <f>'EOL LINKS'!C8</f>
        <v>39</v>
      </c>
      <c r="E13" s="372">
        <f t="shared" si="1"/>
        <v>38.75</v>
      </c>
      <c r="F13" s="398">
        <v>0</v>
      </c>
      <c r="G13" s="407">
        <f t="shared" si="2"/>
        <v>38.75</v>
      </c>
      <c r="H13" s="202">
        <f>'EOL LINKS'!I4</f>
        <v>1260.5752961082912</v>
      </c>
      <c r="I13" s="377">
        <f t="shared" ref="I13:I26" si="8">R15</f>
        <v>0</v>
      </c>
      <c r="J13" s="432">
        <f t="shared" ref="J13:J26" si="9">S15</f>
        <v>0</v>
      </c>
      <c r="K13" s="420">
        <f t="shared" si="3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7"/>
      <c r="R13" s="452">
        <f>'Zone J'!CE10</f>
        <v>0</v>
      </c>
      <c r="S13" s="482">
        <f>'Zone J'!CF10</f>
        <v>0</v>
      </c>
      <c r="U13" s="368">
        <f t="shared" si="7"/>
        <v>37169</v>
      </c>
      <c r="V13" s="345">
        <v>50</v>
      </c>
      <c r="W13" s="346">
        <v>24.5</v>
      </c>
      <c r="X13" s="345">
        <v>50</v>
      </c>
      <c r="Y13" s="346">
        <v>24.25</v>
      </c>
      <c r="Z13" s="345"/>
      <c r="AA13" s="346"/>
      <c r="AB13" s="345"/>
      <c r="AC13" s="346"/>
      <c r="AD13" s="345"/>
      <c r="AE13" s="346"/>
      <c r="AF13" s="345"/>
      <c r="AG13" s="344"/>
      <c r="AH13" s="345"/>
      <c r="AI13" s="346"/>
      <c r="AJ13" s="345"/>
      <c r="AK13" s="346"/>
      <c r="AL13" s="345"/>
      <c r="AM13" s="346"/>
      <c r="AN13" s="345"/>
      <c r="AO13" s="346"/>
      <c r="AP13" s="345"/>
      <c r="AQ13" s="346"/>
      <c r="AR13" s="345"/>
      <c r="AS13" s="346"/>
      <c r="AT13" s="355"/>
      <c r="AU13" s="356"/>
      <c r="AV13" s="357"/>
      <c r="AW13" s="350"/>
      <c r="AX13" s="349"/>
      <c r="AY13" s="350"/>
      <c r="AZ13" s="349"/>
      <c r="BA13" s="350"/>
      <c r="BB13" s="349"/>
      <c r="BC13" s="350"/>
      <c r="BD13" s="349"/>
      <c r="BE13" s="350"/>
      <c r="BF13" s="349"/>
      <c r="BG13" s="350"/>
      <c r="BH13" s="349"/>
      <c r="BI13" s="350"/>
      <c r="BJ13" s="349"/>
      <c r="BK13" s="350"/>
      <c r="BL13" s="349"/>
      <c r="BM13" s="350"/>
      <c r="BN13" s="349"/>
      <c r="BO13" s="350"/>
      <c r="BP13" s="349"/>
      <c r="BQ13" s="350"/>
      <c r="BR13" s="349"/>
      <c r="BS13" s="350"/>
      <c r="BT13" s="349"/>
      <c r="BU13" s="350"/>
      <c r="BV13" s="349"/>
      <c r="BW13" s="350"/>
      <c r="BX13" s="349"/>
      <c r="BY13" s="350"/>
      <c r="BZ13" s="349"/>
      <c r="CA13" s="350"/>
      <c r="CB13" s="349"/>
      <c r="CC13" s="350"/>
      <c r="CD13" s="349"/>
      <c r="CE13" s="350"/>
      <c r="CF13" s="349"/>
      <c r="CG13" s="350"/>
      <c r="CH13" s="349"/>
      <c r="CI13" s="350"/>
      <c r="CJ13" s="349"/>
      <c r="CK13" s="350"/>
      <c r="CL13" s="349"/>
      <c r="CM13" s="350"/>
      <c r="CN13" s="349"/>
      <c r="CO13" s="350"/>
      <c r="CP13" s="349"/>
      <c r="CQ13" s="350"/>
      <c r="CR13" s="349"/>
      <c r="CS13" s="350"/>
      <c r="CT13" s="349"/>
      <c r="CU13" s="350"/>
      <c r="CV13" s="349"/>
      <c r="CW13" s="350"/>
      <c r="CX13" s="351">
        <f t="shared" si="4"/>
        <v>100</v>
      </c>
      <c r="CY13" s="352">
        <f>(W13+Y13+AA13+AC13+AG13)/5</f>
        <v>9.75</v>
      </c>
      <c r="CZ13" s="368">
        <f t="shared" si="5"/>
        <v>37169</v>
      </c>
    </row>
    <row r="14" spans="1:104" ht="16.2" thickBot="1" x14ac:dyDescent="0.35">
      <c r="A14" s="323" t="s">
        <v>243</v>
      </c>
      <c r="B14" s="322">
        <f>B13+1</f>
        <v>37174</v>
      </c>
      <c r="C14" s="454">
        <f>'EOL LINKS'!B8</f>
        <v>38.5</v>
      </c>
      <c r="D14" s="454">
        <f>'EOL LINKS'!C8</f>
        <v>39</v>
      </c>
      <c r="E14" s="373">
        <f t="shared" si="1"/>
        <v>38.75</v>
      </c>
      <c r="F14" s="398">
        <v>0</v>
      </c>
      <c r="G14" s="408">
        <f t="shared" si="2"/>
        <v>38.75</v>
      </c>
      <c r="H14" s="100">
        <f t="shared" ref="H14:H26" si="10">H13</f>
        <v>1260.5752961082912</v>
      </c>
      <c r="I14" s="377">
        <f t="shared" si="8"/>
        <v>0</v>
      </c>
      <c r="J14" s="432">
        <f t="shared" si="9"/>
        <v>0</v>
      </c>
      <c r="K14" s="421">
        <f t="shared" si="3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7"/>
      <c r="R14" s="452">
        <f>'Zone J'!CE11</f>
        <v>0</v>
      </c>
      <c r="S14" s="482">
        <f>'Zone J'!CF11</f>
        <v>0</v>
      </c>
      <c r="U14" s="368">
        <f t="shared" si="7"/>
        <v>37172</v>
      </c>
      <c r="V14" s="342">
        <v>50</v>
      </c>
      <c r="W14" s="367">
        <v>24.5</v>
      </c>
      <c r="X14" s="345">
        <v>50</v>
      </c>
      <c r="Y14" s="346">
        <v>24.25</v>
      </c>
      <c r="Z14" s="345"/>
      <c r="AA14" s="344"/>
      <c r="AB14" s="345"/>
      <c r="AC14" s="346"/>
      <c r="AD14" s="345"/>
      <c r="AE14" s="346"/>
      <c r="AF14" s="345"/>
      <c r="AG14" s="344"/>
      <c r="AH14" s="345"/>
      <c r="AI14" s="346"/>
      <c r="AJ14" s="345"/>
      <c r="AK14" s="359"/>
      <c r="AL14" s="345"/>
      <c r="AM14" s="346"/>
      <c r="AN14" s="345"/>
      <c r="AO14" s="346"/>
      <c r="AP14" s="345"/>
      <c r="AQ14" s="346"/>
      <c r="AR14" s="345"/>
      <c r="AS14" s="359"/>
      <c r="AT14" s="355"/>
      <c r="AU14" s="356"/>
      <c r="AV14" s="357"/>
      <c r="AW14" s="350"/>
      <c r="AX14" s="349"/>
      <c r="AY14" s="350"/>
      <c r="AZ14" s="349"/>
      <c r="BA14" s="350"/>
      <c r="BB14" s="349"/>
      <c r="BC14" s="350"/>
      <c r="BD14" s="349"/>
      <c r="BE14" s="350"/>
      <c r="BF14" s="349"/>
      <c r="BG14" s="350"/>
      <c r="BH14" s="349"/>
      <c r="BI14" s="350"/>
      <c r="BJ14" s="349"/>
      <c r="BK14" s="350"/>
      <c r="BL14" s="349"/>
      <c r="BM14" s="350"/>
      <c r="BN14" s="349"/>
      <c r="BO14" s="350"/>
      <c r="BP14" s="349"/>
      <c r="BQ14" s="350"/>
      <c r="BR14" s="349"/>
      <c r="BS14" s="350"/>
      <c r="BT14" s="349"/>
      <c r="BU14" s="350"/>
      <c r="BV14" s="349"/>
      <c r="BW14" s="350"/>
      <c r="BX14" s="349"/>
      <c r="BY14" s="350"/>
      <c r="BZ14" s="349"/>
      <c r="CA14" s="350"/>
      <c r="CB14" s="349"/>
      <c r="CC14" s="350"/>
      <c r="CD14" s="349"/>
      <c r="CE14" s="350"/>
      <c r="CF14" s="349"/>
      <c r="CG14" s="350"/>
      <c r="CH14" s="349"/>
      <c r="CI14" s="350"/>
      <c r="CJ14" s="349"/>
      <c r="CK14" s="350"/>
      <c r="CL14" s="349"/>
      <c r="CM14" s="350"/>
      <c r="CN14" s="349"/>
      <c r="CO14" s="350"/>
      <c r="CP14" s="349"/>
      <c r="CQ14" s="350"/>
      <c r="CR14" s="349"/>
      <c r="CS14" s="350"/>
      <c r="CT14" s="349"/>
      <c r="CU14" s="350"/>
      <c r="CV14" s="349"/>
      <c r="CW14" s="350"/>
      <c r="CX14" s="351">
        <f t="shared" si="4"/>
        <v>100</v>
      </c>
      <c r="CY14" s="352">
        <f>(W14+Y14+AA14+AC14+AE14+AG14+AI14+AK14+AO14+AQ14+AS14)/11</f>
        <v>4.4318181818181817</v>
      </c>
      <c r="CZ14" s="368">
        <f t="shared" si="5"/>
        <v>37172</v>
      </c>
    </row>
    <row r="15" spans="1:104" ht="16.2" thickBot="1" x14ac:dyDescent="0.35">
      <c r="A15" s="323" t="s">
        <v>244</v>
      </c>
      <c r="B15" s="322">
        <f>B14+1</f>
        <v>37175</v>
      </c>
      <c r="C15" s="454">
        <f>'EOL LINKS'!B8</f>
        <v>38.5</v>
      </c>
      <c r="D15" s="454">
        <f>'EOL LINKS'!C8</f>
        <v>39</v>
      </c>
      <c r="E15" s="373">
        <f t="shared" si="1"/>
        <v>38.75</v>
      </c>
      <c r="F15" s="398">
        <v>0</v>
      </c>
      <c r="G15" s="408">
        <f t="shared" si="2"/>
        <v>38.75</v>
      </c>
      <c r="H15" s="100">
        <f t="shared" si="10"/>
        <v>1260.5752961082912</v>
      </c>
      <c r="I15" s="377">
        <f t="shared" si="8"/>
        <v>0</v>
      </c>
      <c r="J15" s="432">
        <f t="shared" si="9"/>
        <v>0</v>
      </c>
      <c r="K15" s="421">
        <f t="shared" si="3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8"/>
      <c r="R15" s="452">
        <v>0</v>
      </c>
      <c r="S15" s="482">
        <f>'Zone J'!CF12</f>
        <v>0</v>
      </c>
      <c r="U15" s="368">
        <f t="shared" si="7"/>
        <v>37173</v>
      </c>
      <c r="V15" s="345">
        <v>50</v>
      </c>
      <c r="W15" s="346">
        <v>24.5</v>
      </c>
      <c r="X15" s="345">
        <v>50</v>
      </c>
      <c r="Y15" s="346">
        <v>24.25</v>
      </c>
      <c r="Z15" s="345"/>
      <c r="AA15" s="344"/>
      <c r="AB15" s="345"/>
      <c r="AC15" s="346"/>
      <c r="AD15" s="345"/>
      <c r="AE15" s="346"/>
      <c r="AF15" s="345"/>
      <c r="AG15" s="344"/>
      <c r="AH15" s="345"/>
      <c r="AI15" s="346"/>
      <c r="AJ15" s="345"/>
      <c r="AK15" s="346"/>
      <c r="AL15" s="345"/>
      <c r="AM15" s="346"/>
      <c r="AN15" s="345"/>
      <c r="AO15" s="346"/>
      <c r="AP15" s="345"/>
      <c r="AQ15" s="346"/>
      <c r="AR15" s="345"/>
      <c r="AS15" s="359"/>
      <c r="AT15" s="355"/>
      <c r="AU15" s="356"/>
      <c r="AV15" s="345"/>
      <c r="AW15" s="346"/>
      <c r="AX15" s="349"/>
      <c r="AY15" s="350"/>
      <c r="AZ15" s="349"/>
      <c r="BA15" s="350"/>
      <c r="BB15" s="349"/>
      <c r="BC15" s="350"/>
      <c r="BD15" s="349"/>
      <c r="BE15" s="350"/>
      <c r="BF15" s="349"/>
      <c r="BG15" s="350"/>
      <c r="BH15" s="349"/>
      <c r="BI15" s="350"/>
      <c r="BJ15" s="349"/>
      <c r="BK15" s="350"/>
      <c r="BL15" s="349"/>
      <c r="BM15" s="350"/>
      <c r="BN15" s="349"/>
      <c r="BO15" s="350"/>
      <c r="BP15" s="349"/>
      <c r="BQ15" s="350"/>
      <c r="BR15" s="349"/>
      <c r="BS15" s="350"/>
      <c r="BT15" s="349"/>
      <c r="BU15" s="350"/>
      <c r="BV15" s="349"/>
      <c r="BW15" s="350"/>
      <c r="BX15" s="349"/>
      <c r="BY15" s="350"/>
      <c r="BZ15" s="349"/>
      <c r="CA15" s="350"/>
      <c r="CB15" s="349"/>
      <c r="CC15" s="350"/>
      <c r="CD15" s="349"/>
      <c r="CE15" s="350"/>
      <c r="CF15" s="349"/>
      <c r="CG15" s="350"/>
      <c r="CH15" s="349"/>
      <c r="CI15" s="350"/>
      <c r="CJ15" s="349"/>
      <c r="CK15" s="350"/>
      <c r="CL15" s="349"/>
      <c r="CM15" s="350"/>
      <c r="CN15" s="349"/>
      <c r="CO15" s="350"/>
      <c r="CP15" s="349"/>
      <c r="CQ15" s="350"/>
      <c r="CR15" s="349"/>
      <c r="CS15" s="350"/>
      <c r="CT15" s="349"/>
      <c r="CU15" s="350"/>
      <c r="CV15" s="349"/>
      <c r="CW15" s="350"/>
      <c r="CX15" s="351">
        <f t="shared" si="4"/>
        <v>100</v>
      </c>
      <c r="CY15" s="352">
        <f>(AM15+AU15)/2</f>
        <v>0</v>
      </c>
      <c r="CZ15" s="368">
        <f t="shared" si="5"/>
        <v>37173</v>
      </c>
    </row>
    <row r="16" spans="1:104" ht="16.2" thickBot="1" x14ac:dyDescent="0.35">
      <c r="A16" s="394" t="s">
        <v>245</v>
      </c>
      <c r="B16" s="380">
        <f>B15+1</f>
        <v>37176</v>
      </c>
      <c r="C16" s="217">
        <f>'EOL LINKS'!B9</f>
        <v>35.5</v>
      </c>
      <c r="D16" s="217">
        <f>'EOL LINKS'!C9</f>
        <v>36</v>
      </c>
      <c r="E16" s="371">
        <f t="shared" si="1"/>
        <v>35.75</v>
      </c>
      <c r="F16" s="398">
        <v>0</v>
      </c>
      <c r="G16" s="409">
        <f t="shared" si="2"/>
        <v>35.75</v>
      </c>
      <c r="H16" s="153">
        <f t="shared" si="10"/>
        <v>1260.5752961082912</v>
      </c>
      <c r="I16" s="377">
        <f t="shared" si="8"/>
        <v>0</v>
      </c>
      <c r="J16" s="432">
        <f t="shared" si="9"/>
        <v>0</v>
      </c>
      <c r="K16" s="422">
        <f t="shared" si="3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7"/>
      <c r="R16" s="452">
        <v>0</v>
      </c>
      <c r="S16" s="482">
        <f>'Zone J'!CF13</f>
        <v>0</v>
      </c>
      <c r="U16" s="368">
        <f t="shared" si="7"/>
        <v>37174</v>
      </c>
      <c r="V16" s="342">
        <v>50</v>
      </c>
      <c r="W16" s="367">
        <v>24.5</v>
      </c>
      <c r="X16" s="345">
        <v>50</v>
      </c>
      <c r="Y16" s="346">
        <v>24.25</v>
      </c>
      <c r="Z16" s="345"/>
      <c r="AA16" s="344"/>
      <c r="AB16" s="345"/>
      <c r="AC16" s="346"/>
      <c r="AD16" s="345"/>
      <c r="AE16" s="346"/>
      <c r="AF16" s="345"/>
      <c r="AG16" s="344"/>
      <c r="AH16" s="345"/>
      <c r="AI16" s="346"/>
      <c r="AJ16" s="345"/>
      <c r="AK16" s="346"/>
      <c r="AL16" s="345"/>
      <c r="AM16" s="346"/>
      <c r="AN16" s="345"/>
      <c r="AO16" s="346"/>
      <c r="AP16" s="345"/>
      <c r="AQ16" s="346"/>
      <c r="AR16" s="345"/>
      <c r="AS16" s="364"/>
      <c r="AT16" s="355"/>
      <c r="AU16" s="356"/>
      <c r="AV16" s="345"/>
      <c r="AW16" s="346"/>
      <c r="AX16" s="349"/>
      <c r="AY16" s="350"/>
      <c r="AZ16" s="349"/>
      <c r="BA16" s="350"/>
      <c r="BB16" s="349"/>
      <c r="BC16" s="350"/>
      <c r="BD16" s="349"/>
      <c r="BE16" s="350"/>
      <c r="BF16" s="349"/>
      <c r="BG16" s="350"/>
      <c r="BH16" s="349"/>
      <c r="BI16" s="350"/>
      <c r="BJ16" s="349"/>
      <c r="BK16" s="350"/>
      <c r="BL16" s="349"/>
      <c r="BM16" s="350"/>
      <c r="BN16" s="349"/>
      <c r="BO16" s="350"/>
      <c r="BP16" s="349"/>
      <c r="BQ16" s="350"/>
      <c r="BR16" s="349"/>
      <c r="BS16" s="350"/>
      <c r="BT16" s="349"/>
      <c r="BU16" s="350"/>
      <c r="BV16" s="349"/>
      <c r="BW16" s="350"/>
      <c r="BX16" s="349"/>
      <c r="BY16" s="350"/>
      <c r="BZ16" s="349"/>
      <c r="CA16" s="350"/>
      <c r="CB16" s="349"/>
      <c r="CC16" s="350"/>
      <c r="CD16" s="349"/>
      <c r="CE16" s="350"/>
      <c r="CF16" s="349"/>
      <c r="CG16" s="350"/>
      <c r="CH16" s="349"/>
      <c r="CI16" s="350"/>
      <c r="CJ16" s="349"/>
      <c r="CK16" s="350"/>
      <c r="CL16" s="349"/>
      <c r="CM16" s="350"/>
      <c r="CN16" s="349"/>
      <c r="CO16" s="350"/>
      <c r="CP16" s="349"/>
      <c r="CQ16" s="350"/>
      <c r="CR16" s="349"/>
      <c r="CS16" s="350"/>
      <c r="CT16" s="349"/>
      <c r="CU16" s="350"/>
      <c r="CV16" s="349"/>
      <c r="CW16" s="350"/>
      <c r="CX16" s="351">
        <f t="shared" si="4"/>
        <v>100</v>
      </c>
      <c r="CY16" s="352">
        <f>(AM16+AU16)/2</f>
        <v>0</v>
      </c>
      <c r="CZ16" s="368">
        <f t="shared" si="5"/>
        <v>37174</v>
      </c>
    </row>
    <row r="17" spans="1:104" ht="16.2" thickBot="1" x14ac:dyDescent="0.35">
      <c r="A17" s="395" t="s">
        <v>241</v>
      </c>
      <c r="B17" s="395">
        <f>B16+3</f>
        <v>37179</v>
      </c>
      <c r="C17" s="455">
        <f>'EOL LINKS'!B10</f>
        <v>35.75</v>
      </c>
      <c r="D17" s="455">
        <f>'EOL LINKS'!C10</f>
        <v>36.25</v>
      </c>
      <c r="E17" s="397">
        <f t="shared" si="1"/>
        <v>36</v>
      </c>
      <c r="F17" s="398">
        <v>0</v>
      </c>
      <c r="G17" s="389">
        <f t="shared" si="2"/>
        <v>36</v>
      </c>
      <c r="H17" s="390">
        <f t="shared" si="10"/>
        <v>1260.5752961082912</v>
      </c>
      <c r="I17" s="377">
        <f t="shared" si="8"/>
        <v>0</v>
      </c>
      <c r="J17" s="432">
        <f t="shared" si="9"/>
        <v>0</v>
      </c>
      <c r="K17" s="391">
        <f t="shared" si="3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7"/>
      <c r="R17" s="452">
        <v>0</v>
      </c>
      <c r="S17" s="482">
        <f>'Zone J'!CF14</f>
        <v>0</v>
      </c>
      <c r="U17" s="368">
        <f t="shared" si="7"/>
        <v>37175</v>
      </c>
      <c r="V17" s="345">
        <v>50</v>
      </c>
      <c r="W17" s="346">
        <v>24.5</v>
      </c>
      <c r="X17" s="345">
        <v>50</v>
      </c>
      <c r="Y17" s="346">
        <v>24.25</v>
      </c>
      <c r="Z17" s="345"/>
      <c r="AA17" s="344"/>
      <c r="AB17" s="345"/>
      <c r="AC17" s="346"/>
      <c r="AD17" s="345"/>
      <c r="AE17" s="346"/>
      <c r="AF17" s="345"/>
      <c r="AG17" s="344"/>
      <c r="AH17" s="345"/>
      <c r="AI17" s="346"/>
      <c r="AJ17" s="345"/>
      <c r="AK17" s="346"/>
      <c r="AL17" s="345"/>
      <c r="AM17" s="346"/>
      <c r="AN17" s="345"/>
      <c r="AO17" s="346"/>
      <c r="AP17" s="345"/>
      <c r="AQ17" s="346"/>
      <c r="AR17" s="345"/>
      <c r="AS17" s="364"/>
      <c r="AT17" s="355"/>
      <c r="AU17" s="356"/>
      <c r="AV17" s="345"/>
      <c r="AW17" s="346"/>
      <c r="AX17" s="349"/>
      <c r="AY17" s="350"/>
      <c r="AZ17" s="349"/>
      <c r="BA17" s="350"/>
      <c r="BB17" s="349"/>
      <c r="BC17" s="350"/>
      <c r="BD17" s="349"/>
      <c r="BE17" s="350"/>
      <c r="BF17" s="349"/>
      <c r="BG17" s="350"/>
      <c r="BH17" s="349"/>
      <c r="BI17" s="350"/>
      <c r="BJ17" s="349"/>
      <c r="BK17" s="350"/>
      <c r="BL17" s="349"/>
      <c r="BM17" s="350"/>
      <c r="BN17" s="349"/>
      <c r="BO17" s="350"/>
      <c r="BP17" s="349"/>
      <c r="BQ17" s="350"/>
      <c r="BR17" s="349"/>
      <c r="BS17" s="350"/>
      <c r="BT17" s="349"/>
      <c r="BU17" s="350"/>
      <c r="BV17" s="349"/>
      <c r="BW17" s="350"/>
      <c r="BX17" s="349"/>
      <c r="BY17" s="350"/>
      <c r="BZ17" s="349"/>
      <c r="CA17" s="350"/>
      <c r="CB17" s="349"/>
      <c r="CC17" s="350"/>
      <c r="CD17" s="349"/>
      <c r="CE17" s="350"/>
      <c r="CF17" s="349"/>
      <c r="CG17" s="350"/>
      <c r="CH17" s="349"/>
      <c r="CI17" s="350"/>
      <c r="CJ17" s="349"/>
      <c r="CK17" s="350"/>
      <c r="CL17" s="349"/>
      <c r="CM17" s="350"/>
      <c r="CN17" s="349"/>
      <c r="CO17" s="350"/>
      <c r="CP17" s="349"/>
      <c r="CQ17" s="350"/>
      <c r="CR17" s="349"/>
      <c r="CS17" s="350"/>
      <c r="CT17" s="349"/>
      <c r="CU17" s="350"/>
      <c r="CV17" s="349"/>
      <c r="CW17" s="350"/>
      <c r="CX17" s="351">
        <f t="shared" si="4"/>
        <v>100</v>
      </c>
      <c r="CY17" s="352">
        <f>(AM17+AU17)/2</f>
        <v>0</v>
      </c>
      <c r="CZ17" s="368">
        <f t="shared" si="5"/>
        <v>37175</v>
      </c>
    </row>
    <row r="18" spans="1:104" ht="16.2" thickBot="1" x14ac:dyDescent="0.35">
      <c r="A18" s="193" t="s">
        <v>242</v>
      </c>
      <c r="B18" s="193">
        <f>B17+1</f>
        <v>37180</v>
      </c>
      <c r="C18" s="506">
        <f>'EOL LINKS'!B8</f>
        <v>38.5</v>
      </c>
      <c r="D18" s="506">
        <f>'EOL LINKS'!C8</f>
        <v>39</v>
      </c>
      <c r="E18" s="170">
        <f t="shared" si="1"/>
        <v>38.75</v>
      </c>
      <c r="F18" s="398">
        <v>0</v>
      </c>
      <c r="G18" s="201">
        <f t="shared" si="2"/>
        <v>38.75</v>
      </c>
      <c r="H18" s="172">
        <f t="shared" si="10"/>
        <v>1260.5752961082912</v>
      </c>
      <c r="I18" s="377">
        <f t="shared" si="8"/>
        <v>0</v>
      </c>
      <c r="J18" s="432">
        <f t="shared" si="9"/>
        <v>0</v>
      </c>
      <c r="K18" s="203">
        <f t="shared" si="3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7"/>
      <c r="R18" s="452">
        <f>'Zone J'!CE15</f>
        <v>0</v>
      </c>
      <c r="S18" s="482">
        <f>'Zone J'!CF15</f>
        <v>0</v>
      </c>
      <c r="U18" s="368">
        <f t="shared" si="7"/>
        <v>37176</v>
      </c>
      <c r="V18" s="342">
        <v>50</v>
      </c>
      <c r="W18" s="367">
        <v>24.5</v>
      </c>
      <c r="X18" s="345">
        <v>50</v>
      </c>
      <c r="Y18" s="346">
        <v>24.25</v>
      </c>
      <c r="Z18" s="345"/>
      <c r="AA18" s="344"/>
      <c r="AB18" s="345"/>
      <c r="AC18" s="346"/>
      <c r="AD18" s="345"/>
      <c r="AE18" s="346"/>
      <c r="AF18" s="345"/>
      <c r="AG18" s="344"/>
      <c r="AH18" s="345"/>
      <c r="AI18" s="346"/>
      <c r="AJ18" s="345"/>
      <c r="AK18" s="346"/>
      <c r="AL18" s="345"/>
      <c r="AM18" s="346"/>
      <c r="AN18" s="345"/>
      <c r="AO18" s="346"/>
      <c r="AP18" s="345"/>
      <c r="AQ18" s="346"/>
      <c r="AR18" s="345"/>
      <c r="AS18" s="364"/>
      <c r="AT18" s="355"/>
      <c r="AU18" s="356"/>
      <c r="AV18" s="345"/>
      <c r="AW18" s="346"/>
      <c r="AX18" s="349"/>
      <c r="AY18" s="350"/>
      <c r="AZ18" s="349"/>
      <c r="BA18" s="350"/>
      <c r="BB18" s="349"/>
      <c r="BC18" s="350"/>
      <c r="BD18" s="349"/>
      <c r="BE18" s="350"/>
      <c r="BF18" s="349"/>
      <c r="BG18" s="350"/>
      <c r="BH18" s="349"/>
      <c r="BI18" s="350"/>
      <c r="BJ18" s="349"/>
      <c r="BK18" s="350"/>
      <c r="BL18" s="349"/>
      <c r="BM18" s="350"/>
      <c r="BN18" s="349"/>
      <c r="BO18" s="350"/>
      <c r="BP18" s="349"/>
      <c r="BQ18" s="350"/>
      <c r="BR18" s="349"/>
      <c r="BS18" s="350"/>
      <c r="BT18" s="349"/>
      <c r="BU18" s="350"/>
      <c r="BV18" s="349"/>
      <c r="BW18" s="350"/>
      <c r="BX18" s="349"/>
      <c r="BY18" s="350"/>
      <c r="BZ18" s="349"/>
      <c r="CA18" s="350"/>
      <c r="CB18" s="349"/>
      <c r="CC18" s="350"/>
      <c r="CD18" s="349"/>
      <c r="CE18" s="350"/>
      <c r="CF18" s="349"/>
      <c r="CG18" s="350"/>
      <c r="CH18" s="349"/>
      <c r="CI18" s="350"/>
      <c r="CJ18" s="349"/>
      <c r="CK18" s="350"/>
      <c r="CL18" s="349"/>
      <c r="CM18" s="350"/>
      <c r="CN18" s="349"/>
      <c r="CO18" s="350"/>
      <c r="CP18" s="349"/>
      <c r="CQ18" s="350"/>
      <c r="CR18" s="349"/>
      <c r="CS18" s="350"/>
      <c r="CT18" s="349"/>
      <c r="CU18" s="350"/>
      <c r="CV18" s="349"/>
      <c r="CW18" s="350"/>
      <c r="CX18" s="351">
        <f t="shared" si="4"/>
        <v>100</v>
      </c>
      <c r="CY18" s="352">
        <f>(AM18+AU18)/2</f>
        <v>0</v>
      </c>
      <c r="CZ18" s="368">
        <f t="shared" si="5"/>
        <v>37176</v>
      </c>
    </row>
    <row r="19" spans="1:104" ht="16.2" thickBot="1" x14ac:dyDescent="0.35">
      <c r="A19" s="194" t="s">
        <v>243</v>
      </c>
      <c r="B19" s="194">
        <f>B18+1</f>
        <v>37181</v>
      </c>
      <c r="C19" s="507">
        <v>24</v>
      </c>
      <c r="D19" s="507">
        <v>25</v>
      </c>
      <c r="E19" s="70">
        <f t="shared" si="1"/>
        <v>24.5</v>
      </c>
      <c r="F19" s="398">
        <v>0</v>
      </c>
      <c r="G19" s="72">
        <f t="shared" si="2"/>
        <v>24.5</v>
      </c>
      <c r="H19" s="100">
        <f t="shared" si="10"/>
        <v>1260.5752961082912</v>
      </c>
      <c r="I19" s="377">
        <f t="shared" si="8"/>
        <v>0</v>
      </c>
      <c r="J19" s="432">
        <f t="shared" si="9"/>
        <v>0</v>
      </c>
      <c r="K19" s="33">
        <f t="shared" si="3"/>
        <v>0</v>
      </c>
      <c r="L19" s="62" t="s">
        <v>26</v>
      </c>
      <c r="M19" s="63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9"/>
      <c r="R19" s="452">
        <v>0</v>
      </c>
      <c r="S19" s="482">
        <f>'Zone J'!CF16</f>
        <v>0</v>
      </c>
      <c r="U19" s="368">
        <f t="shared" si="7"/>
        <v>37179</v>
      </c>
      <c r="V19" s="345">
        <v>50</v>
      </c>
      <c r="W19" s="346">
        <v>24.5</v>
      </c>
      <c r="X19" s="345">
        <v>50</v>
      </c>
      <c r="Y19" s="346">
        <v>24.25</v>
      </c>
      <c r="Z19" s="345"/>
      <c r="AA19" s="344"/>
      <c r="AB19" s="342"/>
      <c r="AC19" s="359"/>
      <c r="AD19" s="345"/>
      <c r="AE19" s="346"/>
      <c r="AF19" s="345"/>
      <c r="AG19" s="344"/>
      <c r="AH19" s="345"/>
      <c r="AI19" s="346"/>
      <c r="AJ19" s="345"/>
      <c r="AK19" s="346"/>
      <c r="AL19" s="345"/>
      <c r="AM19" s="346"/>
      <c r="AN19" s="345"/>
      <c r="AO19" s="346"/>
      <c r="AP19" s="345"/>
      <c r="AQ19" s="346"/>
      <c r="AR19" s="345"/>
      <c r="AS19" s="364"/>
      <c r="AT19" s="355"/>
      <c r="AU19" s="356"/>
      <c r="AV19" s="345"/>
      <c r="AW19" s="346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49"/>
      <c r="CK19" s="350"/>
      <c r="CL19" s="349"/>
      <c r="CM19" s="350"/>
      <c r="CN19" s="349"/>
      <c r="CO19" s="350"/>
      <c r="CP19" s="349"/>
      <c r="CQ19" s="350"/>
      <c r="CR19" s="349"/>
      <c r="CS19" s="350"/>
      <c r="CT19" s="349"/>
      <c r="CU19" s="350"/>
      <c r="CV19" s="349"/>
      <c r="CW19" s="350"/>
      <c r="CX19" s="351">
        <f t="shared" si="4"/>
        <v>100</v>
      </c>
      <c r="CY19" s="352">
        <f>(W19+Y19)/2</f>
        <v>24.375</v>
      </c>
      <c r="CZ19" s="368">
        <f t="shared" si="5"/>
        <v>37179</v>
      </c>
    </row>
    <row r="20" spans="1:104" ht="16.2" thickBot="1" x14ac:dyDescent="0.35">
      <c r="A20" s="194" t="s">
        <v>244</v>
      </c>
      <c r="B20" s="194">
        <f>B19+1</f>
        <v>37182</v>
      </c>
      <c r="C20" s="61">
        <f>C19</f>
        <v>24</v>
      </c>
      <c r="D20" s="61">
        <f>D19</f>
        <v>25</v>
      </c>
      <c r="E20" s="70">
        <f t="shared" si="1"/>
        <v>24.5</v>
      </c>
      <c r="F20" s="398">
        <v>0</v>
      </c>
      <c r="G20" s="72">
        <f t="shared" si="2"/>
        <v>24.5</v>
      </c>
      <c r="H20" s="100">
        <f t="shared" si="10"/>
        <v>1260.5752961082912</v>
      </c>
      <c r="I20" s="377">
        <f t="shared" si="8"/>
        <v>0</v>
      </c>
      <c r="J20" s="432">
        <f t="shared" si="9"/>
        <v>15.096153846153847</v>
      </c>
      <c r="K20" s="33">
        <f t="shared" si="3"/>
        <v>0</v>
      </c>
      <c r="L20" s="51"/>
      <c r="M20" s="51"/>
      <c r="N20" s="54"/>
      <c r="O20" s="37"/>
      <c r="P20" s="28">
        <f t="shared" si="0"/>
        <v>0</v>
      </c>
      <c r="Q20" s="58"/>
      <c r="R20" s="452">
        <f>'Zone J'!CE17</f>
        <v>0</v>
      </c>
      <c r="S20" s="482">
        <f>'Zone J'!CF17</f>
        <v>0</v>
      </c>
      <c r="U20" s="368">
        <f t="shared" si="7"/>
        <v>37180</v>
      </c>
      <c r="V20" s="342">
        <v>50</v>
      </c>
      <c r="W20" s="367">
        <v>24.5</v>
      </c>
      <c r="X20" s="345">
        <v>50</v>
      </c>
      <c r="Y20" s="346">
        <v>24.25</v>
      </c>
      <c r="Z20" s="345"/>
      <c r="AA20" s="344"/>
      <c r="AB20" s="345"/>
      <c r="AC20" s="346"/>
      <c r="AD20" s="345"/>
      <c r="AE20" s="346"/>
      <c r="AF20" s="345"/>
      <c r="AG20" s="344"/>
      <c r="AH20" s="345"/>
      <c r="AI20" s="346"/>
      <c r="AJ20" s="345"/>
      <c r="AK20" s="346"/>
      <c r="AL20" s="345"/>
      <c r="AM20" s="346"/>
      <c r="AN20" s="345"/>
      <c r="AO20" s="346"/>
      <c r="AP20" s="345"/>
      <c r="AQ20" s="346"/>
      <c r="AR20" s="345"/>
      <c r="AS20" s="364"/>
      <c r="AT20" s="355"/>
      <c r="AU20" s="356"/>
      <c r="AV20" s="345"/>
      <c r="AW20" s="346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49"/>
      <c r="CK20" s="350"/>
      <c r="CL20" s="349"/>
      <c r="CM20" s="350"/>
      <c r="CN20" s="349"/>
      <c r="CO20" s="350"/>
      <c r="CP20" s="349"/>
      <c r="CQ20" s="350"/>
      <c r="CR20" s="349"/>
      <c r="CS20" s="350"/>
      <c r="CT20" s="349"/>
      <c r="CU20" s="350"/>
      <c r="CV20" s="349"/>
      <c r="CW20" s="350"/>
      <c r="CX20" s="351">
        <f t="shared" si="4"/>
        <v>100</v>
      </c>
      <c r="CY20" s="369">
        <f>(AA20)</f>
        <v>0</v>
      </c>
      <c r="CZ20" s="368">
        <f t="shared" si="5"/>
        <v>37180</v>
      </c>
    </row>
    <row r="21" spans="1:104" ht="16.2" thickBot="1" x14ac:dyDescent="0.35">
      <c r="A21" s="205" t="s">
        <v>245</v>
      </c>
      <c r="B21" s="205">
        <f>B20+1</f>
        <v>37183</v>
      </c>
      <c r="C21" s="32">
        <f>C20</f>
        <v>24</v>
      </c>
      <c r="D21" s="32">
        <f>D20</f>
        <v>25</v>
      </c>
      <c r="E21" s="78">
        <f t="shared" si="1"/>
        <v>24.5</v>
      </c>
      <c r="F21" s="398">
        <v>0</v>
      </c>
      <c r="G21" s="177">
        <f t="shared" si="2"/>
        <v>24.5</v>
      </c>
      <c r="H21" s="153">
        <f t="shared" si="10"/>
        <v>1260.5752961082912</v>
      </c>
      <c r="I21" s="377">
        <f t="shared" si="8"/>
        <v>0</v>
      </c>
      <c r="J21" s="432">
        <f t="shared" si="9"/>
        <v>9.4423076923076916</v>
      </c>
      <c r="K21" s="178">
        <f t="shared" si="3"/>
        <v>0</v>
      </c>
      <c r="L21" s="51"/>
      <c r="M21" s="51"/>
      <c r="N21" s="38"/>
      <c r="R21" s="452">
        <f>'Zone J'!CE18</f>
        <v>0</v>
      </c>
      <c r="S21" s="482">
        <f>'Zone J'!CF18</f>
        <v>0</v>
      </c>
      <c r="U21" s="368">
        <f t="shared" si="7"/>
        <v>37181</v>
      </c>
      <c r="V21" s="345">
        <v>50</v>
      </c>
      <c r="W21" s="346">
        <v>24.5</v>
      </c>
      <c r="X21" s="345">
        <v>50</v>
      </c>
      <c r="Y21" s="346">
        <v>24.25</v>
      </c>
      <c r="Z21" s="345"/>
      <c r="AA21" s="344"/>
      <c r="AB21" s="342"/>
      <c r="AC21" s="359"/>
      <c r="AD21" s="345"/>
      <c r="AE21" s="346"/>
      <c r="AF21" s="345"/>
      <c r="AG21" s="344"/>
      <c r="AH21" s="345"/>
      <c r="AI21" s="346"/>
      <c r="AJ21" s="345"/>
      <c r="AK21" s="346"/>
      <c r="AL21" s="345"/>
      <c r="AM21" s="346"/>
      <c r="AN21" s="345"/>
      <c r="AO21" s="346"/>
      <c r="AP21" s="345"/>
      <c r="AQ21" s="346"/>
      <c r="AR21" s="345"/>
      <c r="AS21" s="364"/>
      <c r="AT21" s="355"/>
      <c r="AU21" s="356"/>
      <c r="AV21" s="345"/>
      <c r="AW21" s="346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49"/>
      <c r="CK21" s="350"/>
      <c r="CL21" s="349"/>
      <c r="CM21" s="350"/>
      <c r="CN21" s="349"/>
      <c r="CO21" s="350"/>
      <c r="CP21" s="349"/>
      <c r="CQ21" s="350"/>
      <c r="CR21" s="349"/>
      <c r="CS21" s="350"/>
      <c r="CT21" s="349"/>
      <c r="CU21" s="350"/>
      <c r="CV21" s="349"/>
      <c r="CW21" s="350"/>
      <c r="CX21" s="351">
        <f t="shared" si="4"/>
        <v>100</v>
      </c>
      <c r="CY21" s="369">
        <f>(AA21)</f>
        <v>0</v>
      </c>
      <c r="CZ21" s="368">
        <f t="shared" si="5"/>
        <v>37181</v>
      </c>
    </row>
    <row r="22" spans="1:104" ht="16.2" thickBot="1" x14ac:dyDescent="0.35">
      <c r="A22" s="399" t="s">
        <v>241</v>
      </c>
      <c r="B22" s="399">
        <f>B21+3</f>
        <v>37186</v>
      </c>
      <c r="C22" s="398">
        <f>C19</f>
        <v>24</v>
      </c>
      <c r="D22" s="398">
        <f>D19</f>
        <v>25</v>
      </c>
      <c r="E22" s="387">
        <f t="shared" si="1"/>
        <v>24.5</v>
      </c>
      <c r="F22" s="398">
        <v>0</v>
      </c>
      <c r="G22" s="406">
        <f t="shared" si="2"/>
        <v>24.5</v>
      </c>
      <c r="H22" s="390">
        <f t="shared" si="10"/>
        <v>1260.5752961082912</v>
      </c>
      <c r="I22" s="377">
        <f t="shared" si="8"/>
        <v>0</v>
      </c>
      <c r="J22" s="432">
        <f t="shared" si="9"/>
        <v>41.06111111111111</v>
      </c>
      <c r="K22" s="419">
        <f t="shared" si="3"/>
        <v>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2">
        <f>'Zone J'!CE19</f>
        <v>0</v>
      </c>
      <c r="S22" s="482">
        <f>'Zone J'!CF19</f>
        <v>15.096153846153847</v>
      </c>
      <c r="U22" s="368">
        <f t="shared" si="7"/>
        <v>37182</v>
      </c>
      <c r="V22" s="342">
        <v>50</v>
      </c>
      <c r="W22" s="367">
        <v>24.5</v>
      </c>
      <c r="X22" s="345">
        <v>50</v>
      </c>
      <c r="Y22" s="346">
        <v>24.25</v>
      </c>
      <c r="Z22" s="345"/>
      <c r="AA22" s="344"/>
      <c r="AB22" s="345"/>
      <c r="AC22" s="346"/>
      <c r="AD22" s="345"/>
      <c r="AE22" s="346"/>
      <c r="AF22" s="345"/>
      <c r="AG22" s="344"/>
      <c r="AH22" s="345"/>
      <c r="AI22" s="346"/>
      <c r="AJ22" s="345"/>
      <c r="AK22" s="346"/>
      <c r="AL22" s="345"/>
      <c r="AM22" s="346"/>
      <c r="AN22" s="345"/>
      <c r="AO22" s="346"/>
      <c r="AP22" s="345"/>
      <c r="AQ22" s="346"/>
      <c r="AR22" s="345"/>
      <c r="AS22" s="364"/>
      <c r="AT22" s="355"/>
      <c r="AU22" s="356"/>
      <c r="AV22" s="345"/>
      <c r="AW22" s="346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49"/>
      <c r="CK22" s="350"/>
      <c r="CL22" s="349"/>
      <c r="CM22" s="350"/>
      <c r="CN22" s="349"/>
      <c r="CO22" s="350"/>
      <c r="CP22" s="349"/>
      <c r="CQ22" s="350"/>
      <c r="CR22" s="349"/>
      <c r="CS22" s="350"/>
      <c r="CT22" s="349"/>
      <c r="CU22" s="350"/>
      <c r="CV22" s="349"/>
      <c r="CW22" s="350"/>
      <c r="CX22" s="351">
        <f t="shared" si="4"/>
        <v>100</v>
      </c>
      <c r="CY22" s="369">
        <f>(AA22)</f>
        <v>0</v>
      </c>
      <c r="CZ22" s="368">
        <f t="shared" si="5"/>
        <v>37182</v>
      </c>
    </row>
    <row r="23" spans="1:104" ht="16.2" thickBot="1" x14ac:dyDescent="0.35">
      <c r="A23" s="324" t="s">
        <v>242</v>
      </c>
      <c r="B23" s="324">
        <f>B22+1</f>
        <v>37187</v>
      </c>
      <c r="C23" s="328">
        <f t="shared" ref="C23:D26" si="11">C22</f>
        <v>24</v>
      </c>
      <c r="D23" s="328">
        <f t="shared" si="11"/>
        <v>25</v>
      </c>
      <c r="E23" s="372">
        <f t="shared" si="1"/>
        <v>24.5</v>
      </c>
      <c r="F23" s="398">
        <v>0</v>
      </c>
      <c r="G23" s="407">
        <f t="shared" si="2"/>
        <v>24.5</v>
      </c>
      <c r="H23" s="172">
        <f t="shared" si="10"/>
        <v>1260.5752961082912</v>
      </c>
      <c r="I23" s="377">
        <f t="shared" si="8"/>
        <v>0</v>
      </c>
      <c r="J23" s="432">
        <f t="shared" si="9"/>
        <v>41.06111111111111</v>
      </c>
      <c r="K23" s="420">
        <f t="shared" si="3"/>
        <v>0</v>
      </c>
      <c r="L23" s="51"/>
      <c r="M23" s="46" t="s">
        <v>34</v>
      </c>
      <c r="N23" s="64"/>
      <c r="O23" s="43">
        <v>0</v>
      </c>
      <c r="P23" s="44">
        <v>200</v>
      </c>
      <c r="Q23" s="49"/>
      <c r="R23" s="452">
        <v>0</v>
      </c>
      <c r="S23" s="482">
        <f>'Zone J'!CF20</f>
        <v>9.4423076923076916</v>
      </c>
      <c r="U23" s="368">
        <f t="shared" si="7"/>
        <v>37183</v>
      </c>
      <c r="V23" s="345">
        <v>50</v>
      </c>
      <c r="W23" s="346">
        <v>24.5</v>
      </c>
      <c r="X23" s="345">
        <v>50</v>
      </c>
      <c r="Y23" s="346">
        <v>24.25</v>
      </c>
      <c r="Z23" s="345"/>
      <c r="AA23" s="344"/>
      <c r="AB23" s="342"/>
      <c r="AC23" s="359"/>
      <c r="AD23" s="345"/>
      <c r="AE23" s="346"/>
      <c r="AF23" s="345"/>
      <c r="AG23" s="344"/>
      <c r="AH23" s="345"/>
      <c r="AI23" s="346"/>
      <c r="AJ23" s="345"/>
      <c r="AK23" s="346"/>
      <c r="AL23" s="345"/>
      <c r="AM23" s="346"/>
      <c r="AN23" s="345"/>
      <c r="AO23" s="346"/>
      <c r="AP23" s="345"/>
      <c r="AQ23" s="346"/>
      <c r="AR23" s="345"/>
      <c r="AS23" s="364"/>
      <c r="AT23" s="355"/>
      <c r="AU23" s="356"/>
      <c r="AV23" s="345"/>
      <c r="AW23" s="346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49"/>
      <c r="CK23" s="350"/>
      <c r="CL23" s="349"/>
      <c r="CM23" s="350"/>
      <c r="CN23" s="349"/>
      <c r="CO23" s="350"/>
      <c r="CP23" s="349"/>
      <c r="CQ23" s="350"/>
      <c r="CR23" s="349"/>
      <c r="CS23" s="350"/>
      <c r="CT23" s="349"/>
      <c r="CU23" s="350"/>
      <c r="CV23" s="349"/>
      <c r="CW23" s="350"/>
      <c r="CX23" s="351">
        <f t="shared" si="4"/>
        <v>100</v>
      </c>
      <c r="CY23" s="369">
        <f>(AA23)</f>
        <v>0</v>
      </c>
      <c r="CZ23" s="368">
        <f t="shared" si="5"/>
        <v>37183</v>
      </c>
    </row>
    <row r="24" spans="1:104" ht="16.2" thickBot="1" x14ac:dyDescent="0.35">
      <c r="A24" s="325" t="s">
        <v>243</v>
      </c>
      <c r="B24" s="324">
        <f>B23+1</f>
        <v>37188</v>
      </c>
      <c r="C24" s="327">
        <f t="shared" si="11"/>
        <v>24</v>
      </c>
      <c r="D24" s="327">
        <f t="shared" si="11"/>
        <v>25</v>
      </c>
      <c r="E24" s="373">
        <f t="shared" si="1"/>
        <v>24.5</v>
      </c>
      <c r="F24" s="398">
        <v>0</v>
      </c>
      <c r="G24" s="408">
        <f t="shared" si="2"/>
        <v>24.5</v>
      </c>
      <c r="H24" s="100">
        <f t="shared" si="10"/>
        <v>1260.5752961082912</v>
      </c>
      <c r="I24" s="377">
        <f t="shared" si="8"/>
        <v>0</v>
      </c>
      <c r="J24" s="432">
        <f t="shared" si="9"/>
        <v>41.06111111111111</v>
      </c>
      <c r="K24" s="421">
        <f t="shared" si="3"/>
        <v>0</v>
      </c>
      <c r="L24" s="51"/>
      <c r="M24" s="67" t="s">
        <v>35</v>
      </c>
      <c r="N24" s="65"/>
      <c r="O24" s="43">
        <v>0</v>
      </c>
      <c r="P24" s="44">
        <v>200</v>
      </c>
      <c r="Q24" s="49"/>
      <c r="R24" s="452">
        <v>0</v>
      </c>
      <c r="S24" s="482">
        <f>'Zone J'!CF21</f>
        <v>41.06111111111111</v>
      </c>
      <c r="U24" s="368">
        <f t="shared" si="7"/>
        <v>37186</v>
      </c>
      <c r="V24" s="342">
        <v>50</v>
      </c>
      <c r="W24" s="367">
        <v>24.5</v>
      </c>
      <c r="X24" s="345">
        <v>50</v>
      </c>
      <c r="Y24" s="346">
        <v>24.25</v>
      </c>
      <c r="Z24" s="345"/>
      <c r="AA24" s="344"/>
      <c r="AB24" s="345"/>
      <c r="AC24" s="346"/>
      <c r="AD24" s="345"/>
      <c r="AE24" s="346"/>
      <c r="AF24" s="345"/>
      <c r="AG24" s="344"/>
      <c r="AH24" s="345"/>
      <c r="AI24" s="346"/>
      <c r="AJ24" s="345"/>
      <c r="AK24" s="346"/>
      <c r="AL24" s="345"/>
      <c r="AM24" s="346"/>
      <c r="AN24" s="345"/>
      <c r="AO24" s="346"/>
      <c r="AP24" s="345"/>
      <c r="AQ24" s="346"/>
      <c r="AR24" s="345"/>
      <c r="AS24" s="364"/>
      <c r="AT24" s="355"/>
      <c r="AU24" s="356"/>
      <c r="AV24" s="345"/>
      <c r="AW24" s="346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49"/>
      <c r="CK24" s="350"/>
      <c r="CL24" s="349"/>
      <c r="CM24" s="350"/>
      <c r="CN24" s="349"/>
      <c r="CO24" s="350"/>
      <c r="CP24" s="349"/>
      <c r="CQ24" s="350"/>
      <c r="CR24" s="349"/>
      <c r="CS24" s="350"/>
      <c r="CT24" s="349"/>
      <c r="CU24" s="350"/>
      <c r="CV24" s="349"/>
      <c r="CW24" s="350"/>
      <c r="CX24" s="351">
        <f t="shared" si="4"/>
        <v>100</v>
      </c>
      <c r="CY24" s="352">
        <f>(W24+Y24+AA24)/3</f>
        <v>16.25</v>
      </c>
      <c r="CZ24" s="368">
        <f t="shared" si="5"/>
        <v>37186</v>
      </c>
    </row>
    <row r="25" spans="1:104" ht="16.2" thickBot="1" x14ac:dyDescent="0.35">
      <c r="A25" s="325" t="s">
        <v>244</v>
      </c>
      <c r="B25" s="324">
        <f>B24+1</f>
        <v>37189</v>
      </c>
      <c r="C25" s="327">
        <f t="shared" si="11"/>
        <v>24</v>
      </c>
      <c r="D25" s="327">
        <f t="shared" si="11"/>
        <v>25</v>
      </c>
      <c r="E25" s="373">
        <f t="shared" si="1"/>
        <v>24.5</v>
      </c>
      <c r="F25" s="398">
        <v>0</v>
      </c>
      <c r="G25" s="408">
        <f t="shared" si="2"/>
        <v>24.5</v>
      </c>
      <c r="H25" s="100">
        <f t="shared" si="10"/>
        <v>1260.5752961082912</v>
      </c>
      <c r="I25" s="377">
        <f t="shared" si="8"/>
        <v>0</v>
      </c>
      <c r="J25" s="432">
        <f t="shared" si="9"/>
        <v>41.06111111111111</v>
      </c>
      <c r="K25" s="421">
        <f t="shared" si="3"/>
        <v>0</v>
      </c>
      <c r="L25" s="51"/>
      <c r="M25" s="46" t="s">
        <v>31</v>
      </c>
      <c r="N25" s="66"/>
      <c r="O25" s="101">
        <v>0</v>
      </c>
      <c r="P25" s="44">
        <v>200</v>
      </c>
      <c r="Q25" s="49"/>
      <c r="R25" s="452">
        <v>0</v>
      </c>
      <c r="S25" s="482">
        <f>'Zone J'!CF22</f>
        <v>41.06111111111111</v>
      </c>
      <c r="U25" s="368">
        <f t="shared" si="7"/>
        <v>37187</v>
      </c>
      <c r="V25" s="345">
        <v>50</v>
      </c>
      <c r="W25" s="346">
        <v>24.5</v>
      </c>
      <c r="X25" s="345">
        <v>50</v>
      </c>
      <c r="Y25" s="346">
        <v>24.25</v>
      </c>
      <c r="Z25" s="345"/>
      <c r="AA25" s="344"/>
      <c r="AB25" s="342"/>
      <c r="AC25" s="359"/>
      <c r="AD25" s="345"/>
      <c r="AE25" s="346"/>
      <c r="AF25" s="345"/>
      <c r="AG25" s="344"/>
      <c r="AH25" s="345"/>
      <c r="AI25" s="346"/>
      <c r="AJ25" s="345"/>
      <c r="AK25" s="346"/>
      <c r="AL25" s="345"/>
      <c r="AM25" s="346"/>
      <c r="AN25" s="345"/>
      <c r="AO25" s="346"/>
      <c r="AP25" s="345"/>
      <c r="AQ25" s="346"/>
      <c r="AR25" s="345"/>
      <c r="AS25" s="364"/>
      <c r="AT25" s="355"/>
      <c r="AU25" s="356"/>
      <c r="AV25" s="345"/>
      <c r="AW25" s="346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49"/>
      <c r="CK25" s="350"/>
      <c r="CL25" s="349"/>
      <c r="CM25" s="350"/>
      <c r="CN25" s="349"/>
      <c r="CO25" s="350"/>
      <c r="CP25" s="349"/>
      <c r="CQ25" s="350"/>
      <c r="CR25" s="349"/>
      <c r="CS25" s="350"/>
      <c r="CT25" s="349"/>
      <c r="CU25" s="350"/>
      <c r="CV25" s="349"/>
      <c r="CW25" s="350"/>
      <c r="CX25" s="351">
        <f t="shared" si="4"/>
        <v>100</v>
      </c>
      <c r="CY25" s="352">
        <f>(W25+Y25+AA25)/3</f>
        <v>16.25</v>
      </c>
      <c r="CZ25" s="368">
        <f t="shared" si="5"/>
        <v>37187</v>
      </c>
    </row>
    <row r="26" spans="1:104" ht="16.2" thickBot="1" x14ac:dyDescent="0.35">
      <c r="A26" s="370" t="s">
        <v>245</v>
      </c>
      <c r="B26" s="370">
        <f>B25+1</f>
        <v>37190</v>
      </c>
      <c r="C26" s="326">
        <f t="shared" si="11"/>
        <v>24</v>
      </c>
      <c r="D26" s="326">
        <f t="shared" si="11"/>
        <v>25</v>
      </c>
      <c r="E26" s="371">
        <f t="shared" si="1"/>
        <v>24.5</v>
      </c>
      <c r="F26" s="398">
        <v>0</v>
      </c>
      <c r="G26" s="409">
        <f t="shared" si="2"/>
        <v>24.5</v>
      </c>
      <c r="H26" s="153">
        <f t="shared" si="10"/>
        <v>1260.5752961082912</v>
      </c>
      <c r="I26" s="377">
        <f t="shared" si="8"/>
        <v>0</v>
      </c>
      <c r="J26" s="432">
        <f t="shared" si="9"/>
        <v>41.06111111111111</v>
      </c>
      <c r="K26" s="422">
        <f t="shared" si="3"/>
        <v>0</v>
      </c>
      <c r="L26" s="51"/>
      <c r="M26" s="22"/>
      <c r="N26" s="47"/>
      <c r="O26" s="49"/>
      <c r="P26" s="22"/>
      <c r="Q26" s="22"/>
      <c r="R26" s="452">
        <v>0</v>
      </c>
      <c r="S26" s="482">
        <f>'Zone J'!CF23</f>
        <v>41.06111111111111</v>
      </c>
      <c r="U26" s="368">
        <f t="shared" si="7"/>
        <v>37188</v>
      </c>
      <c r="V26" s="342">
        <v>50</v>
      </c>
      <c r="W26" s="367">
        <v>24.5</v>
      </c>
      <c r="X26" s="345">
        <v>50</v>
      </c>
      <c r="Y26" s="346">
        <v>24.25</v>
      </c>
      <c r="Z26" s="345"/>
      <c r="AA26" s="344"/>
      <c r="AB26" s="345"/>
      <c r="AC26" s="346"/>
      <c r="AD26" s="345"/>
      <c r="AE26" s="346"/>
      <c r="AF26" s="345"/>
      <c r="AG26" s="344"/>
      <c r="AH26" s="345"/>
      <c r="AI26" s="346"/>
      <c r="AJ26" s="345"/>
      <c r="AK26" s="346"/>
      <c r="AL26" s="345"/>
      <c r="AM26" s="346"/>
      <c r="AN26" s="345"/>
      <c r="AO26" s="346"/>
      <c r="AP26" s="345"/>
      <c r="AQ26" s="346"/>
      <c r="AR26" s="345"/>
      <c r="AS26" s="364"/>
      <c r="AT26" s="355"/>
      <c r="AU26" s="356"/>
      <c r="AV26" s="345"/>
      <c r="AW26" s="346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49"/>
      <c r="CK26" s="350"/>
      <c r="CL26" s="349"/>
      <c r="CM26" s="350"/>
      <c r="CN26" s="349"/>
      <c r="CO26" s="350"/>
      <c r="CP26" s="349"/>
      <c r="CQ26" s="350"/>
      <c r="CR26" s="349"/>
      <c r="CS26" s="350"/>
      <c r="CT26" s="349"/>
      <c r="CU26" s="350"/>
      <c r="CV26" s="349"/>
      <c r="CW26" s="350"/>
      <c r="CX26" s="351">
        <f t="shared" si="4"/>
        <v>100</v>
      </c>
      <c r="CY26" s="352">
        <f>(W26+Y26+AA26)/3</f>
        <v>16.25</v>
      </c>
      <c r="CZ26" s="368">
        <f t="shared" si="5"/>
        <v>37188</v>
      </c>
    </row>
    <row r="27" spans="1:104" ht="16.2" thickBot="1" x14ac:dyDescent="0.35">
      <c r="A27" s="410"/>
      <c r="B27" s="410"/>
      <c r="C27" s="411"/>
      <c r="D27" s="411"/>
      <c r="E27" s="489"/>
      <c r="F27" s="393"/>
      <c r="G27" s="490"/>
      <c r="H27" s="384"/>
      <c r="I27" s="491"/>
      <c r="J27" s="492"/>
      <c r="K27" s="493">
        <f t="shared" si="3"/>
        <v>0</v>
      </c>
      <c r="L27" s="51"/>
      <c r="M27" s="52" t="s">
        <v>39</v>
      </c>
      <c r="N27" s="91" t="s">
        <v>9</v>
      </c>
      <c r="O27" s="46" t="s">
        <v>16</v>
      </c>
      <c r="P27" s="49"/>
      <c r="Q27" s="49"/>
      <c r="R27" s="452">
        <v>0</v>
      </c>
      <c r="S27" s="482">
        <f>'Zone J'!CF24</f>
        <v>41.06111111111111</v>
      </c>
      <c r="U27" s="368">
        <f t="shared" si="7"/>
        <v>37189</v>
      </c>
      <c r="V27" s="345">
        <v>50</v>
      </c>
      <c r="W27" s="346">
        <v>24.5</v>
      </c>
      <c r="X27" s="345">
        <v>50</v>
      </c>
      <c r="Y27" s="346">
        <v>24.25</v>
      </c>
      <c r="Z27" s="345"/>
      <c r="AA27" s="344"/>
      <c r="AB27" s="342"/>
      <c r="AC27" s="359"/>
      <c r="AD27" s="345"/>
      <c r="AE27" s="346"/>
      <c r="AF27" s="345"/>
      <c r="AG27" s="344"/>
      <c r="AH27" s="345"/>
      <c r="AI27" s="346"/>
      <c r="AJ27" s="345"/>
      <c r="AK27" s="346"/>
      <c r="AL27" s="345"/>
      <c r="AM27" s="346"/>
      <c r="AN27" s="345"/>
      <c r="AO27" s="346"/>
      <c r="AP27" s="345"/>
      <c r="AQ27" s="346"/>
      <c r="AR27" s="345"/>
      <c r="AS27" s="364"/>
      <c r="AT27" s="355"/>
      <c r="AU27" s="356"/>
      <c r="AV27" s="345"/>
      <c r="AW27" s="346"/>
      <c r="AX27" s="349"/>
      <c r="AY27" s="350"/>
      <c r="AZ27" s="349"/>
      <c r="BA27" s="350"/>
      <c r="BB27" s="349"/>
      <c r="BC27" s="350"/>
      <c r="BD27" s="349"/>
      <c r="BE27" s="350"/>
      <c r="BF27" s="349"/>
      <c r="BG27" s="350"/>
      <c r="BH27" s="349"/>
      <c r="BI27" s="350"/>
      <c r="BJ27" s="349"/>
      <c r="BK27" s="350"/>
      <c r="BL27" s="349"/>
      <c r="BM27" s="350"/>
      <c r="BN27" s="349"/>
      <c r="BO27" s="350"/>
      <c r="BP27" s="349"/>
      <c r="BQ27" s="350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49"/>
      <c r="CK27" s="350"/>
      <c r="CL27" s="349"/>
      <c r="CM27" s="350"/>
      <c r="CN27" s="349"/>
      <c r="CO27" s="350"/>
      <c r="CP27" s="349"/>
      <c r="CQ27" s="350"/>
      <c r="CR27" s="349"/>
      <c r="CS27" s="350"/>
      <c r="CT27" s="349"/>
      <c r="CU27" s="350"/>
      <c r="CV27" s="349"/>
      <c r="CW27" s="350"/>
      <c r="CX27" s="351">
        <f t="shared" si="4"/>
        <v>100</v>
      </c>
      <c r="CY27" s="352">
        <f>(W27+Y27+AA27)/3</f>
        <v>16.25</v>
      </c>
      <c r="CZ27" s="368">
        <f t="shared" si="5"/>
        <v>37189</v>
      </c>
    </row>
    <row r="28" spans="1:104" ht="16.2" thickBot="1" x14ac:dyDescent="0.35">
      <c r="A28" s="219" t="s">
        <v>27</v>
      </c>
      <c r="B28" s="219" t="s">
        <v>27</v>
      </c>
      <c r="C28" s="211">
        <f t="shared" ref="C28:H28" si="12">SUM(C7:C27)/21</f>
        <v>30.261904761904763</v>
      </c>
      <c r="D28" s="211">
        <f t="shared" si="12"/>
        <v>31.023809523809526</v>
      </c>
      <c r="E28" s="211">
        <f t="shared" si="12"/>
        <v>30.642857142857142</v>
      </c>
      <c r="F28" s="211">
        <f t="shared" si="12"/>
        <v>0</v>
      </c>
      <c r="G28" s="211">
        <f t="shared" si="12"/>
        <v>30.642857142857142</v>
      </c>
      <c r="H28" s="216">
        <f t="shared" si="12"/>
        <v>1174.3614535492707</v>
      </c>
      <c r="I28" s="216"/>
      <c r="J28" s="216"/>
      <c r="K28" s="213">
        <f>SUM(K7:K27)</f>
        <v>236000</v>
      </c>
      <c r="L28" s="51"/>
      <c r="M28" s="53" t="s">
        <v>29</v>
      </c>
      <c r="N28" s="92">
        <v>14</v>
      </c>
      <c r="O28" s="94">
        <v>14.5</v>
      </c>
      <c r="P28" s="22"/>
      <c r="Q28" s="22"/>
      <c r="R28" s="453">
        <v>0</v>
      </c>
      <c r="S28" s="483">
        <f>'Zone J'!CF25</f>
        <v>41.06111111111111</v>
      </c>
      <c r="U28" s="368">
        <f t="shared" si="7"/>
        <v>37190</v>
      </c>
      <c r="V28" s="342">
        <v>50</v>
      </c>
      <c r="W28" s="367">
        <v>24.5</v>
      </c>
      <c r="X28" s="345">
        <v>50</v>
      </c>
      <c r="Y28" s="346">
        <v>24.25</v>
      </c>
      <c r="Z28" s="345"/>
      <c r="AA28" s="344"/>
      <c r="AB28" s="345"/>
      <c r="AC28" s="346"/>
      <c r="AD28" s="345"/>
      <c r="AE28" s="346"/>
      <c r="AF28" s="345"/>
      <c r="AG28" s="344"/>
      <c r="AH28" s="345"/>
      <c r="AI28" s="346"/>
      <c r="AJ28" s="345"/>
      <c r="AK28" s="346"/>
      <c r="AL28" s="345"/>
      <c r="AM28" s="346"/>
      <c r="AN28" s="345"/>
      <c r="AO28" s="346"/>
      <c r="AP28" s="345"/>
      <c r="AQ28" s="346"/>
      <c r="AR28" s="345"/>
      <c r="AS28" s="364"/>
      <c r="AT28" s="355"/>
      <c r="AU28" s="356"/>
      <c r="AV28" s="345"/>
      <c r="AW28" s="346"/>
      <c r="AX28" s="349"/>
      <c r="AY28" s="350"/>
      <c r="AZ28" s="349"/>
      <c r="BA28" s="350"/>
      <c r="BB28" s="349"/>
      <c r="BC28" s="350"/>
      <c r="BD28" s="349"/>
      <c r="BE28" s="350"/>
      <c r="BF28" s="349"/>
      <c r="BG28" s="350"/>
      <c r="BH28" s="349"/>
      <c r="BI28" s="350"/>
      <c r="BJ28" s="349"/>
      <c r="BK28" s="350"/>
      <c r="BL28" s="349"/>
      <c r="BM28" s="350"/>
      <c r="BN28" s="349"/>
      <c r="BO28" s="350"/>
      <c r="BP28" s="349"/>
      <c r="BQ28" s="350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49"/>
      <c r="CK28" s="350"/>
      <c r="CL28" s="349"/>
      <c r="CM28" s="350"/>
      <c r="CN28" s="349"/>
      <c r="CO28" s="350"/>
      <c r="CP28" s="349"/>
      <c r="CQ28" s="350"/>
      <c r="CR28" s="349"/>
      <c r="CS28" s="350"/>
      <c r="CT28" s="349"/>
      <c r="CU28" s="350"/>
      <c r="CV28" s="349"/>
      <c r="CW28" s="350"/>
      <c r="CX28" s="351">
        <f t="shared" si="4"/>
        <v>100</v>
      </c>
      <c r="CY28" s="352">
        <f>(W28+Y28+AA28)/3</f>
        <v>16.25</v>
      </c>
      <c r="CZ28" s="368">
        <f t="shared" si="5"/>
        <v>37190</v>
      </c>
    </row>
    <row r="29" spans="1:104" ht="16.2" thickBot="1" x14ac:dyDescent="0.35">
      <c r="A29" s="155"/>
      <c r="B29" s="155"/>
      <c r="C29" s="157"/>
      <c r="D29" s="157"/>
      <c r="E29" s="179"/>
      <c r="F29" s="175"/>
      <c r="G29" s="180"/>
      <c r="H29" s="192"/>
      <c r="I29" s="204"/>
      <c r="J29" s="429"/>
      <c r="K29" s="210"/>
      <c r="L29" s="51"/>
      <c r="M29" s="55" t="s">
        <v>30</v>
      </c>
      <c r="N29" s="93">
        <v>23</v>
      </c>
      <c r="O29" s="95">
        <v>22.75</v>
      </c>
      <c r="P29" s="22"/>
      <c r="Q29" s="22"/>
      <c r="R29" s="441"/>
      <c r="S29" s="263"/>
      <c r="U29" s="368">
        <f t="shared" si="7"/>
        <v>0</v>
      </c>
      <c r="V29" s="345">
        <v>50</v>
      </c>
      <c r="W29" s="346">
        <v>24.5</v>
      </c>
      <c r="X29" s="345">
        <v>50</v>
      </c>
      <c r="Y29" s="346">
        <v>24.25</v>
      </c>
      <c r="Z29" s="345"/>
      <c r="AA29" s="344"/>
      <c r="AB29" s="342"/>
      <c r="AC29" s="359"/>
      <c r="AD29" s="345"/>
      <c r="AE29" s="346"/>
      <c r="AF29" s="345"/>
      <c r="AG29" s="344"/>
      <c r="AH29" s="345"/>
      <c r="AI29" s="346"/>
      <c r="AJ29" s="345"/>
      <c r="AK29" s="346"/>
      <c r="AL29" s="345"/>
      <c r="AM29" s="346"/>
      <c r="AN29" s="345"/>
      <c r="AO29" s="346"/>
      <c r="AP29" s="345"/>
      <c r="AQ29" s="346"/>
      <c r="AR29" s="345"/>
      <c r="AS29" s="364"/>
      <c r="AT29" s="355"/>
      <c r="AU29" s="356"/>
      <c r="AV29" s="357"/>
      <c r="AW29" s="350"/>
      <c r="AX29" s="349"/>
      <c r="AY29" s="350"/>
      <c r="AZ29" s="349"/>
      <c r="BA29" s="350"/>
      <c r="BB29" s="349"/>
      <c r="BC29" s="350"/>
      <c r="BD29" s="349"/>
      <c r="BE29" s="350"/>
      <c r="BF29" s="349"/>
      <c r="BG29" s="350"/>
      <c r="BH29" s="349"/>
      <c r="BI29" s="350"/>
      <c r="BJ29" s="349"/>
      <c r="BK29" s="350"/>
      <c r="BL29" s="349"/>
      <c r="BM29" s="350"/>
      <c r="BN29" s="349"/>
      <c r="BO29" s="350"/>
      <c r="BP29" s="349"/>
      <c r="BQ29" s="350"/>
      <c r="BR29" s="349"/>
      <c r="BS29" s="350"/>
      <c r="BT29" s="349"/>
      <c r="BU29" s="350"/>
      <c r="BV29" s="349"/>
      <c r="BW29" s="350"/>
      <c r="BX29" s="349"/>
      <c r="BY29" s="350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49"/>
      <c r="CK29" s="350"/>
      <c r="CL29" s="349"/>
      <c r="CM29" s="350"/>
      <c r="CN29" s="349"/>
      <c r="CO29" s="350"/>
      <c r="CP29" s="349"/>
      <c r="CQ29" s="350"/>
      <c r="CR29" s="349"/>
      <c r="CS29" s="350"/>
      <c r="CT29" s="349"/>
      <c r="CU29" s="350"/>
      <c r="CV29" s="349"/>
      <c r="CW29" s="350"/>
      <c r="CX29" s="351"/>
      <c r="CY29" s="352"/>
      <c r="CZ29" s="368"/>
    </row>
    <row r="30" spans="1:104" ht="16.2" thickBot="1" x14ac:dyDescent="0.35">
      <c r="A30" s="22"/>
      <c r="B30" s="22"/>
      <c r="C30" s="59"/>
      <c r="D30" s="22"/>
      <c r="E30" s="96"/>
      <c r="F30" s="22"/>
      <c r="G30" s="206"/>
      <c r="H30" s="207"/>
      <c r="I30" s="208"/>
      <c r="J30" s="208"/>
      <c r="K30" s="209"/>
      <c r="L30" s="51"/>
      <c r="M30" s="57"/>
      <c r="N30" s="90">
        <f>((N28*8)+(N29*16))/24</f>
        <v>20</v>
      </c>
      <c r="O30" s="90">
        <f>((O28*8)+(O29*16))/24</f>
        <v>20</v>
      </c>
      <c r="P30" s="22"/>
      <c r="Q30" s="22"/>
      <c r="R30" s="442"/>
      <c r="S30" s="263"/>
      <c r="U30" s="368" t="str">
        <f t="shared" si="7"/>
        <v>TOTAL</v>
      </c>
      <c r="V30" s="342">
        <v>50</v>
      </c>
      <c r="W30" s="367">
        <v>24.5</v>
      </c>
      <c r="X30" s="345">
        <v>50</v>
      </c>
      <c r="Y30" s="346">
        <v>24.25</v>
      </c>
      <c r="Z30" s="345"/>
      <c r="AA30" s="344"/>
      <c r="AB30" s="345"/>
      <c r="AC30" s="346"/>
      <c r="AD30" s="345"/>
      <c r="AE30" s="346"/>
      <c r="AF30" s="345"/>
      <c r="AG30" s="344"/>
      <c r="AH30" s="471"/>
      <c r="AI30" s="360"/>
      <c r="AJ30" s="471"/>
      <c r="AK30" s="360"/>
      <c r="AL30" s="471"/>
      <c r="AM30" s="360"/>
      <c r="AN30" s="471"/>
      <c r="AO30" s="360"/>
      <c r="AP30" s="471"/>
      <c r="AQ30" s="360"/>
      <c r="AR30" s="471"/>
      <c r="AS30" s="473"/>
      <c r="AT30" s="474"/>
      <c r="AU30" s="475"/>
      <c r="AV30" s="476"/>
      <c r="AW30" s="477"/>
      <c r="AX30" s="478"/>
      <c r="AY30" s="477"/>
      <c r="AZ30" s="478"/>
      <c r="BA30" s="477"/>
      <c r="BB30" s="478"/>
      <c r="BC30" s="477"/>
      <c r="BD30" s="478"/>
      <c r="BE30" s="477"/>
      <c r="BF30" s="478"/>
      <c r="BG30" s="477"/>
      <c r="BH30" s="478"/>
      <c r="BI30" s="477"/>
      <c r="BJ30" s="478"/>
      <c r="BK30" s="477"/>
      <c r="BL30" s="478"/>
      <c r="BM30" s="477"/>
      <c r="BN30" s="478"/>
      <c r="BO30" s="477"/>
      <c r="BP30" s="478"/>
      <c r="BQ30" s="477"/>
      <c r="BR30" s="478"/>
      <c r="BS30" s="477"/>
      <c r="BT30" s="478"/>
      <c r="BU30" s="477"/>
      <c r="BV30" s="478"/>
      <c r="BW30" s="477"/>
      <c r="BX30" s="478"/>
      <c r="BY30" s="477"/>
      <c r="BZ30" s="478"/>
      <c r="CA30" s="477"/>
      <c r="CB30" s="478"/>
      <c r="CC30" s="477"/>
      <c r="CD30" s="478"/>
      <c r="CE30" s="477"/>
      <c r="CF30" s="478"/>
      <c r="CG30" s="477"/>
      <c r="CH30" s="478"/>
      <c r="CI30" s="477"/>
      <c r="CJ30" s="478"/>
      <c r="CK30" s="477"/>
      <c r="CL30" s="478"/>
      <c r="CM30" s="477"/>
      <c r="CN30" s="478"/>
      <c r="CO30" s="477"/>
      <c r="CP30" s="478"/>
      <c r="CQ30" s="477"/>
      <c r="CR30" s="478"/>
      <c r="CS30" s="477"/>
      <c r="CT30" s="478"/>
      <c r="CU30" s="477"/>
      <c r="CV30" s="478"/>
      <c r="CW30" s="477"/>
      <c r="CX30" s="479"/>
      <c r="CY30" s="480"/>
      <c r="CZ30" s="368"/>
    </row>
    <row r="31" spans="1:104" ht="16.2" thickBot="1" x14ac:dyDescent="0.35">
      <c r="A31" s="166"/>
      <c r="B31" s="166"/>
      <c r="C31" s="157"/>
      <c r="D31" s="157"/>
      <c r="E31" s="167"/>
      <c r="F31" s="156"/>
      <c r="G31" s="168"/>
      <c r="H31" s="159"/>
      <c r="I31" s="159"/>
      <c r="J31" s="430"/>
      <c r="K31" s="169"/>
      <c r="L31" s="51"/>
      <c r="M31" s="22"/>
      <c r="N31" s="51"/>
      <c r="O31" s="47"/>
      <c r="P31" s="47"/>
      <c r="Q31" s="47"/>
      <c r="R31" s="442"/>
      <c r="S31" s="263"/>
      <c r="U31" s="368">
        <f t="shared" si="7"/>
        <v>0</v>
      </c>
      <c r="V31" s="345">
        <v>50</v>
      </c>
      <c r="W31" s="346">
        <v>24.5</v>
      </c>
      <c r="X31" s="345">
        <v>50</v>
      </c>
      <c r="Y31" s="346">
        <v>24.25</v>
      </c>
      <c r="Z31" s="345"/>
      <c r="AA31" s="344"/>
      <c r="AB31" s="345"/>
      <c r="AC31" s="346"/>
      <c r="AD31" s="345"/>
      <c r="AE31" s="346"/>
      <c r="AF31" s="345"/>
      <c r="AG31" s="344"/>
      <c r="AH31" s="471"/>
      <c r="AI31" s="360"/>
      <c r="AJ31" s="471"/>
      <c r="AK31" s="360"/>
      <c r="AL31" s="471"/>
      <c r="AM31" s="360"/>
      <c r="AN31" s="471"/>
      <c r="AO31" s="360"/>
      <c r="AP31" s="471"/>
      <c r="AQ31" s="360"/>
      <c r="AR31" s="471"/>
      <c r="AS31" s="473"/>
      <c r="AT31" s="474"/>
      <c r="AU31" s="475"/>
      <c r="AV31" s="476"/>
      <c r="AW31" s="477"/>
      <c r="AX31" s="478"/>
      <c r="AY31" s="477"/>
      <c r="AZ31" s="478"/>
      <c r="BA31" s="477"/>
      <c r="BB31" s="478"/>
      <c r="BC31" s="477"/>
      <c r="BD31" s="478"/>
      <c r="BE31" s="477"/>
      <c r="BF31" s="478"/>
      <c r="BG31" s="477"/>
      <c r="BH31" s="478"/>
      <c r="BI31" s="477"/>
      <c r="BJ31" s="478"/>
      <c r="BK31" s="477"/>
      <c r="BL31" s="478"/>
      <c r="BM31" s="477"/>
      <c r="BN31" s="478"/>
      <c r="BO31" s="477"/>
      <c r="BP31" s="478"/>
      <c r="BQ31" s="477"/>
      <c r="BR31" s="478"/>
      <c r="BS31" s="477"/>
      <c r="BT31" s="478"/>
      <c r="BU31" s="477"/>
      <c r="BV31" s="478"/>
      <c r="BW31" s="477"/>
      <c r="BX31" s="478"/>
      <c r="BY31" s="477"/>
      <c r="BZ31" s="478"/>
      <c r="CA31" s="477"/>
      <c r="CB31" s="478"/>
      <c r="CC31" s="477"/>
      <c r="CD31" s="478"/>
      <c r="CE31" s="477"/>
      <c r="CF31" s="478"/>
      <c r="CG31" s="477"/>
      <c r="CH31" s="478"/>
      <c r="CI31" s="477"/>
      <c r="CJ31" s="478"/>
      <c r="CK31" s="477"/>
      <c r="CL31" s="478"/>
      <c r="CM31" s="477"/>
      <c r="CN31" s="478"/>
      <c r="CO31" s="477"/>
      <c r="CP31" s="478"/>
      <c r="CQ31" s="477"/>
      <c r="CR31" s="478"/>
      <c r="CS31" s="477"/>
      <c r="CT31" s="478"/>
      <c r="CU31" s="477"/>
      <c r="CV31" s="478"/>
      <c r="CW31" s="477"/>
      <c r="CX31" s="479"/>
      <c r="CY31" s="480"/>
      <c r="CZ31" s="368"/>
    </row>
    <row r="32" spans="1:104" ht="16.2" thickBot="1" x14ac:dyDescent="0.35">
      <c r="B32" s="22"/>
      <c r="C32" s="47"/>
      <c r="D32" s="47"/>
      <c r="E32" s="151"/>
      <c r="F32" s="22"/>
      <c r="G32" s="160" t="s">
        <v>27</v>
      </c>
      <c r="H32" s="161" t="s">
        <v>37</v>
      </c>
      <c r="I32" s="162" t="s">
        <v>38</v>
      </c>
      <c r="J32" s="431"/>
      <c r="K32" s="163">
        <f>SUM(K6+K28)</f>
        <v>236000</v>
      </c>
      <c r="L32" s="51"/>
      <c r="M32" s="51"/>
      <c r="N32" s="22"/>
      <c r="Q32" s="58"/>
      <c r="R32" s="496"/>
      <c r="S32" s="496"/>
      <c r="T32" s="496"/>
      <c r="U32" s="496"/>
      <c r="V32" s="496"/>
      <c r="W32" s="496"/>
      <c r="X32" s="460"/>
      <c r="Y32" s="459"/>
      <c r="Z32" s="460"/>
      <c r="AA32" s="459"/>
      <c r="AB32" s="460"/>
      <c r="AC32" s="459"/>
      <c r="AD32" s="460"/>
      <c r="AE32" s="459"/>
      <c r="AF32" s="460"/>
      <c r="AG32" s="467"/>
      <c r="AH32" s="460"/>
      <c r="AI32" s="459"/>
      <c r="AJ32" s="460"/>
      <c r="AK32" s="459"/>
      <c r="AL32" s="460"/>
      <c r="AM32" s="459"/>
      <c r="AN32" s="460"/>
      <c r="AO32" s="459"/>
      <c r="AP32" s="460"/>
      <c r="AQ32" s="459"/>
      <c r="AR32" s="460"/>
      <c r="AS32" s="459"/>
      <c r="AT32" s="460"/>
      <c r="AU32" s="463"/>
      <c r="AV32" s="460"/>
      <c r="AW32" s="459"/>
      <c r="AX32" s="460"/>
      <c r="AY32" s="459"/>
      <c r="AZ32" s="460"/>
      <c r="BA32" s="459"/>
      <c r="BB32" s="460"/>
      <c r="BC32" s="459"/>
      <c r="BD32" s="460"/>
      <c r="BE32" s="459"/>
      <c r="BF32" s="460"/>
      <c r="BG32" s="459"/>
      <c r="BH32" s="460"/>
      <c r="BI32" s="459"/>
      <c r="BJ32" s="460"/>
      <c r="BK32" s="459"/>
      <c r="BL32" s="460"/>
      <c r="BM32" s="459"/>
      <c r="BN32" s="460"/>
      <c r="BO32" s="459"/>
      <c r="BP32" s="460"/>
      <c r="BQ32" s="459"/>
      <c r="BR32" s="460"/>
      <c r="BS32" s="459"/>
      <c r="BT32" s="460"/>
      <c r="BU32" s="459"/>
      <c r="BV32" s="460"/>
      <c r="BW32" s="459"/>
      <c r="BX32" s="460"/>
      <c r="BY32" s="459"/>
      <c r="BZ32" s="460"/>
      <c r="CA32" s="459"/>
      <c r="CB32" s="460"/>
      <c r="CC32" s="459"/>
      <c r="CD32" s="460"/>
      <c r="CE32" s="459"/>
      <c r="CF32" s="460"/>
      <c r="CG32" s="459"/>
      <c r="CH32" s="460"/>
      <c r="CI32" s="459"/>
      <c r="CJ32" s="460"/>
      <c r="CK32" s="459"/>
      <c r="CL32" s="460"/>
      <c r="CM32" s="459"/>
      <c r="CN32" s="460"/>
      <c r="CO32" s="459"/>
      <c r="CP32" s="460"/>
      <c r="CQ32" s="459"/>
      <c r="CR32" s="460"/>
      <c r="CS32" s="459"/>
      <c r="CT32" s="460"/>
      <c r="CU32" s="459"/>
      <c r="CV32" s="460"/>
      <c r="CW32" s="459"/>
      <c r="CX32" s="464"/>
      <c r="CY32" s="465"/>
      <c r="CZ32" s="466"/>
    </row>
    <row r="33" spans="2:104" ht="16.2" thickBot="1" x14ac:dyDescent="0.35">
      <c r="B33" s="51"/>
      <c r="C33" s="59"/>
      <c r="D33" s="51"/>
      <c r="E33" s="60"/>
      <c r="F33" s="51"/>
      <c r="G33" s="22"/>
      <c r="H33" s="22"/>
      <c r="I33" s="22"/>
      <c r="J33" s="22"/>
      <c r="K33" s="22"/>
      <c r="L33" s="51"/>
      <c r="M33" s="51"/>
      <c r="N33" s="22"/>
      <c r="O33" s="58"/>
      <c r="P33" s="58"/>
      <c r="R33" s="225"/>
      <c r="S33" s="497" t="s">
        <v>50</v>
      </c>
      <c r="T33" s="498" t="s">
        <v>312</v>
      </c>
      <c r="U33" s="497" t="s">
        <v>15</v>
      </c>
      <c r="V33" s="499" t="s">
        <v>16</v>
      </c>
      <c r="W33" s="496"/>
      <c r="X33" s="460"/>
      <c r="Y33" s="459"/>
      <c r="Z33" s="460"/>
      <c r="AA33" s="459"/>
      <c r="AB33" s="460"/>
      <c r="AC33" s="459"/>
      <c r="AD33" s="460"/>
      <c r="AE33" s="459"/>
      <c r="AF33" s="460"/>
      <c r="AG33" s="467"/>
      <c r="AH33" s="460"/>
      <c r="AI33" s="459"/>
      <c r="AJ33" s="460"/>
      <c r="AK33" s="459"/>
      <c r="AL33" s="460"/>
      <c r="AM33" s="459"/>
      <c r="AN33" s="460"/>
      <c r="AO33" s="459"/>
      <c r="AP33" s="460"/>
      <c r="AQ33" s="459"/>
      <c r="AR33" s="460"/>
      <c r="AS33" s="459"/>
      <c r="AT33" s="460"/>
      <c r="AU33" s="463"/>
      <c r="AV33" s="460"/>
      <c r="AW33" s="459"/>
      <c r="AX33" s="460"/>
      <c r="AY33" s="459"/>
      <c r="AZ33" s="460"/>
      <c r="BA33" s="459"/>
      <c r="BB33" s="460"/>
      <c r="BC33" s="459"/>
      <c r="BD33" s="460"/>
      <c r="BE33" s="459"/>
      <c r="BF33" s="460"/>
      <c r="BG33" s="459"/>
      <c r="BH33" s="460"/>
      <c r="BI33" s="459"/>
      <c r="BJ33" s="460"/>
      <c r="BK33" s="459"/>
      <c r="BL33" s="460"/>
      <c r="BM33" s="459"/>
      <c r="BN33" s="460"/>
      <c r="BO33" s="459"/>
      <c r="BP33" s="460"/>
      <c r="BQ33" s="459"/>
      <c r="BR33" s="460"/>
      <c r="BS33" s="459"/>
      <c r="BT33" s="460"/>
      <c r="BU33" s="459"/>
      <c r="BV33" s="460"/>
      <c r="BW33" s="459"/>
      <c r="BX33" s="460"/>
      <c r="BY33" s="459"/>
      <c r="BZ33" s="460"/>
      <c r="CA33" s="459"/>
      <c r="CB33" s="460"/>
      <c r="CC33" s="459"/>
      <c r="CD33" s="460"/>
      <c r="CE33" s="459"/>
      <c r="CF33" s="460"/>
      <c r="CG33" s="459"/>
      <c r="CH33" s="460"/>
      <c r="CI33" s="459"/>
      <c r="CJ33" s="460"/>
      <c r="CK33" s="459"/>
      <c r="CL33" s="460"/>
      <c r="CM33" s="459"/>
      <c r="CN33" s="460"/>
      <c r="CO33" s="459"/>
      <c r="CP33" s="460"/>
      <c r="CQ33" s="459"/>
      <c r="CR33" s="460"/>
      <c r="CS33" s="459"/>
      <c r="CT33" s="460"/>
      <c r="CU33" s="459"/>
      <c r="CV33" s="460"/>
      <c r="CW33" s="459"/>
      <c r="CX33" s="464"/>
      <c r="CY33" s="465"/>
      <c r="CZ33" s="466"/>
    </row>
    <row r="34" spans="2:104" ht="16.2" thickBot="1" x14ac:dyDescent="0.35">
      <c r="C34" s="56"/>
      <c r="E34" s="50"/>
      <c r="N34" s="22"/>
      <c r="O34" s="58"/>
      <c r="P34" s="58"/>
      <c r="R34" s="496"/>
      <c r="S34" s="500" t="s">
        <v>313</v>
      </c>
      <c r="T34" s="64">
        <v>21</v>
      </c>
      <c r="U34" s="501">
        <v>24</v>
      </c>
      <c r="V34" s="502">
        <v>24.5</v>
      </c>
      <c r="W34" s="496"/>
      <c r="X34" s="460"/>
      <c r="Y34" s="459"/>
      <c r="Z34" s="460"/>
      <c r="AA34" s="459"/>
      <c r="AB34" s="460"/>
      <c r="AC34" s="459"/>
      <c r="AD34" s="460"/>
      <c r="AE34" s="459"/>
      <c r="AF34" s="460"/>
      <c r="AG34" s="467"/>
      <c r="AH34" s="460"/>
      <c r="AI34" s="459"/>
      <c r="AJ34" s="460"/>
      <c r="AK34" s="459"/>
      <c r="AL34" s="460"/>
      <c r="AM34" s="459"/>
      <c r="AN34" s="460"/>
      <c r="AO34" s="459"/>
      <c r="AP34" s="460"/>
      <c r="AQ34" s="459"/>
      <c r="AR34" s="460"/>
      <c r="AS34" s="459"/>
      <c r="AT34" s="460"/>
      <c r="AU34" s="463"/>
      <c r="AV34" s="460"/>
      <c r="AW34" s="459"/>
      <c r="AX34" s="460"/>
      <c r="AY34" s="459"/>
      <c r="AZ34" s="460"/>
      <c r="BA34" s="459"/>
      <c r="BB34" s="460"/>
      <c r="BC34" s="459"/>
      <c r="BD34" s="460"/>
      <c r="BE34" s="459"/>
      <c r="BF34" s="460"/>
      <c r="BG34" s="459"/>
      <c r="BH34" s="460"/>
      <c r="BI34" s="459"/>
      <c r="BJ34" s="460"/>
      <c r="BK34" s="459"/>
      <c r="BL34" s="460"/>
      <c r="BM34" s="459"/>
      <c r="BN34" s="460"/>
      <c r="BO34" s="459"/>
      <c r="BP34" s="460"/>
      <c r="BQ34" s="459"/>
      <c r="BR34" s="460"/>
      <c r="BS34" s="459"/>
      <c r="BT34" s="460"/>
      <c r="BU34" s="459"/>
      <c r="BV34" s="460"/>
      <c r="BW34" s="459"/>
      <c r="BX34" s="460"/>
      <c r="BY34" s="459"/>
      <c r="BZ34" s="460"/>
      <c r="CA34" s="459"/>
      <c r="CB34" s="460"/>
      <c r="CC34" s="459"/>
      <c r="CD34" s="460"/>
      <c r="CE34" s="459"/>
      <c r="CF34" s="460"/>
      <c r="CG34" s="459"/>
      <c r="CH34" s="460"/>
      <c r="CI34" s="459"/>
      <c r="CJ34" s="460"/>
      <c r="CK34" s="459"/>
      <c r="CL34" s="460"/>
      <c r="CM34" s="459"/>
      <c r="CN34" s="460"/>
      <c r="CO34" s="459"/>
      <c r="CP34" s="460"/>
      <c r="CQ34" s="459"/>
      <c r="CR34" s="460"/>
      <c r="CS34" s="459"/>
      <c r="CT34" s="460"/>
      <c r="CU34" s="459"/>
      <c r="CV34" s="460"/>
      <c r="CW34" s="459"/>
      <c r="CX34" s="464"/>
      <c r="CY34" s="465"/>
      <c r="CZ34" s="466"/>
    </row>
    <row r="35" spans="2:104" ht="16.2" thickBot="1" x14ac:dyDescent="0.35">
      <c r="C35" s="56"/>
      <c r="E35" s="50"/>
      <c r="R35" s="496"/>
      <c r="S35" s="500" t="s">
        <v>314</v>
      </c>
      <c r="T35" s="65">
        <v>5</v>
      </c>
      <c r="U35" s="501">
        <v>28</v>
      </c>
      <c r="V35" s="502">
        <v>29</v>
      </c>
      <c r="W35" s="496"/>
      <c r="X35" s="460"/>
      <c r="Y35" s="459"/>
      <c r="Z35" s="460"/>
      <c r="AA35" s="459"/>
      <c r="AB35" s="460"/>
      <c r="AC35" s="459"/>
      <c r="AD35" s="460"/>
      <c r="AE35" s="459"/>
      <c r="AF35" s="460"/>
      <c r="AG35" s="467"/>
      <c r="AH35" s="460"/>
      <c r="AI35" s="459"/>
      <c r="AJ35" s="460"/>
      <c r="AK35" s="459"/>
      <c r="AL35" s="460"/>
      <c r="AM35" s="459"/>
      <c r="AN35" s="460"/>
      <c r="AO35" s="459"/>
      <c r="AP35" s="460"/>
      <c r="AQ35" s="459"/>
      <c r="AR35" s="460"/>
      <c r="AS35" s="459"/>
      <c r="AT35" s="460"/>
      <c r="AU35" s="463"/>
      <c r="AV35" s="460"/>
      <c r="AW35" s="459"/>
      <c r="AX35" s="460"/>
      <c r="AY35" s="459"/>
      <c r="AZ35" s="460"/>
      <c r="BA35" s="459"/>
      <c r="BB35" s="460"/>
      <c r="BC35" s="459"/>
      <c r="BD35" s="460"/>
      <c r="BE35" s="459"/>
      <c r="BF35" s="460"/>
      <c r="BG35" s="459"/>
      <c r="BH35" s="460"/>
      <c r="BI35" s="459"/>
      <c r="BJ35" s="460"/>
      <c r="BK35" s="459"/>
      <c r="BL35" s="460"/>
      <c r="BM35" s="459"/>
      <c r="BN35" s="460"/>
      <c r="BO35" s="459"/>
      <c r="BP35" s="460"/>
      <c r="BQ35" s="459"/>
      <c r="BR35" s="460"/>
      <c r="BS35" s="459"/>
      <c r="BT35" s="460"/>
      <c r="BU35" s="459"/>
      <c r="BV35" s="460"/>
      <c r="BW35" s="459"/>
      <c r="BX35" s="460"/>
      <c r="BY35" s="459"/>
      <c r="BZ35" s="460"/>
      <c r="CA35" s="459"/>
      <c r="CB35" s="460"/>
      <c r="CC35" s="459"/>
      <c r="CD35" s="460"/>
      <c r="CE35" s="459"/>
      <c r="CF35" s="460"/>
      <c r="CG35" s="459"/>
      <c r="CH35" s="460"/>
      <c r="CI35" s="459"/>
      <c r="CJ35" s="460"/>
      <c r="CK35" s="459"/>
      <c r="CL35" s="460"/>
      <c r="CM35" s="459"/>
      <c r="CN35" s="460"/>
      <c r="CO35" s="459"/>
      <c r="CP35" s="460"/>
      <c r="CQ35" s="459"/>
      <c r="CR35" s="460"/>
      <c r="CS35" s="459"/>
      <c r="CT35" s="460"/>
      <c r="CU35" s="459"/>
      <c r="CV35" s="460"/>
      <c r="CW35" s="459"/>
      <c r="CX35" s="464"/>
      <c r="CY35" s="465"/>
      <c r="CZ35" s="466"/>
    </row>
    <row r="36" spans="2:104" ht="16.2" thickBot="1" x14ac:dyDescent="0.35">
      <c r="C36" s="56"/>
      <c r="E36" s="50"/>
      <c r="R36" s="496"/>
      <c r="S36" s="497"/>
      <c r="T36" s="503" t="s">
        <v>27</v>
      </c>
      <c r="U36" s="504">
        <v>24.583333333333332</v>
      </c>
      <c r="V36" s="504">
        <v>26.803921568627452</v>
      </c>
      <c r="W36" s="496"/>
      <c r="X36" s="460"/>
      <c r="Y36" s="459"/>
      <c r="Z36" s="460"/>
      <c r="AA36" s="459"/>
      <c r="AB36" s="460"/>
      <c r="AC36" s="459"/>
      <c r="AD36" s="460"/>
      <c r="AE36" s="459"/>
      <c r="AF36" s="460"/>
      <c r="AG36" s="467"/>
      <c r="AH36" s="460"/>
      <c r="AI36" s="459"/>
      <c r="AJ36" s="460"/>
      <c r="AK36" s="459"/>
      <c r="AL36" s="460"/>
      <c r="AM36" s="459"/>
      <c r="AN36" s="460"/>
      <c r="AO36" s="459"/>
      <c r="AP36" s="460"/>
      <c r="AQ36" s="459"/>
      <c r="AR36" s="460"/>
      <c r="AS36" s="459"/>
      <c r="AT36" s="460"/>
      <c r="AU36" s="463"/>
      <c r="AV36" s="460"/>
      <c r="AW36" s="459"/>
      <c r="AX36" s="460"/>
      <c r="AY36" s="459"/>
      <c r="AZ36" s="460"/>
      <c r="BA36" s="459"/>
      <c r="BB36" s="460"/>
      <c r="BC36" s="459"/>
      <c r="BD36" s="460"/>
      <c r="BE36" s="459"/>
      <c r="BF36" s="460"/>
      <c r="BG36" s="459"/>
      <c r="BH36" s="460"/>
      <c r="BI36" s="459"/>
      <c r="BJ36" s="460"/>
      <c r="BK36" s="459"/>
      <c r="BL36" s="460"/>
      <c r="BM36" s="459"/>
      <c r="BN36" s="460"/>
      <c r="BO36" s="459"/>
      <c r="BP36" s="460"/>
      <c r="BQ36" s="459"/>
      <c r="BR36" s="460"/>
      <c r="BS36" s="459"/>
      <c r="BT36" s="460"/>
      <c r="BU36" s="459"/>
      <c r="BV36" s="460"/>
      <c r="BW36" s="459"/>
      <c r="BX36" s="460"/>
      <c r="BY36" s="459"/>
      <c r="BZ36" s="460"/>
      <c r="CA36" s="459"/>
      <c r="CB36" s="460"/>
      <c r="CC36" s="459"/>
      <c r="CD36" s="460"/>
      <c r="CE36" s="459"/>
      <c r="CF36" s="460"/>
      <c r="CG36" s="459"/>
      <c r="CH36" s="460"/>
      <c r="CI36" s="459"/>
      <c r="CJ36" s="460"/>
      <c r="CK36" s="459"/>
      <c r="CL36" s="460"/>
      <c r="CM36" s="459"/>
      <c r="CN36" s="460"/>
      <c r="CO36" s="459"/>
      <c r="CP36" s="460"/>
      <c r="CQ36" s="459"/>
      <c r="CR36" s="460"/>
      <c r="CS36" s="459"/>
      <c r="CT36" s="460"/>
      <c r="CU36" s="459"/>
      <c r="CV36" s="460"/>
      <c r="CW36" s="459"/>
      <c r="CX36" s="464"/>
      <c r="CY36" s="465"/>
      <c r="CZ36" s="466"/>
    </row>
    <row r="37" spans="2:104" ht="16.2" thickBot="1" x14ac:dyDescent="0.35">
      <c r="C37" s="56"/>
      <c r="E37" s="50"/>
      <c r="R37" s="496"/>
      <c r="S37" s="497" t="s">
        <v>315</v>
      </c>
      <c r="T37" s="503">
        <v>408</v>
      </c>
      <c r="U37" s="101"/>
      <c r="V37" s="44"/>
      <c r="W37" s="496"/>
      <c r="X37" s="460"/>
      <c r="Y37" s="459"/>
      <c r="Z37" s="460"/>
      <c r="AA37" s="468"/>
      <c r="AB37" s="460"/>
      <c r="AC37" s="468"/>
      <c r="AD37" s="460"/>
      <c r="AE37" s="459"/>
      <c r="AF37" s="460"/>
      <c r="AG37" s="459"/>
      <c r="AH37" s="460"/>
      <c r="AI37" s="459"/>
      <c r="AJ37" s="460"/>
      <c r="AK37" s="459"/>
      <c r="AL37" s="460"/>
      <c r="AM37" s="459"/>
      <c r="AN37" s="460"/>
      <c r="AO37" s="459"/>
      <c r="AP37" s="460"/>
      <c r="AQ37" s="459"/>
      <c r="AR37" s="460"/>
      <c r="AS37" s="459"/>
      <c r="AT37" s="460"/>
      <c r="AU37" s="463"/>
      <c r="AV37" s="460"/>
      <c r="AW37" s="459"/>
      <c r="AX37" s="460"/>
      <c r="AY37" s="459"/>
      <c r="AZ37" s="460"/>
      <c r="BA37" s="459"/>
      <c r="BB37" s="460"/>
      <c r="BC37" s="459"/>
      <c r="BD37" s="460"/>
      <c r="BE37" s="459"/>
      <c r="BF37" s="460"/>
      <c r="BG37" s="459"/>
      <c r="BH37" s="460"/>
      <c r="BI37" s="459"/>
      <c r="BJ37" s="460"/>
      <c r="BK37" s="459"/>
      <c r="BL37" s="460"/>
      <c r="BM37" s="459"/>
      <c r="BN37" s="460"/>
      <c r="BO37" s="459"/>
      <c r="BP37" s="460"/>
      <c r="BQ37" s="459"/>
      <c r="BR37" s="460"/>
      <c r="BS37" s="459"/>
      <c r="BT37" s="460"/>
      <c r="BU37" s="459"/>
      <c r="BV37" s="460"/>
      <c r="BW37" s="459"/>
      <c r="BX37" s="460"/>
      <c r="BY37" s="459"/>
      <c r="BZ37" s="460"/>
      <c r="CA37" s="459"/>
      <c r="CB37" s="460"/>
      <c r="CC37" s="459"/>
      <c r="CD37" s="460"/>
      <c r="CE37" s="459"/>
      <c r="CF37" s="460"/>
      <c r="CG37" s="459"/>
      <c r="CH37" s="460"/>
      <c r="CI37" s="459"/>
      <c r="CJ37" s="460"/>
      <c r="CK37" s="459"/>
      <c r="CL37" s="460"/>
      <c r="CM37" s="459"/>
      <c r="CN37" s="460"/>
      <c r="CO37" s="459"/>
      <c r="CP37" s="460"/>
      <c r="CQ37" s="459"/>
      <c r="CR37" s="460"/>
      <c r="CS37" s="459"/>
      <c r="CT37" s="460"/>
      <c r="CU37" s="459"/>
      <c r="CV37" s="460"/>
      <c r="CW37" s="459"/>
      <c r="CX37" s="464"/>
      <c r="CY37" s="465"/>
      <c r="CZ37" s="466"/>
    </row>
    <row r="38" spans="2:104" ht="15.6" x14ac:dyDescent="0.3">
      <c r="C38" s="56"/>
      <c r="E38" s="50"/>
      <c r="R38" s="496"/>
      <c r="S38" s="496"/>
      <c r="T38" s="496"/>
      <c r="U38" s="496"/>
      <c r="V38" s="496"/>
      <c r="W38" s="225"/>
      <c r="X38" s="460"/>
      <c r="Y38" s="459"/>
      <c r="Z38" s="460"/>
      <c r="AA38" s="459"/>
      <c r="AB38" s="460"/>
      <c r="AC38" s="459"/>
      <c r="AD38" s="460"/>
      <c r="AE38" s="459"/>
      <c r="AF38" s="460"/>
      <c r="AG38" s="459"/>
      <c r="AH38" s="460"/>
      <c r="AI38" s="459"/>
      <c r="AJ38" s="460"/>
      <c r="AK38" s="459"/>
      <c r="AL38" s="460"/>
      <c r="AM38" s="459"/>
      <c r="AN38" s="460"/>
      <c r="AO38" s="459"/>
      <c r="AP38" s="460"/>
      <c r="AQ38" s="459"/>
      <c r="AR38" s="460"/>
      <c r="AS38" s="459"/>
      <c r="AT38" s="460"/>
      <c r="AU38" s="463"/>
      <c r="AV38" s="460"/>
      <c r="AW38" s="459"/>
      <c r="AX38" s="460"/>
      <c r="AY38" s="459"/>
      <c r="AZ38" s="460"/>
      <c r="BA38" s="459"/>
      <c r="BB38" s="460"/>
      <c r="BC38" s="459"/>
      <c r="BD38" s="460"/>
      <c r="BE38" s="459"/>
      <c r="BF38" s="460"/>
      <c r="BG38" s="459"/>
      <c r="BH38" s="460"/>
      <c r="BI38" s="459"/>
      <c r="BJ38" s="460"/>
      <c r="BK38" s="459"/>
      <c r="BL38" s="460"/>
      <c r="BM38" s="459"/>
      <c r="BN38" s="460"/>
      <c r="BO38" s="459"/>
      <c r="BP38" s="460"/>
      <c r="BQ38" s="459"/>
      <c r="BR38" s="460"/>
      <c r="BS38" s="459"/>
      <c r="BT38" s="460"/>
      <c r="BU38" s="459"/>
      <c r="BV38" s="460"/>
      <c r="BW38" s="459"/>
      <c r="BX38" s="460"/>
      <c r="BY38" s="459"/>
      <c r="BZ38" s="460"/>
      <c r="CA38" s="459"/>
      <c r="CB38" s="460"/>
      <c r="CC38" s="459"/>
      <c r="CD38" s="460"/>
      <c r="CE38" s="459"/>
      <c r="CF38" s="460"/>
      <c r="CG38" s="459"/>
      <c r="CH38" s="460"/>
      <c r="CI38" s="459"/>
      <c r="CJ38" s="460"/>
      <c r="CK38" s="459"/>
      <c r="CL38" s="460"/>
      <c r="CM38" s="459"/>
      <c r="CN38" s="460"/>
      <c r="CO38" s="459"/>
      <c r="CP38" s="460"/>
      <c r="CQ38" s="459"/>
      <c r="CR38" s="460"/>
      <c r="CS38" s="459"/>
      <c r="CT38" s="460"/>
      <c r="CU38" s="459"/>
      <c r="CV38" s="460"/>
      <c r="CW38" s="459"/>
      <c r="CX38" s="464"/>
      <c r="CY38" s="465"/>
      <c r="CZ38" s="466"/>
    </row>
    <row r="39" spans="2:104" x14ac:dyDescent="0.25">
      <c r="C39" s="56"/>
      <c r="E39" s="50"/>
      <c r="R39" s="496"/>
      <c r="S39" s="496"/>
      <c r="T39" s="496"/>
      <c r="U39" s="496"/>
      <c r="V39" s="496"/>
      <c r="W39" s="496"/>
    </row>
    <row r="40" spans="2:104" ht="13.8" thickBot="1" x14ac:dyDescent="0.3">
      <c r="C40" s="56"/>
      <c r="E40" s="50"/>
      <c r="R40" s="496"/>
      <c r="S40" s="496"/>
      <c r="T40" s="496"/>
      <c r="U40" s="496"/>
      <c r="V40" s="496"/>
      <c r="W40" s="496"/>
    </row>
    <row r="41" spans="2:104" ht="13.8" thickBot="1" x14ac:dyDescent="0.3">
      <c r="C41" s="56"/>
      <c r="E41" s="50"/>
      <c r="R41" s="496"/>
      <c r="S41" s="52" t="s">
        <v>39</v>
      </c>
      <c r="T41" s="91" t="s">
        <v>9</v>
      </c>
      <c r="U41" s="46" t="s">
        <v>16</v>
      </c>
      <c r="V41" s="496"/>
      <c r="W41" s="496"/>
    </row>
    <row r="42" spans="2:104" x14ac:dyDescent="0.25">
      <c r="C42" s="56"/>
      <c r="E42" s="50"/>
      <c r="R42" s="496"/>
      <c r="S42" s="53" t="s">
        <v>29</v>
      </c>
      <c r="T42" s="92">
        <v>16</v>
      </c>
      <c r="U42" s="94">
        <v>17</v>
      </c>
      <c r="V42" s="496"/>
      <c r="W42" s="496"/>
    </row>
    <row r="43" spans="2:104" ht="13.8" thickBot="1" x14ac:dyDescent="0.3">
      <c r="C43" s="56"/>
      <c r="E43" s="50"/>
      <c r="R43" s="496"/>
      <c r="S43" s="55" t="s">
        <v>30</v>
      </c>
      <c r="T43" s="93">
        <v>23</v>
      </c>
      <c r="U43" s="95">
        <v>28.25</v>
      </c>
      <c r="V43" s="496"/>
      <c r="W43" s="496"/>
    </row>
    <row r="44" spans="2:104" ht="13.8" thickBot="1" x14ac:dyDescent="0.3">
      <c r="C44" s="56"/>
      <c r="E44" s="50"/>
      <c r="R44" s="496"/>
      <c r="S44" s="505"/>
      <c r="T44" s="90">
        <v>20.666666666666668</v>
      </c>
      <c r="U44" s="487">
        <v>24.5</v>
      </c>
      <c r="V44" s="496"/>
      <c r="W44" s="496"/>
    </row>
    <row r="45" spans="2:104" x14ac:dyDescent="0.25">
      <c r="C45" s="56"/>
      <c r="E45" s="50"/>
      <c r="R45" s="496"/>
      <c r="S45" s="496"/>
      <c r="T45" s="496"/>
      <c r="U45" s="496"/>
      <c r="V45" s="496"/>
      <c r="W45" s="496"/>
    </row>
    <row r="46" spans="2:104" x14ac:dyDescent="0.25">
      <c r="C46" s="56"/>
      <c r="E46" s="50"/>
      <c r="R46" s="496"/>
      <c r="S46" s="496"/>
      <c r="T46" s="496"/>
      <c r="U46" s="496"/>
      <c r="V46" s="496"/>
      <c r="W46" s="496"/>
    </row>
    <row r="47" spans="2:104" x14ac:dyDescent="0.25">
      <c r="C47" s="56"/>
      <c r="E47" s="50"/>
    </row>
    <row r="48" spans="2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2"/>
  <sheetViews>
    <sheetView workbookViewId="0">
      <selection activeCell="D22" sqref="D22"/>
    </sheetView>
  </sheetViews>
  <sheetFormatPr defaultRowHeight="13.2" x14ac:dyDescent="0.25"/>
  <cols>
    <col min="7" max="7" width="12.5546875" customWidth="1"/>
    <col min="90" max="90" width="13.109375" customWidth="1"/>
  </cols>
  <sheetData>
    <row r="1" spans="1:7" ht="13.8" thickBot="1" x14ac:dyDescent="0.3">
      <c r="A1" s="496"/>
      <c r="B1" s="496"/>
      <c r="C1" s="496"/>
      <c r="D1" s="496"/>
      <c r="E1" s="496"/>
      <c r="F1" s="496"/>
    </row>
    <row r="2" spans="1:7" ht="13.8" thickBot="1" x14ac:dyDescent="0.3">
      <c r="A2" s="225"/>
      <c r="B2" s="497" t="s">
        <v>50</v>
      </c>
      <c r="C2" s="498" t="s">
        <v>312</v>
      </c>
      <c r="D2" s="497" t="s">
        <v>15</v>
      </c>
      <c r="E2" s="499" t="s">
        <v>16</v>
      </c>
      <c r="F2" s="496"/>
    </row>
    <row r="3" spans="1:7" ht="13.8" thickBot="1" x14ac:dyDescent="0.3">
      <c r="A3" s="496"/>
      <c r="B3" s="500" t="s">
        <v>313</v>
      </c>
      <c r="C3" s="64">
        <v>21</v>
      </c>
      <c r="D3" s="501">
        <v>25.25</v>
      </c>
      <c r="E3" s="502">
        <v>26.25</v>
      </c>
      <c r="F3" s="496"/>
    </row>
    <row r="4" spans="1:7" ht="13.8" thickBot="1" x14ac:dyDescent="0.3">
      <c r="A4" s="496"/>
      <c r="B4" s="500" t="s">
        <v>314</v>
      </c>
      <c r="C4" s="65">
        <v>5</v>
      </c>
      <c r="D4" s="501">
        <v>29</v>
      </c>
      <c r="E4" s="502">
        <v>29.75</v>
      </c>
      <c r="F4" s="496"/>
    </row>
    <row r="5" spans="1:7" ht="13.8" thickBot="1" x14ac:dyDescent="0.3">
      <c r="A5" s="496"/>
      <c r="B5" s="497"/>
      <c r="C5" s="503" t="s">
        <v>27</v>
      </c>
      <c r="D5" s="504">
        <v>24.583333333333332</v>
      </c>
      <c r="E5" s="504">
        <v>26.803921568627452</v>
      </c>
      <c r="F5" s="496"/>
    </row>
    <row r="6" spans="1:7" ht="13.8" thickBot="1" x14ac:dyDescent="0.3">
      <c r="A6" s="496"/>
      <c r="B6" s="497" t="s">
        <v>315</v>
      </c>
      <c r="C6" s="503">
        <v>408</v>
      </c>
      <c r="D6" s="101"/>
      <c r="E6" s="44"/>
      <c r="F6" s="496"/>
    </row>
    <row r="7" spans="1:7" x14ac:dyDescent="0.25">
      <c r="A7" s="496"/>
      <c r="B7" s="496"/>
      <c r="C7" s="496"/>
      <c r="D7" s="496"/>
      <c r="E7" s="496"/>
      <c r="F7" s="225"/>
    </row>
    <row r="8" spans="1:7" x14ac:dyDescent="0.25">
      <c r="A8" s="496"/>
      <c r="B8" s="496"/>
      <c r="C8" s="496"/>
      <c r="D8" s="496"/>
      <c r="E8" s="496"/>
      <c r="F8" s="496"/>
    </row>
    <row r="9" spans="1:7" ht="13.8" thickBot="1" x14ac:dyDescent="0.3">
      <c r="A9" s="496"/>
      <c r="B9" s="496"/>
      <c r="C9" s="496"/>
      <c r="D9" s="496"/>
      <c r="E9" s="496"/>
      <c r="F9" s="496"/>
    </row>
    <row r="10" spans="1:7" ht="13.8" thickBot="1" x14ac:dyDescent="0.3">
      <c r="A10" s="496"/>
      <c r="B10" s="52" t="s">
        <v>39</v>
      </c>
      <c r="C10" s="91" t="s">
        <v>9</v>
      </c>
      <c r="D10" s="46" t="s">
        <v>16</v>
      </c>
      <c r="E10" s="496"/>
      <c r="F10" s="496"/>
    </row>
    <row r="11" spans="1:7" x14ac:dyDescent="0.25">
      <c r="A11" s="496"/>
      <c r="B11" s="53" t="s">
        <v>29</v>
      </c>
      <c r="C11" s="92">
        <v>16</v>
      </c>
      <c r="D11" s="94">
        <v>17</v>
      </c>
      <c r="E11" s="496"/>
      <c r="F11" s="496"/>
    </row>
    <row r="12" spans="1:7" ht="13.8" thickBot="1" x14ac:dyDescent="0.3">
      <c r="A12" s="496"/>
      <c r="B12" s="55" t="s">
        <v>30</v>
      </c>
      <c r="C12" s="93">
        <v>23</v>
      </c>
      <c r="D12" s="95">
        <v>28.25</v>
      </c>
      <c r="E12" s="496"/>
      <c r="F12" s="496"/>
    </row>
    <row r="13" spans="1:7" ht="13.8" thickBot="1" x14ac:dyDescent="0.3">
      <c r="A13" s="496"/>
      <c r="B13" s="505"/>
      <c r="C13" s="90">
        <v>20.666666666666668</v>
      </c>
      <c r="D13" s="487">
        <v>24.5</v>
      </c>
      <c r="E13" s="496"/>
      <c r="F13" s="496"/>
    </row>
    <row r="14" spans="1:7" x14ac:dyDescent="0.25">
      <c r="A14" s="496"/>
      <c r="B14" s="496"/>
      <c r="C14" s="496"/>
      <c r="D14" s="496"/>
      <c r="E14" s="496"/>
      <c r="F14" s="496"/>
    </row>
    <row r="15" spans="1:7" x14ac:dyDescent="0.25">
      <c r="A15" s="496"/>
      <c r="B15" s="496"/>
      <c r="C15" s="496"/>
      <c r="D15" s="496"/>
      <c r="E15" s="496"/>
      <c r="F15" s="496"/>
      <c r="G15" s="102" t="s">
        <v>316</v>
      </c>
    </row>
    <row r="16" spans="1:7" ht="13.8" thickBot="1" x14ac:dyDescent="0.3"/>
    <row r="17" spans="7:90" x14ac:dyDescent="0.25">
      <c r="G17" s="329"/>
      <c r="H17" s="330">
        <v>1</v>
      </c>
      <c r="I17" s="331"/>
      <c r="J17" s="330">
        <v>2</v>
      </c>
      <c r="K17" s="331"/>
      <c r="L17" s="330">
        <v>3</v>
      </c>
      <c r="M17" s="331"/>
      <c r="N17" s="330">
        <v>4</v>
      </c>
      <c r="O17" s="331"/>
      <c r="P17" s="330">
        <v>5</v>
      </c>
      <c r="Q17" s="331"/>
      <c r="R17" s="330">
        <v>6</v>
      </c>
      <c r="S17" s="331"/>
      <c r="T17" s="330">
        <v>7</v>
      </c>
      <c r="U17" s="331"/>
      <c r="V17" s="330">
        <v>8</v>
      </c>
      <c r="W17" s="331"/>
      <c r="X17" s="330">
        <v>9</v>
      </c>
      <c r="Y17" s="331"/>
      <c r="Z17" s="330">
        <v>10</v>
      </c>
      <c r="AA17" s="331"/>
      <c r="AB17" s="330">
        <v>11</v>
      </c>
      <c r="AC17" s="331"/>
      <c r="AD17" s="330">
        <v>12</v>
      </c>
      <c r="AE17" s="331"/>
      <c r="AF17" s="330">
        <v>13</v>
      </c>
      <c r="AG17" s="331"/>
      <c r="AH17" s="330">
        <v>14</v>
      </c>
      <c r="AI17" s="331"/>
      <c r="AJ17" s="330">
        <v>15</v>
      </c>
      <c r="AK17" s="331"/>
      <c r="AL17" s="330">
        <v>16</v>
      </c>
      <c r="AM17" s="331"/>
      <c r="AN17" s="330">
        <v>17</v>
      </c>
      <c r="AO17" s="331"/>
      <c r="AP17" s="330">
        <v>18</v>
      </c>
      <c r="AQ17" s="331"/>
      <c r="AR17" s="330">
        <v>19</v>
      </c>
      <c r="AS17" s="331"/>
      <c r="AT17" s="330">
        <v>20</v>
      </c>
      <c r="AU17" s="331"/>
      <c r="AV17" s="330">
        <v>21</v>
      </c>
      <c r="AW17" s="331"/>
      <c r="AX17" s="330">
        <v>22</v>
      </c>
      <c r="AY17" s="331"/>
      <c r="AZ17" s="330">
        <v>23</v>
      </c>
      <c r="BA17" s="331"/>
      <c r="BB17" s="330">
        <v>24</v>
      </c>
      <c r="BC17" s="331"/>
      <c r="BD17" s="330">
        <v>25</v>
      </c>
      <c r="BE17" s="331"/>
      <c r="BF17" s="330">
        <v>26</v>
      </c>
      <c r="BG17" s="331"/>
      <c r="BH17" s="330">
        <v>27</v>
      </c>
      <c r="BI17" s="331"/>
      <c r="BJ17" s="330">
        <v>28</v>
      </c>
      <c r="BK17" s="331"/>
      <c r="BL17" s="330">
        <v>29</v>
      </c>
      <c r="BM17" s="331"/>
      <c r="BN17" s="330">
        <v>30</v>
      </c>
      <c r="BO17" s="331"/>
      <c r="BP17" s="330">
        <v>31</v>
      </c>
      <c r="BQ17" s="331"/>
      <c r="BR17" s="330">
        <v>32</v>
      </c>
      <c r="BS17" s="331"/>
      <c r="BT17" s="330">
        <v>33</v>
      </c>
      <c r="BU17" s="331"/>
      <c r="BV17" s="330">
        <v>34</v>
      </c>
      <c r="BW17" s="331"/>
      <c r="BX17" s="330">
        <v>35</v>
      </c>
      <c r="BY17" s="331"/>
      <c r="BZ17" s="330">
        <v>36</v>
      </c>
      <c r="CA17" s="331"/>
      <c r="CB17" s="330">
        <v>37</v>
      </c>
      <c r="CC17" s="331"/>
      <c r="CD17" s="330">
        <v>38</v>
      </c>
      <c r="CE17" s="331"/>
      <c r="CF17" s="330">
        <v>39</v>
      </c>
      <c r="CG17" s="331"/>
      <c r="CH17" s="330">
        <v>40</v>
      </c>
      <c r="CI17" s="331"/>
      <c r="CJ17" s="332" t="s">
        <v>252</v>
      </c>
      <c r="CK17" s="333" t="s">
        <v>253</v>
      </c>
    </row>
    <row r="18" spans="7:90" ht="13.8" thickBot="1" x14ac:dyDescent="0.3">
      <c r="G18" s="334" t="s">
        <v>235</v>
      </c>
      <c r="H18" s="335" t="s">
        <v>254</v>
      </c>
      <c r="I18" s="336" t="s">
        <v>255</v>
      </c>
      <c r="J18" s="335" t="s">
        <v>254</v>
      </c>
      <c r="K18" s="336" t="s">
        <v>255</v>
      </c>
      <c r="L18" s="335" t="s">
        <v>254</v>
      </c>
      <c r="M18" s="336" t="s">
        <v>255</v>
      </c>
      <c r="N18" s="335" t="s">
        <v>254</v>
      </c>
      <c r="O18" s="336" t="s">
        <v>255</v>
      </c>
      <c r="P18" s="335" t="s">
        <v>254</v>
      </c>
      <c r="Q18" s="336" t="s">
        <v>255</v>
      </c>
      <c r="R18" s="335" t="s">
        <v>254</v>
      </c>
      <c r="S18" s="336" t="s">
        <v>255</v>
      </c>
      <c r="T18" s="335" t="s">
        <v>254</v>
      </c>
      <c r="U18" s="336" t="s">
        <v>255</v>
      </c>
      <c r="V18" s="335" t="s">
        <v>254</v>
      </c>
      <c r="W18" s="336" t="s">
        <v>255</v>
      </c>
      <c r="X18" s="335" t="s">
        <v>254</v>
      </c>
      <c r="Y18" s="336" t="s">
        <v>255</v>
      </c>
      <c r="Z18" s="335" t="s">
        <v>254</v>
      </c>
      <c r="AA18" s="336" t="s">
        <v>255</v>
      </c>
      <c r="AB18" s="335" t="s">
        <v>254</v>
      </c>
      <c r="AC18" s="336" t="s">
        <v>255</v>
      </c>
      <c r="AD18" s="335" t="s">
        <v>254</v>
      </c>
      <c r="AE18" s="336" t="s">
        <v>255</v>
      </c>
      <c r="AF18" s="337" t="s">
        <v>254</v>
      </c>
      <c r="AG18" s="338" t="s">
        <v>255</v>
      </c>
      <c r="AH18" s="335" t="s">
        <v>254</v>
      </c>
      <c r="AI18" s="336" t="s">
        <v>255</v>
      </c>
      <c r="AJ18" s="335" t="s">
        <v>254</v>
      </c>
      <c r="AK18" s="336" t="s">
        <v>255</v>
      </c>
      <c r="AL18" s="335" t="s">
        <v>254</v>
      </c>
      <c r="AM18" s="336" t="s">
        <v>255</v>
      </c>
      <c r="AN18" s="335" t="s">
        <v>254</v>
      </c>
      <c r="AO18" s="336" t="s">
        <v>255</v>
      </c>
      <c r="AP18" s="335" t="s">
        <v>254</v>
      </c>
      <c r="AQ18" s="336" t="s">
        <v>255</v>
      </c>
      <c r="AR18" s="335" t="s">
        <v>254</v>
      </c>
      <c r="AS18" s="336" t="s">
        <v>255</v>
      </c>
      <c r="AT18" s="335" t="s">
        <v>254</v>
      </c>
      <c r="AU18" s="336" t="s">
        <v>255</v>
      </c>
      <c r="AV18" s="335" t="s">
        <v>254</v>
      </c>
      <c r="AW18" s="336" t="s">
        <v>255</v>
      </c>
      <c r="AX18" s="335" t="s">
        <v>254</v>
      </c>
      <c r="AY18" s="336" t="s">
        <v>255</v>
      </c>
      <c r="AZ18" s="335" t="s">
        <v>254</v>
      </c>
      <c r="BA18" s="336" t="s">
        <v>255</v>
      </c>
      <c r="BB18" s="335" t="s">
        <v>254</v>
      </c>
      <c r="BC18" s="336" t="s">
        <v>255</v>
      </c>
      <c r="BD18" s="335" t="s">
        <v>254</v>
      </c>
      <c r="BE18" s="336" t="s">
        <v>255</v>
      </c>
      <c r="BF18" s="335" t="s">
        <v>254</v>
      </c>
      <c r="BG18" s="336" t="s">
        <v>255</v>
      </c>
      <c r="BH18" s="335" t="s">
        <v>254</v>
      </c>
      <c r="BI18" s="336" t="s">
        <v>255</v>
      </c>
      <c r="BJ18" s="335" t="s">
        <v>254</v>
      </c>
      <c r="BK18" s="336" t="s">
        <v>255</v>
      </c>
      <c r="BL18" s="335" t="s">
        <v>254</v>
      </c>
      <c r="BM18" s="336" t="s">
        <v>255</v>
      </c>
      <c r="BN18" s="335" t="s">
        <v>254</v>
      </c>
      <c r="BO18" s="336" t="s">
        <v>255</v>
      </c>
      <c r="BP18" s="335" t="s">
        <v>254</v>
      </c>
      <c r="BQ18" s="336" t="s">
        <v>255</v>
      </c>
      <c r="BR18" s="335" t="s">
        <v>254</v>
      </c>
      <c r="BS18" s="336" t="s">
        <v>255</v>
      </c>
      <c r="BT18" s="335" t="s">
        <v>254</v>
      </c>
      <c r="BU18" s="336" t="s">
        <v>255</v>
      </c>
      <c r="BV18" s="335" t="s">
        <v>254</v>
      </c>
      <c r="BW18" s="336" t="s">
        <v>255</v>
      </c>
      <c r="BX18" s="335" t="s">
        <v>254</v>
      </c>
      <c r="BY18" s="336" t="s">
        <v>255</v>
      </c>
      <c r="BZ18" s="335" t="s">
        <v>254</v>
      </c>
      <c r="CA18" s="336" t="s">
        <v>255</v>
      </c>
      <c r="CB18" s="335" t="s">
        <v>254</v>
      </c>
      <c r="CC18" s="336" t="s">
        <v>255</v>
      </c>
      <c r="CD18" s="335" t="s">
        <v>254</v>
      </c>
      <c r="CE18" s="336" t="s">
        <v>255</v>
      </c>
      <c r="CF18" s="335" t="s">
        <v>254</v>
      </c>
      <c r="CG18" s="336" t="s">
        <v>255</v>
      </c>
      <c r="CH18" s="335" t="s">
        <v>254</v>
      </c>
      <c r="CI18" s="336" t="s">
        <v>255</v>
      </c>
      <c r="CJ18" s="339" t="s">
        <v>254</v>
      </c>
      <c r="CK18" s="340" t="s">
        <v>255</v>
      </c>
      <c r="CL18" s="334" t="s">
        <v>235</v>
      </c>
    </row>
    <row r="19" spans="7:90" ht="15.6" x14ac:dyDescent="0.3">
      <c r="G19" s="341"/>
      <c r="H19" s="342"/>
      <c r="I19" s="367"/>
      <c r="J19" s="345"/>
      <c r="K19" s="346"/>
      <c r="L19" s="345"/>
      <c r="M19" s="346"/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64"/>
      <c r="AF19" s="365"/>
      <c r="AG19" s="366"/>
      <c r="AH19" s="357"/>
      <c r="AI19" s="350"/>
      <c r="AJ19" s="349"/>
      <c r="AK19" s="350"/>
      <c r="AL19" s="349"/>
      <c r="AM19" s="350"/>
      <c r="AN19" s="349"/>
      <c r="AO19" s="350"/>
      <c r="AP19" s="349"/>
      <c r="AQ19" s="350"/>
      <c r="AR19" s="349"/>
      <c r="AS19" s="350"/>
      <c r="AT19" s="349"/>
      <c r="AU19" s="350"/>
      <c r="AV19" s="349"/>
      <c r="AW19" s="350"/>
      <c r="AX19" s="349"/>
      <c r="AY19" s="350"/>
      <c r="AZ19" s="349"/>
      <c r="BA19" s="350"/>
      <c r="BB19" s="349"/>
      <c r="BC19" s="350"/>
      <c r="BD19" s="349"/>
      <c r="BE19" s="350"/>
      <c r="BF19" s="349"/>
      <c r="BG19" s="350"/>
      <c r="BH19" s="349"/>
      <c r="BI19" s="350"/>
      <c r="BJ19" s="349"/>
      <c r="BK19" s="350"/>
      <c r="BL19" s="349"/>
      <c r="BM19" s="350"/>
      <c r="BN19" s="349"/>
      <c r="BO19" s="350"/>
      <c r="BP19" s="349"/>
      <c r="BQ19" s="350"/>
      <c r="BR19" s="349"/>
      <c r="BS19" s="350"/>
      <c r="BT19" s="349"/>
      <c r="BU19" s="350"/>
      <c r="BV19" s="349"/>
      <c r="BW19" s="350"/>
      <c r="BX19" s="349"/>
      <c r="BY19" s="350"/>
      <c r="BZ19" s="349"/>
      <c r="CA19" s="350"/>
      <c r="CB19" s="349"/>
      <c r="CC19" s="350"/>
      <c r="CD19" s="349"/>
      <c r="CE19" s="350"/>
      <c r="CF19" s="349"/>
      <c r="CG19" s="350"/>
      <c r="CH19" s="349"/>
      <c r="CI19" s="350"/>
      <c r="CJ19" s="351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2">
        <f>IF(AND(CJ19=0,CN19=0),0,(CQ19+CR19)/CN19)</f>
        <v>0</v>
      </c>
      <c r="CL19" s="368">
        <f>G19</f>
        <v>0</v>
      </c>
    </row>
    <row r="20" spans="7:90" ht="15.6" x14ac:dyDescent="0.3">
      <c r="G20" s="341"/>
      <c r="H20" s="345"/>
      <c r="I20" s="346"/>
      <c r="J20" s="347"/>
      <c r="K20" s="361"/>
      <c r="L20" s="345"/>
      <c r="M20" s="346"/>
      <c r="N20" s="345"/>
      <c r="O20" s="346"/>
      <c r="P20" s="345"/>
      <c r="Q20" s="359"/>
      <c r="R20" s="345"/>
      <c r="S20" s="344"/>
      <c r="T20" s="345"/>
      <c r="U20" s="346"/>
      <c r="V20" s="345"/>
      <c r="W20" s="346"/>
      <c r="X20" s="354"/>
      <c r="Y20" s="344"/>
      <c r="Z20" s="354"/>
      <c r="AA20" s="358"/>
      <c r="AB20" s="354"/>
      <c r="AC20" s="358"/>
      <c r="AD20" s="345"/>
      <c r="AE20" s="364"/>
      <c r="AF20" s="355"/>
      <c r="AG20" s="356"/>
      <c r="AH20" s="357"/>
      <c r="AI20" s="350"/>
      <c r="AJ20" s="349"/>
      <c r="AK20" s="350"/>
      <c r="AL20" s="349"/>
      <c r="AM20" s="350"/>
      <c r="AN20" s="349"/>
      <c r="AO20" s="350"/>
      <c r="AP20" s="349"/>
      <c r="AQ20" s="350"/>
      <c r="AR20" s="349"/>
      <c r="AS20" s="350"/>
      <c r="AT20" s="349"/>
      <c r="AU20" s="350"/>
      <c r="AV20" s="349"/>
      <c r="AW20" s="350"/>
      <c r="AX20" s="349"/>
      <c r="AY20" s="350"/>
      <c r="AZ20" s="349"/>
      <c r="BA20" s="350"/>
      <c r="BB20" s="349"/>
      <c r="BC20" s="350"/>
      <c r="BD20" s="349"/>
      <c r="BE20" s="350"/>
      <c r="BF20" s="349"/>
      <c r="BG20" s="350"/>
      <c r="BH20" s="349"/>
      <c r="BI20" s="350"/>
      <c r="BJ20" s="349"/>
      <c r="BK20" s="350"/>
      <c r="BL20" s="349"/>
      <c r="BM20" s="350"/>
      <c r="BN20" s="349"/>
      <c r="BO20" s="350"/>
      <c r="BP20" s="349"/>
      <c r="BQ20" s="350"/>
      <c r="BR20" s="349"/>
      <c r="BS20" s="350"/>
      <c r="BT20" s="349"/>
      <c r="BU20" s="350"/>
      <c r="BV20" s="349"/>
      <c r="BW20" s="350"/>
      <c r="BX20" s="349"/>
      <c r="BY20" s="350"/>
      <c r="BZ20" s="349"/>
      <c r="CA20" s="350"/>
      <c r="CB20" s="349"/>
      <c r="CC20" s="350"/>
      <c r="CD20" s="349"/>
      <c r="CE20" s="350"/>
      <c r="CF20" s="349"/>
      <c r="CG20" s="350"/>
      <c r="CH20" s="349"/>
      <c r="CI20" s="350"/>
      <c r="CJ20" s="351">
        <f t="shared" si="0"/>
        <v>0</v>
      </c>
      <c r="CK20" s="352">
        <f>IF(AND(CJ20=0,CN20=0),0,(CQ20+CR20)/CN20)</f>
        <v>0</v>
      </c>
      <c r="CL20" s="368">
        <f t="shared" ref="CL20:CL40" si="1">G20</f>
        <v>0</v>
      </c>
    </row>
    <row r="21" spans="7:90" ht="15.6" x14ac:dyDescent="0.3">
      <c r="G21" s="368">
        <v>37137</v>
      </c>
      <c r="H21" s="345"/>
      <c r="I21" s="346"/>
      <c r="J21" s="345"/>
      <c r="K21" s="346"/>
      <c r="L21" s="345"/>
      <c r="M21" s="344"/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54"/>
      <c r="Y21" s="358"/>
      <c r="Z21" s="354"/>
      <c r="AA21" s="358"/>
      <c r="AB21" s="354"/>
      <c r="AC21" s="358"/>
      <c r="AD21" s="345"/>
      <c r="AE21" s="364"/>
      <c r="AF21" s="355"/>
      <c r="AG21" s="356"/>
      <c r="AH21" s="357"/>
      <c r="AI21" s="350"/>
      <c r="AJ21" s="349"/>
      <c r="AK21" s="350"/>
      <c r="AL21" s="349"/>
      <c r="AM21" s="350"/>
      <c r="AN21" s="349"/>
      <c r="AO21" s="350"/>
      <c r="AP21" s="349"/>
      <c r="AQ21" s="350"/>
      <c r="AR21" s="349"/>
      <c r="AS21" s="350"/>
      <c r="AT21" s="349"/>
      <c r="AU21" s="350"/>
      <c r="AV21" s="349"/>
      <c r="AW21" s="350"/>
      <c r="AX21" s="349"/>
      <c r="AY21" s="350"/>
      <c r="AZ21" s="349"/>
      <c r="BA21" s="350"/>
      <c r="BB21" s="349"/>
      <c r="BC21" s="350"/>
      <c r="BD21" s="349"/>
      <c r="BE21" s="350"/>
      <c r="BF21" s="349"/>
      <c r="BG21" s="350"/>
      <c r="BH21" s="349"/>
      <c r="BI21" s="350"/>
      <c r="BJ21" s="349"/>
      <c r="BK21" s="350"/>
      <c r="BL21" s="349"/>
      <c r="BM21" s="350"/>
      <c r="BN21" s="349"/>
      <c r="BO21" s="350"/>
      <c r="BP21" s="349"/>
      <c r="BQ21" s="350"/>
      <c r="BR21" s="349"/>
      <c r="BS21" s="350"/>
      <c r="BT21" s="349"/>
      <c r="BU21" s="350"/>
      <c r="BV21" s="349"/>
      <c r="BW21" s="350"/>
      <c r="BX21" s="349"/>
      <c r="BY21" s="350"/>
      <c r="BZ21" s="349"/>
      <c r="CA21" s="350"/>
      <c r="CB21" s="349"/>
      <c r="CC21" s="350"/>
      <c r="CD21" s="349"/>
      <c r="CE21" s="350"/>
      <c r="CF21" s="349"/>
      <c r="CG21" s="350"/>
      <c r="CH21" s="349"/>
      <c r="CI21" s="350"/>
      <c r="CJ21" s="351">
        <f t="shared" si="0"/>
        <v>0</v>
      </c>
      <c r="CK21" s="352">
        <f>IF(AND(CJ21=0,CN21=0),0,(CQ21+CR21)/CN21)</f>
        <v>0</v>
      </c>
      <c r="CL21" s="368">
        <f t="shared" si="1"/>
        <v>37137</v>
      </c>
    </row>
    <row r="22" spans="7:90" ht="15.6" x14ac:dyDescent="0.3">
      <c r="G22" s="368">
        <v>37138</v>
      </c>
      <c r="H22" s="342"/>
      <c r="I22" s="367"/>
      <c r="J22" s="345"/>
      <c r="K22" s="346"/>
      <c r="L22" s="345"/>
      <c r="M22" s="346"/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64"/>
      <c r="AF22" s="355"/>
      <c r="AG22" s="356"/>
      <c r="AH22" s="357"/>
      <c r="AI22" s="350"/>
      <c r="AJ22" s="349"/>
      <c r="AK22" s="350"/>
      <c r="AL22" s="349"/>
      <c r="AM22" s="350"/>
      <c r="AN22" s="349"/>
      <c r="AO22" s="350"/>
      <c r="AP22" s="349"/>
      <c r="AQ22" s="350"/>
      <c r="AR22" s="349"/>
      <c r="AS22" s="350"/>
      <c r="AT22" s="349"/>
      <c r="AU22" s="350"/>
      <c r="AV22" s="349"/>
      <c r="AW22" s="350"/>
      <c r="AX22" s="349"/>
      <c r="AY22" s="350"/>
      <c r="AZ22" s="349"/>
      <c r="BA22" s="350"/>
      <c r="BB22" s="349"/>
      <c r="BC22" s="350"/>
      <c r="BD22" s="349"/>
      <c r="BE22" s="350"/>
      <c r="BF22" s="349"/>
      <c r="BG22" s="350"/>
      <c r="BH22" s="349"/>
      <c r="BI22" s="350"/>
      <c r="BJ22" s="349"/>
      <c r="BK22" s="350"/>
      <c r="BL22" s="349"/>
      <c r="BM22" s="350"/>
      <c r="BN22" s="349"/>
      <c r="BO22" s="350"/>
      <c r="BP22" s="349"/>
      <c r="BQ22" s="350"/>
      <c r="BR22" s="349"/>
      <c r="BS22" s="350"/>
      <c r="BT22" s="349"/>
      <c r="BU22" s="350"/>
      <c r="BV22" s="349"/>
      <c r="BW22" s="350"/>
      <c r="BX22" s="349"/>
      <c r="BY22" s="350"/>
      <c r="BZ22" s="349"/>
      <c r="CA22" s="350"/>
      <c r="CB22" s="349"/>
      <c r="CC22" s="350"/>
      <c r="CD22" s="349"/>
      <c r="CE22" s="350"/>
      <c r="CF22" s="349"/>
      <c r="CG22" s="350"/>
      <c r="CH22" s="349"/>
      <c r="CI22" s="350"/>
      <c r="CJ22" s="351">
        <f t="shared" si="0"/>
        <v>0</v>
      </c>
      <c r="CK22" s="352">
        <f>IF(AND(CJ22=0,CN22=0),0,(CQ22+CR22)/CN22)</f>
        <v>0</v>
      </c>
      <c r="CL22" s="368">
        <f t="shared" si="1"/>
        <v>37138</v>
      </c>
    </row>
    <row r="23" spans="7:90" ht="15.6" x14ac:dyDescent="0.3">
      <c r="G23" s="368">
        <v>37139</v>
      </c>
      <c r="H23" s="342"/>
      <c r="I23" s="367"/>
      <c r="J23" s="345"/>
      <c r="K23" s="346"/>
      <c r="L23" s="345"/>
      <c r="M23" s="346"/>
      <c r="N23" s="345"/>
      <c r="O23" s="346"/>
      <c r="P23" s="345"/>
      <c r="Q23" s="346"/>
      <c r="R23" s="345"/>
      <c r="S23" s="344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55"/>
      <c r="AG23" s="356"/>
      <c r="AH23" s="357"/>
      <c r="AI23" s="350"/>
      <c r="AJ23" s="349"/>
      <c r="AK23" s="350"/>
      <c r="AL23" s="349"/>
      <c r="AM23" s="350"/>
      <c r="AN23" s="349"/>
      <c r="AO23" s="350"/>
      <c r="AP23" s="349"/>
      <c r="AQ23" s="350"/>
      <c r="AR23" s="349"/>
      <c r="AS23" s="350"/>
      <c r="AT23" s="349"/>
      <c r="AU23" s="350"/>
      <c r="AV23" s="349"/>
      <c r="AW23" s="350"/>
      <c r="AX23" s="349"/>
      <c r="AY23" s="350"/>
      <c r="AZ23" s="349"/>
      <c r="BA23" s="350"/>
      <c r="BB23" s="349"/>
      <c r="BC23" s="350"/>
      <c r="BD23" s="349"/>
      <c r="BE23" s="350"/>
      <c r="BF23" s="349"/>
      <c r="BG23" s="350"/>
      <c r="BH23" s="349"/>
      <c r="BI23" s="350"/>
      <c r="BJ23" s="349"/>
      <c r="BK23" s="350"/>
      <c r="BL23" s="349"/>
      <c r="BM23" s="350"/>
      <c r="BN23" s="349"/>
      <c r="BO23" s="350"/>
      <c r="BP23" s="349"/>
      <c r="BQ23" s="350"/>
      <c r="BR23" s="349"/>
      <c r="BS23" s="350"/>
      <c r="BT23" s="349"/>
      <c r="BU23" s="350"/>
      <c r="BV23" s="349"/>
      <c r="BW23" s="350"/>
      <c r="BX23" s="349"/>
      <c r="BY23" s="350"/>
      <c r="BZ23" s="349"/>
      <c r="CA23" s="350"/>
      <c r="CB23" s="349"/>
      <c r="CC23" s="350"/>
      <c r="CD23" s="349"/>
      <c r="CE23" s="350"/>
      <c r="CF23" s="349"/>
      <c r="CG23" s="350"/>
      <c r="CH23" s="349"/>
      <c r="CI23" s="350"/>
      <c r="CJ23" s="351">
        <f t="shared" si="0"/>
        <v>0</v>
      </c>
      <c r="CK23" s="352">
        <f>(I23+K23+M23+O23+Q23+S23+U23+W23)/8</f>
        <v>0</v>
      </c>
      <c r="CL23" s="368">
        <f t="shared" si="1"/>
        <v>37139</v>
      </c>
    </row>
    <row r="24" spans="7:90" ht="15.6" x14ac:dyDescent="0.3">
      <c r="G24" s="368">
        <v>37140</v>
      </c>
      <c r="H24" s="345"/>
      <c r="I24" s="358"/>
      <c r="J24" s="345"/>
      <c r="K24" s="346"/>
      <c r="L24" s="345"/>
      <c r="M24" s="346"/>
      <c r="N24" s="345"/>
      <c r="O24" s="359"/>
      <c r="P24" s="345"/>
      <c r="Q24" s="346"/>
      <c r="R24" s="345"/>
      <c r="S24" s="344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55"/>
      <c r="AG24" s="356"/>
      <c r="AH24" s="357"/>
      <c r="AI24" s="350"/>
      <c r="AJ24" s="349"/>
      <c r="AK24" s="350"/>
      <c r="AL24" s="349"/>
      <c r="AM24" s="350"/>
      <c r="AN24" s="349"/>
      <c r="AO24" s="350"/>
      <c r="AP24" s="349"/>
      <c r="AQ24" s="350"/>
      <c r="AR24" s="349"/>
      <c r="AS24" s="350"/>
      <c r="AT24" s="349"/>
      <c r="AU24" s="350"/>
      <c r="AV24" s="349"/>
      <c r="AW24" s="350"/>
      <c r="AX24" s="349"/>
      <c r="AY24" s="350"/>
      <c r="AZ24" s="349"/>
      <c r="BA24" s="350"/>
      <c r="BB24" s="349"/>
      <c r="BC24" s="350"/>
      <c r="BD24" s="349"/>
      <c r="BE24" s="350"/>
      <c r="BF24" s="349"/>
      <c r="BG24" s="350"/>
      <c r="BH24" s="349"/>
      <c r="BI24" s="350"/>
      <c r="BJ24" s="349"/>
      <c r="BK24" s="350"/>
      <c r="BL24" s="349"/>
      <c r="BM24" s="350"/>
      <c r="BN24" s="349"/>
      <c r="BO24" s="350"/>
      <c r="BP24" s="349"/>
      <c r="BQ24" s="350"/>
      <c r="BR24" s="349"/>
      <c r="BS24" s="350"/>
      <c r="BT24" s="349"/>
      <c r="BU24" s="350"/>
      <c r="BV24" s="349"/>
      <c r="BW24" s="350"/>
      <c r="BX24" s="349"/>
      <c r="BY24" s="350"/>
      <c r="BZ24" s="349"/>
      <c r="CA24" s="350"/>
      <c r="CB24" s="349"/>
      <c r="CC24" s="350"/>
      <c r="CD24" s="349"/>
      <c r="CE24" s="350"/>
      <c r="CF24" s="349"/>
      <c r="CG24" s="350"/>
      <c r="CH24" s="349"/>
      <c r="CI24" s="350"/>
      <c r="CJ24" s="351">
        <f t="shared" si="0"/>
        <v>0</v>
      </c>
      <c r="CK24" s="352">
        <f>(I24+K24+M24+O24+Q24+S24+U24+W24+Y24+AA24+AC24+AE24)/12</f>
        <v>0</v>
      </c>
      <c r="CL24" s="368">
        <f t="shared" si="1"/>
        <v>37140</v>
      </c>
    </row>
    <row r="25" spans="7:90" ht="15.6" x14ac:dyDescent="0.3">
      <c r="G25" s="368">
        <v>37141</v>
      </c>
      <c r="H25" s="345"/>
      <c r="I25" s="358"/>
      <c r="J25" s="345"/>
      <c r="K25" s="346"/>
      <c r="L25" s="345"/>
      <c r="M25" s="346"/>
      <c r="N25" s="345"/>
      <c r="O25" s="346"/>
      <c r="P25" s="345"/>
      <c r="Q25" s="346"/>
      <c r="R25" s="345"/>
      <c r="S25" s="344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55"/>
      <c r="AG25" s="356"/>
      <c r="AH25" s="357"/>
      <c r="AI25" s="350"/>
      <c r="AJ25" s="349"/>
      <c r="AK25" s="350"/>
      <c r="AL25" s="349"/>
      <c r="AM25" s="350"/>
      <c r="AN25" s="349"/>
      <c r="AO25" s="350"/>
      <c r="AP25" s="349"/>
      <c r="AQ25" s="350"/>
      <c r="AR25" s="349"/>
      <c r="AS25" s="350"/>
      <c r="AT25" s="349"/>
      <c r="AU25" s="350"/>
      <c r="AV25" s="349"/>
      <c r="AW25" s="350"/>
      <c r="AX25" s="349"/>
      <c r="AY25" s="350"/>
      <c r="AZ25" s="349"/>
      <c r="BA25" s="350"/>
      <c r="BB25" s="349"/>
      <c r="BC25" s="350"/>
      <c r="BD25" s="349"/>
      <c r="BE25" s="350"/>
      <c r="BF25" s="349"/>
      <c r="BG25" s="350"/>
      <c r="BH25" s="349"/>
      <c r="BI25" s="350"/>
      <c r="BJ25" s="349"/>
      <c r="BK25" s="350"/>
      <c r="BL25" s="349"/>
      <c r="BM25" s="350"/>
      <c r="BN25" s="349"/>
      <c r="BO25" s="350"/>
      <c r="BP25" s="349"/>
      <c r="BQ25" s="350"/>
      <c r="BR25" s="349"/>
      <c r="BS25" s="350"/>
      <c r="BT25" s="349"/>
      <c r="BU25" s="350"/>
      <c r="BV25" s="349"/>
      <c r="BW25" s="350"/>
      <c r="BX25" s="349"/>
      <c r="BY25" s="350"/>
      <c r="BZ25" s="349"/>
      <c r="CA25" s="350"/>
      <c r="CB25" s="349"/>
      <c r="CC25" s="350"/>
      <c r="CD25" s="349"/>
      <c r="CE25" s="350"/>
      <c r="CF25" s="349"/>
      <c r="CG25" s="350"/>
      <c r="CH25" s="349"/>
      <c r="CI25" s="350"/>
      <c r="CJ25" s="351">
        <f t="shared" si="0"/>
        <v>0</v>
      </c>
      <c r="CK25" s="352">
        <f>(I25+K25+M25+O25+S25)/5</f>
        <v>0</v>
      </c>
      <c r="CL25" s="368">
        <f t="shared" si="1"/>
        <v>37141</v>
      </c>
    </row>
    <row r="26" spans="7:90" ht="15.6" x14ac:dyDescent="0.3">
      <c r="G26" s="368">
        <v>37144</v>
      </c>
      <c r="H26" s="345">
        <v>-50</v>
      </c>
      <c r="I26" s="346">
        <v>24.75</v>
      </c>
      <c r="J26" s="345"/>
      <c r="K26" s="344"/>
      <c r="L26" s="345"/>
      <c r="M26" s="344"/>
      <c r="N26" s="345"/>
      <c r="O26" s="346"/>
      <c r="P26" s="345"/>
      <c r="Q26" s="346"/>
      <c r="R26" s="345"/>
      <c r="S26" s="344"/>
      <c r="T26" s="345"/>
      <c r="U26" s="346"/>
      <c r="V26" s="345"/>
      <c r="W26" s="359"/>
      <c r="X26" s="345"/>
      <c r="Y26" s="346"/>
      <c r="Z26" s="345"/>
      <c r="AA26" s="346"/>
      <c r="AB26" s="345"/>
      <c r="AC26" s="346"/>
      <c r="AD26" s="345"/>
      <c r="AE26" s="359"/>
      <c r="AF26" s="355"/>
      <c r="AG26" s="356"/>
      <c r="AH26" s="357"/>
      <c r="AI26" s="350"/>
      <c r="AJ26" s="349"/>
      <c r="AK26" s="350"/>
      <c r="AL26" s="349"/>
      <c r="AM26" s="350"/>
      <c r="AN26" s="349"/>
      <c r="AO26" s="350"/>
      <c r="AP26" s="349"/>
      <c r="AQ26" s="350"/>
      <c r="AR26" s="349"/>
      <c r="AS26" s="350"/>
      <c r="AT26" s="349"/>
      <c r="AU26" s="350"/>
      <c r="AV26" s="349"/>
      <c r="AW26" s="350"/>
      <c r="AX26" s="349"/>
      <c r="AY26" s="350"/>
      <c r="AZ26" s="349"/>
      <c r="BA26" s="350"/>
      <c r="BB26" s="349"/>
      <c r="BC26" s="350"/>
      <c r="BD26" s="349"/>
      <c r="BE26" s="350"/>
      <c r="BF26" s="349"/>
      <c r="BG26" s="350"/>
      <c r="BH26" s="349"/>
      <c r="BI26" s="350"/>
      <c r="BJ26" s="349"/>
      <c r="BK26" s="350"/>
      <c r="BL26" s="349"/>
      <c r="BM26" s="350"/>
      <c r="BN26" s="349"/>
      <c r="BO26" s="350"/>
      <c r="BP26" s="349"/>
      <c r="BQ26" s="350"/>
      <c r="BR26" s="349"/>
      <c r="BS26" s="350"/>
      <c r="BT26" s="349"/>
      <c r="BU26" s="350"/>
      <c r="BV26" s="349"/>
      <c r="BW26" s="350"/>
      <c r="BX26" s="349"/>
      <c r="BY26" s="350"/>
      <c r="BZ26" s="349"/>
      <c r="CA26" s="350"/>
      <c r="CB26" s="349"/>
      <c r="CC26" s="350"/>
      <c r="CD26" s="349"/>
      <c r="CE26" s="350"/>
      <c r="CF26" s="349"/>
      <c r="CG26" s="350"/>
      <c r="CH26" s="349"/>
      <c r="CI26" s="350"/>
      <c r="CJ26" s="351">
        <f t="shared" si="0"/>
        <v>-50</v>
      </c>
      <c r="CK26" s="352">
        <f>(I26+K26+M26+O26+Q26+S26+U26+W26+AA26+AC26+AE26)/11</f>
        <v>2.25</v>
      </c>
      <c r="CL26" s="368">
        <f t="shared" si="1"/>
        <v>37144</v>
      </c>
    </row>
    <row r="27" spans="7:90" ht="15.6" x14ac:dyDescent="0.3">
      <c r="G27" s="368">
        <v>37145</v>
      </c>
      <c r="H27" s="345">
        <v>-50</v>
      </c>
      <c r="I27" s="346">
        <v>24.75</v>
      </c>
      <c r="J27" s="345"/>
      <c r="K27" s="344"/>
      <c r="L27" s="345"/>
      <c r="M27" s="344"/>
      <c r="N27" s="345"/>
      <c r="O27" s="346"/>
      <c r="P27" s="345"/>
      <c r="Q27" s="346"/>
      <c r="R27" s="345"/>
      <c r="S27" s="344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59"/>
      <c r="AF27" s="355"/>
      <c r="AG27" s="356"/>
      <c r="AH27" s="345"/>
      <c r="AI27" s="346"/>
      <c r="AJ27" s="349"/>
      <c r="AK27" s="350"/>
      <c r="AL27" s="349"/>
      <c r="AM27" s="350"/>
      <c r="AN27" s="349"/>
      <c r="AO27" s="350"/>
      <c r="AP27" s="349"/>
      <c r="AQ27" s="350"/>
      <c r="AR27" s="349"/>
      <c r="AS27" s="350"/>
      <c r="AT27" s="349"/>
      <c r="AU27" s="350"/>
      <c r="AV27" s="349"/>
      <c r="AW27" s="350"/>
      <c r="AX27" s="349"/>
      <c r="AY27" s="350"/>
      <c r="AZ27" s="349"/>
      <c r="BA27" s="350"/>
      <c r="BB27" s="349"/>
      <c r="BC27" s="350"/>
      <c r="BD27" s="349"/>
      <c r="BE27" s="350"/>
      <c r="BF27" s="345"/>
      <c r="BG27" s="346"/>
      <c r="BH27" s="345"/>
      <c r="BI27" s="344"/>
      <c r="BJ27" s="345"/>
      <c r="BK27" s="344"/>
      <c r="BL27" s="345"/>
      <c r="BM27" s="346"/>
      <c r="BN27" s="345"/>
      <c r="BO27" s="346"/>
      <c r="BP27" s="345"/>
      <c r="BQ27" s="344"/>
      <c r="BR27" s="349"/>
      <c r="BS27" s="350"/>
      <c r="BT27" s="349"/>
      <c r="BU27" s="350"/>
      <c r="BV27" s="349"/>
      <c r="BW27" s="350"/>
      <c r="BX27" s="349"/>
      <c r="BY27" s="350"/>
      <c r="BZ27" s="349"/>
      <c r="CA27" s="350"/>
      <c r="CB27" s="349"/>
      <c r="CC27" s="350"/>
      <c r="CD27" s="349"/>
      <c r="CE27" s="350"/>
      <c r="CF27" s="349"/>
      <c r="CG27" s="350"/>
      <c r="CH27" s="349"/>
      <c r="CI27" s="350"/>
      <c r="CJ27" s="351">
        <f t="shared" si="0"/>
        <v>-50</v>
      </c>
      <c r="CK27" s="352">
        <f>(Y27+AG27+AI27+AK27+AM27+AO27+AQ27+AS27+AU27+AW27+AY27+BA27+BC27+BE27)/14</f>
        <v>0</v>
      </c>
      <c r="CL27" s="368">
        <f t="shared" si="1"/>
        <v>37145</v>
      </c>
    </row>
    <row r="28" spans="7:90" ht="15.6" x14ac:dyDescent="0.3">
      <c r="G28" s="368">
        <v>37146</v>
      </c>
      <c r="H28" s="345">
        <v>-50</v>
      </c>
      <c r="I28" s="346">
        <v>24.75</v>
      </c>
      <c r="J28" s="345">
        <v>-50</v>
      </c>
      <c r="K28" s="344">
        <v>25.5</v>
      </c>
      <c r="L28" s="345"/>
      <c r="M28" s="344"/>
      <c r="N28" s="345"/>
      <c r="O28" s="346"/>
      <c r="P28" s="345"/>
      <c r="Q28" s="346"/>
      <c r="R28" s="345"/>
      <c r="S28" s="344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64"/>
      <c r="AF28" s="355"/>
      <c r="AG28" s="356"/>
      <c r="AH28" s="345"/>
      <c r="AI28" s="346"/>
      <c r="AJ28" s="349"/>
      <c r="AK28" s="350"/>
      <c r="AL28" s="349"/>
      <c r="AM28" s="350"/>
      <c r="AN28" s="349"/>
      <c r="AO28" s="350"/>
      <c r="AP28" s="349"/>
      <c r="AQ28" s="350"/>
      <c r="AR28" s="349"/>
      <c r="AS28" s="350"/>
      <c r="AT28" s="349"/>
      <c r="AU28" s="350"/>
      <c r="AV28" s="349"/>
      <c r="AW28" s="350"/>
      <c r="AX28" s="349"/>
      <c r="AY28" s="350"/>
      <c r="AZ28" s="349"/>
      <c r="BA28" s="350"/>
      <c r="BB28" s="349"/>
      <c r="BC28" s="350"/>
      <c r="BD28" s="349"/>
      <c r="BE28" s="350"/>
      <c r="BF28" s="345"/>
      <c r="BG28" s="344"/>
      <c r="BH28" s="345"/>
      <c r="BI28" s="346"/>
      <c r="BJ28" s="345"/>
      <c r="BK28" s="346"/>
      <c r="BL28" s="345"/>
      <c r="BM28" s="344"/>
      <c r="BN28" s="345"/>
      <c r="BO28" s="346"/>
      <c r="BP28" s="345"/>
      <c r="BQ28" s="344"/>
      <c r="BR28" s="349"/>
      <c r="BS28" s="350"/>
      <c r="BT28" s="349"/>
      <c r="BU28" s="350"/>
      <c r="BV28" s="349"/>
      <c r="BW28" s="350"/>
      <c r="BX28" s="349"/>
      <c r="BY28" s="350"/>
      <c r="BZ28" s="349"/>
      <c r="CA28" s="350"/>
      <c r="CB28" s="349"/>
      <c r="CC28" s="350"/>
      <c r="CD28" s="349"/>
      <c r="CE28" s="350"/>
      <c r="CF28" s="349"/>
      <c r="CG28" s="350"/>
      <c r="CH28" s="349"/>
      <c r="CI28" s="350"/>
      <c r="CJ28" s="351">
        <f t="shared" si="0"/>
        <v>-100</v>
      </c>
      <c r="CK28" s="352">
        <f>(Y28+AG28+AI28+AK28+AM28+AO28+AQ28+AS28+AU28+AW28+AY28+BA28+BC28+BE28+BG28+BI28+BK28)/17</f>
        <v>0</v>
      </c>
      <c r="CL28" s="368">
        <f t="shared" si="1"/>
        <v>37146</v>
      </c>
    </row>
    <row r="29" spans="7:90" ht="15.6" x14ac:dyDescent="0.3">
      <c r="G29" s="368">
        <v>37147</v>
      </c>
      <c r="H29" s="345">
        <v>-50</v>
      </c>
      <c r="I29" s="346">
        <v>24.75</v>
      </c>
      <c r="J29" s="345">
        <v>-50</v>
      </c>
      <c r="K29" s="344">
        <v>25.5</v>
      </c>
      <c r="L29" s="345">
        <v>-50</v>
      </c>
      <c r="M29" s="344">
        <v>25.25</v>
      </c>
      <c r="N29" s="345"/>
      <c r="O29" s="346"/>
      <c r="P29" s="345"/>
      <c r="Q29" s="346"/>
      <c r="R29" s="345"/>
      <c r="S29" s="344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64"/>
      <c r="AF29" s="355"/>
      <c r="AG29" s="356"/>
      <c r="AH29" s="345"/>
      <c r="AI29" s="346"/>
      <c r="AJ29" s="349"/>
      <c r="AK29" s="350"/>
      <c r="AL29" s="349"/>
      <c r="AM29" s="350"/>
      <c r="AN29" s="349"/>
      <c r="AO29" s="350"/>
      <c r="AP29" s="349"/>
      <c r="AQ29" s="350"/>
      <c r="AR29" s="349"/>
      <c r="AS29" s="350"/>
      <c r="AT29" s="349"/>
      <c r="AU29" s="350"/>
      <c r="AV29" s="349"/>
      <c r="AW29" s="350"/>
      <c r="AX29" s="349"/>
      <c r="AY29" s="350"/>
      <c r="AZ29" s="349"/>
      <c r="BA29" s="350"/>
      <c r="BB29" s="349"/>
      <c r="BC29" s="350"/>
      <c r="BD29" s="349"/>
      <c r="BE29" s="350"/>
      <c r="BF29" s="345"/>
      <c r="BG29" s="344"/>
      <c r="BH29" s="345"/>
      <c r="BI29" s="346"/>
      <c r="BJ29" s="345"/>
      <c r="BK29" s="346"/>
      <c r="BL29" s="345"/>
      <c r="BM29" s="344"/>
      <c r="BN29" s="345"/>
      <c r="BO29" s="346"/>
      <c r="BP29" s="345"/>
      <c r="BQ29" s="344"/>
      <c r="BR29" s="345"/>
      <c r="BS29" s="344"/>
      <c r="BT29" s="345"/>
      <c r="BU29" s="346"/>
      <c r="BV29" s="345"/>
      <c r="BW29" s="344"/>
      <c r="BX29" s="345"/>
      <c r="BY29" s="346"/>
      <c r="BZ29" s="349"/>
      <c r="CA29" s="350"/>
      <c r="CB29" s="349"/>
      <c r="CC29" s="350"/>
      <c r="CD29" s="349"/>
      <c r="CE29" s="350"/>
      <c r="CF29" s="349"/>
      <c r="CG29" s="350"/>
      <c r="CH29" s="349"/>
      <c r="CI29" s="350"/>
      <c r="CJ29" s="351">
        <f t="shared" si="0"/>
        <v>-150</v>
      </c>
      <c r="CK29" s="352">
        <f>(Y29+AG29+AI29+AK29+AM29+AO29+AQ29+AS29+AU29+AW29+AY29+BA29+BC29+BE29+BG29+BI29+BM29)/17</f>
        <v>0</v>
      </c>
      <c r="CL29" s="368">
        <f t="shared" si="1"/>
        <v>37147</v>
      </c>
    </row>
    <row r="30" spans="7:90" ht="15.6" x14ac:dyDescent="0.3">
      <c r="G30" s="368">
        <v>37148</v>
      </c>
      <c r="H30" s="345">
        <v>-50</v>
      </c>
      <c r="I30" s="346">
        <v>24.75</v>
      </c>
      <c r="J30" s="345">
        <v>-50</v>
      </c>
      <c r="K30" s="344">
        <v>25.5</v>
      </c>
      <c r="L30" s="345">
        <v>-50</v>
      </c>
      <c r="M30" s="344">
        <v>25.25</v>
      </c>
      <c r="N30" s="345">
        <v>-50</v>
      </c>
      <c r="O30" s="346">
        <v>25.25</v>
      </c>
      <c r="P30" s="345"/>
      <c r="Q30" s="346"/>
      <c r="R30" s="345"/>
      <c r="S30" s="344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64"/>
      <c r="AF30" s="355"/>
      <c r="AG30" s="356"/>
      <c r="AH30" s="345"/>
      <c r="AI30" s="346"/>
      <c r="AJ30" s="349"/>
      <c r="AK30" s="350"/>
      <c r="AL30" s="349"/>
      <c r="AM30" s="350"/>
      <c r="AN30" s="349"/>
      <c r="AO30" s="350"/>
      <c r="AP30" s="349"/>
      <c r="AQ30" s="350"/>
      <c r="AR30" s="349"/>
      <c r="AS30" s="350"/>
      <c r="AT30" s="349"/>
      <c r="AU30" s="350"/>
      <c r="AV30" s="349"/>
      <c r="AW30" s="350"/>
      <c r="AX30" s="349"/>
      <c r="AY30" s="350"/>
      <c r="AZ30" s="349"/>
      <c r="BA30" s="350"/>
      <c r="BB30" s="349"/>
      <c r="BC30" s="350"/>
      <c r="BD30" s="349"/>
      <c r="BE30" s="350"/>
      <c r="BF30" s="345"/>
      <c r="BG30" s="344"/>
      <c r="BH30" s="345"/>
      <c r="BI30" s="346"/>
      <c r="BJ30" s="345"/>
      <c r="BK30" s="346"/>
      <c r="BL30" s="345"/>
      <c r="BM30" s="344"/>
      <c r="BN30" s="345"/>
      <c r="BO30" s="346"/>
      <c r="BP30" s="345"/>
      <c r="BQ30" s="344"/>
      <c r="BR30" s="345"/>
      <c r="BS30" s="344"/>
      <c r="BT30" s="345"/>
      <c r="BU30" s="346"/>
      <c r="BV30" s="345"/>
      <c r="BW30" s="344"/>
      <c r="BX30" s="345"/>
      <c r="BY30" s="346"/>
      <c r="BZ30" s="349"/>
      <c r="CA30" s="350"/>
      <c r="CB30" s="349"/>
      <c r="CC30" s="350"/>
      <c r="CD30" s="349"/>
      <c r="CE30" s="350"/>
      <c r="CF30" s="349"/>
      <c r="CG30" s="350"/>
      <c r="CH30" s="349"/>
      <c r="CI30" s="350"/>
      <c r="CJ30" s="351">
        <f t="shared" si="0"/>
        <v>-200</v>
      </c>
      <c r="CK30" s="352">
        <f>(Y30+AG30+AI30+AK30+AM30+AO30+AQ30+AS30+AU30+AW30+AY30+BA30+BC30+BE30+BG30+BI30+BM30)/17</f>
        <v>0</v>
      </c>
      <c r="CL30" s="368">
        <f t="shared" si="1"/>
        <v>37148</v>
      </c>
    </row>
    <row r="31" spans="7:90" ht="15.6" x14ac:dyDescent="0.3">
      <c r="G31" s="368">
        <v>37151</v>
      </c>
      <c r="H31" s="345">
        <v>-50</v>
      </c>
      <c r="I31" s="346">
        <v>24.75</v>
      </c>
      <c r="J31" s="345">
        <v>-50</v>
      </c>
      <c r="K31" s="344">
        <v>25.5</v>
      </c>
      <c r="L31" s="345">
        <v>-50</v>
      </c>
      <c r="M31" s="344">
        <v>25.25</v>
      </c>
      <c r="N31" s="342">
        <v>-50</v>
      </c>
      <c r="O31" s="359">
        <v>25.25</v>
      </c>
      <c r="P31" s="345">
        <v>-50</v>
      </c>
      <c r="Q31" s="346">
        <v>25.75</v>
      </c>
      <c r="R31" s="345"/>
      <c r="S31" s="344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64"/>
      <c r="AF31" s="355"/>
      <c r="AG31" s="356"/>
      <c r="AH31" s="345"/>
      <c r="AI31" s="346"/>
      <c r="AJ31" s="349"/>
      <c r="AK31" s="350"/>
      <c r="AL31" s="349"/>
      <c r="AM31" s="350"/>
      <c r="AN31" s="349"/>
      <c r="AO31" s="350"/>
      <c r="AP31" s="349"/>
      <c r="AQ31" s="350"/>
      <c r="AR31" s="349"/>
      <c r="AS31" s="350"/>
      <c r="AT31" s="349"/>
      <c r="AU31" s="350"/>
      <c r="AV31" s="349"/>
      <c r="AW31" s="350"/>
      <c r="AX31" s="349"/>
      <c r="AY31" s="350"/>
      <c r="AZ31" s="349"/>
      <c r="BA31" s="350"/>
      <c r="BB31" s="349"/>
      <c r="BC31" s="350"/>
      <c r="BD31" s="349"/>
      <c r="BE31" s="350"/>
      <c r="BF31" s="345"/>
      <c r="BG31" s="344"/>
      <c r="BH31" s="345"/>
      <c r="BI31" s="346"/>
      <c r="BJ31" s="345"/>
      <c r="BK31" s="346"/>
      <c r="BL31" s="345"/>
      <c r="BM31" s="344"/>
      <c r="BN31" s="345"/>
      <c r="BO31" s="346"/>
      <c r="BP31" s="345"/>
      <c r="BQ31" s="344"/>
      <c r="BR31" s="349"/>
      <c r="BS31" s="350"/>
      <c r="BT31" s="349"/>
      <c r="BU31" s="350"/>
      <c r="BV31" s="349"/>
      <c r="BW31" s="350"/>
      <c r="BX31" s="349"/>
      <c r="BY31" s="350"/>
      <c r="BZ31" s="349"/>
      <c r="CA31" s="350"/>
      <c r="CB31" s="349"/>
      <c r="CC31" s="350"/>
      <c r="CD31" s="349"/>
      <c r="CE31" s="350"/>
      <c r="CF31" s="349"/>
      <c r="CG31" s="350"/>
      <c r="CH31" s="349"/>
      <c r="CI31" s="350"/>
      <c r="CJ31" s="351">
        <f t="shared" si="0"/>
        <v>-250</v>
      </c>
      <c r="CK31" s="352">
        <f>(Y31+AI31+AK31+AM31+AO31+AS31+AU31+AW31+BC31+BI31)/10</f>
        <v>0</v>
      </c>
      <c r="CL31" s="368">
        <f t="shared" si="1"/>
        <v>37151</v>
      </c>
    </row>
    <row r="32" spans="7:90" ht="15.6" x14ac:dyDescent="0.3">
      <c r="G32" s="368">
        <v>37152</v>
      </c>
      <c r="H32" s="345">
        <v>-50</v>
      </c>
      <c r="I32" s="346">
        <v>24.75</v>
      </c>
      <c r="J32" s="345">
        <v>-50</v>
      </c>
      <c r="K32" s="344">
        <v>25.5</v>
      </c>
      <c r="L32" s="345">
        <v>-50</v>
      </c>
      <c r="M32" s="344">
        <v>25.25</v>
      </c>
      <c r="N32" s="345">
        <v>-50</v>
      </c>
      <c r="O32" s="346">
        <v>25.25</v>
      </c>
      <c r="P32" s="345">
        <v>-50</v>
      </c>
      <c r="Q32" s="346">
        <v>25.75</v>
      </c>
      <c r="R32" s="345">
        <v>-50</v>
      </c>
      <c r="S32" s="344">
        <v>26</v>
      </c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64"/>
      <c r="AF32" s="355"/>
      <c r="AG32" s="356"/>
      <c r="AH32" s="345"/>
      <c r="AI32" s="346"/>
      <c r="AJ32" s="349"/>
      <c r="AK32" s="350"/>
      <c r="AL32" s="349"/>
      <c r="AM32" s="350"/>
      <c r="AN32" s="349"/>
      <c r="AO32" s="350"/>
      <c r="AP32" s="349"/>
      <c r="AQ32" s="350"/>
      <c r="AR32" s="349"/>
      <c r="AS32" s="350"/>
      <c r="AT32" s="349"/>
      <c r="AU32" s="350"/>
      <c r="AV32" s="349"/>
      <c r="AW32" s="350"/>
      <c r="AX32" s="349"/>
      <c r="AY32" s="350"/>
      <c r="AZ32" s="349"/>
      <c r="BA32" s="350"/>
      <c r="BB32" s="349"/>
      <c r="BC32" s="350"/>
      <c r="BD32" s="349"/>
      <c r="BE32" s="350"/>
      <c r="BF32" s="345"/>
      <c r="BG32" s="344"/>
      <c r="BH32" s="345"/>
      <c r="BI32" s="346"/>
      <c r="BJ32" s="345"/>
      <c r="BK32" s="346"/>
      <c r="BL32" s="345"/>
      <c r="BM32" s="344"/>
      <c r="BN32" s="345"/>
      <c r="BO32" s="346"/>
      <c r="BP32" s="345"/>
      <c r="BQ32" s="344"/>
      <c r="BR32" s="349"/>
      <c r="BS32" s="350"/>
      <c r="BT32" s="349"/>
      <c r="BU32" s="350"/>
      <c r="BV32" s="349"/>
      <c r="BW32" s="350"/>
      <c r="BX32" s="349"/>
      <c r="BY32" s="350"/>
      <c r="BZ32" s="349"/>
      <c r="CA32" s="350"/>
      <c r="CB32" s="349"/>
      <c r="CC32" s="350"/>
      <c r="CD32" s="349"/>
      <c r="CE32" s="350"/>
      <c r="CF32" s="349"/>
      <c r="CG32" s="350"/>
      <c r="CH32" s="349"/>
      <c r="CI32" s="350"/>
      <c r="CJ32" s="351">
        <f t="shared" si="0"/>
        <v>-300</v>
      </c>
      <c r="CK32" s="352">
        <f t="shared" ref="CK32:CK40" si="2">(Y32+AI32+AK32+AM32+AO32+AS32+AU32+AW32+BC32+BI32)/10</f>
        <v>0</v>
      </c>
      <c r="CL32" s="368">
        <f t="shared" si="1"/>
        <v>37152</v>
      </c>
    </row>
    <row r="33" spans="7:90" ht="15.6" x14ac:dyDescent="0.3">
      <c r="G33" s="368">
        <v>37153</v>
      </c>
      <c r="H33" s="345">
        <v>-50</v>
      </c>
      <c r="I33" s="346">
        <v>24.75</v>
      </c>
      <c r="J33" s="345">
        <v>-50</v>
      </c>
      <c r="K33" s="344">
        <v>25.5</v>
      </c>
      <c r="L33" s="345">
        <v>-50</v>
      </c>
      <c r="M33" s="344">
        <v>25.25</v>
      </c>
      <c r="N33" s="342">
        <v>-50</v>
      </c>
      <c r="O33" s="359">
        <v>26.25</v>
      </c>
      <c r="P33" s="345">
        <v>-50</v>
      </c>
      <c r="Q33" s="346">
        <v>25.75</v>
      </c>
      <c r="R33" s="345">
        <v>-50</v>
      </c>
      <c r="S33" s="344">
        <v>26</v>
      </c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64"/>
      <c r="AF33" s="355"/>
      <c r="AG33" s="356"/>
      <c r="AH33" s="345"/>
      <c r="AI33" s="346"/>
      <c r="AJ33" s="349"/>
      <c r="AK33" s="350"/>
      <c r="AL33" s="349"/>
      <c r="AM33" s="350"/>
      <c r="AN33" s="349"/>
      <c r="AO33" s="350"/>
      <c r="AP33" s="349"/>
      <c r="AQ33" s="350"/>
      <c r="AR33" s="349"/>
      <c r="AS33" s="350"/>
      <c r="AT33" s="349"/>
      <c r="AU33" s="350"/>
      <c r="AV33" s="349"/>
      <c r="AW33" s="350"/>
      <c r="AX33" s="349"/>
      <c r="AY33" s="350"/>
      <c r="AZ33" s="349"/>
      <c r="BA33" s="350"/>
      <c r="BB33" s="349"/>
      <c r="BC33" s="350"/>
      <c r="BD33" s="349"/>
      <c r="BE33" s="350"/>
      <c r="BF33" s="345"/>
      <c r="BG33" s="344"/>
      <c r="BH33" s="345"/>
      <c r="BI33" s="346"/>
      <c r="BJ33" s="345"/>
      <c r="BK33" s="346"/>
      <c r="BL33" s="345"/>
      <c r="BM33" s="344"/>
      <c r="BN33" s="345"/>
      <c r="BO33" s="346"/>
      <c r="BP33" s="345"/>
      <c r="BQ33" s="344"/>
      <c r="BR33" s="349"/>
      <c r="BS33" s="350"/>
      <c r="BT33" s="349"/>
      <c r="BU33" s="350"/>
      <c r="BV33" s="349"/>
      <c r="BW33" s="350"/>
      <c r="BX33" s="349"/>
      <c r="BY33" s="350"/>
      <c r="BZ33" s="349"/>
      <c r="CA33" s="350"/>
      <c r="CB33" s="349"/>
      <c r="CC33" s="350"/>
      <c r="CD33" s="349"/>
      <c r="CE33" s="350"/>
      <c r="CF33" s="349"/>
      <c r="CG33" s="350"/>
      <c r="CH33" s="349"/>
      <c r="CI33" s="350"/>
      <c r="CJ33" s="351">
        <f t="shared" si="0"/>
        <v>-300</v>
      </c>
      <c r="CK33" s="352">
        <f t="shared" si="2"/>
        <v>0</v>
      </c>
      <c r="CL33" s="368">
        <f t="shared" si="1"/>
        <v>37153</v>
      </c>
    </row>
    <row r="34" spans="7:90" ht="15.6" x14ac:dyDescent="0.3">
      <c r="G34" s="368">
        <v>37154</v>
      </c>
      <c r="H34" s="345">
        <v>-50</v>
      </c>
      <c r="I34" s="346">
        <v>24.75</v>
      </c>
      <c r="J34" s="345">
        <v>-50</v>
      </c>
      <c r="K34" s="344">
        <v>25.5</v>
      </c>
      <c r="L34" s="345">
        <v>-50</v>
      </c>
      <c r="M34" s="344">
        <v>25.25</v>
      </c>
      <c r="N34" s="345">
        <v>-50</v>
      </c>
      <c r="O34" s="346">
        <v>25.25</v>
      </c>
      <c r="P34" s="345">
        <v>-50</v>
      </c>
      <c r="Q34" s="346">
        <v>25.75</v>
      </c>
      <c r="R34" s="345">
        <v>-50</v>
      </c>
      <c r="S34" s="344">
        <v>26</v>
      </c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64"/>
      <c r="AF34" s="355"/>
      <c r="AG34" s="356"/>
      <c r="AH34" s="345"/>
      <c r="AI34" s="346"/>
      <c r="AJ34" s="349"/>
      <c r="AK34" s="350"/>
      <c r="AL34" s="349"/>
      <c r="AM34" s="350"/>
      <c r="AN34" s="349"/>
      <c r="AO34" s="350"/>
      <c r="AP34" s="349"/>
      <c r="AQ34" s="350"/>
      <c r="AR34" s="349"/>
      <c r="AS34" s="350"/>
      <c r="AT34" s="349"/>
      <c r="AU34" s="350"/>
      <c r="AV34" s="349"/>
      <c r="AW34" s="350"/>
      <c r="AX34" s="349"/>
      <c r="AY34" s="350"/>
      <c r="AZ34" s="349"/>
      <c r="BA34" s="350"/>
      <c r="BB34" s="349"/>
      <c r="BC34" s="350"/>
      <c r="BD34" s="349"/>
      <c r="BE34" s="350"/>
      <c r="BF34" s="345"/>
      <c r="BG34" s="344"/>
      <c r="BH34" s="345"/>
      <c r="BI34" s="346"/>
      <c r="BJ34" s="345"/>
      <c r="BK34" s="346"/>
      <c r="BL34" s="345"/>
      <c r="BM34" s="344"/>
      <c r="BN34" s="345"/>
      <c r="BO34" s="346"/>
      <c r="BP34" s="345"/>
      <c r="BQ34" s="344"/>
      <c r="BR34" s="349"/>
      <c r="BS34" s="350"/>
      <c r="BT34" s="349"/>
      <c r="BU34" s="350"/>
      <c r="BV34" s="349"/>
      <c r="BW34" s="350"/>
      <c r="BX34" s="349"/>
      <c r="BY34" s="350"/>
      <c r="BZ34" s="349"/>
      <c r="CA34" s="350"/>
      <c r="CB34" s="349"/>
      <c r="CC34" s="350"/>
      <c r="CD34" s="349"/>
      <c r="CE34" s="350"/>
      <c r="CF34" s="349"/>
      <c r="CG34" s="350"/>
      <c r="CH34" s="349"/>
      <c r="CI34" s="350"/>
      <c r="CJ34" s="351">
        <f t="shared" si="0"/>
        <v>-300</v>
      </c>
      <c r="CK34" s="352">
        <f t="shared" si="2"/>
        <v>0</v>
      </c>
      <c r="CL34" s="368">
        <f t="shared" si="1"/>
        <v>37154</v>
      </c>
    </row>
    <row r="35" spans="7:90" ht="15.6" x14ac:dyDescent="0.3">
      <c r="G35" s="368">
        <v>37155</v>
      </c>
      <c r="H35" s="345">
        <v>-50</v>
      </c>
      <c r="I35" s="346">
        <v>24.75</v>
      </c>
      <c r="J35" s="345">
        <v>-50</v>
      </c>
      <c r="K35" s="344">
        <v>25.5</v>
      </c>
      <c r="L35" s="345">
        <v>-50</v>
      </c>
      <c r="M35" s="344">
        <v>25.25</v>
      </c>
      <c r="N35" s="342">
        <v>-50</v>
      </c>
      <c r="O35" s="359">
        <v>27.25</v>
      </c>
      <c r="P35" s="345">
        <v>-50</v>
      </c>
      <c r="Q35" s="346">
        <v>25.75</v>
      </c>
      <c r="R35" s="345">
        <v>-50</v>
      </c>
      <c r="S35" s="344">
        <v>26</v>
      </c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64"/>
      <c r="AF35" s="355"/>
      <c r="AG35" s="356"/>
      <c r="AH35" s="345"/>
      <c r="AI35" s="346"/>
      <c r="AJ35" s="349"/>
      <c r="AK35" s="350"/>
      <c r="AL35" s="349"/>
      <c r="AM35" s="350"/>
      <c r="AN35" s="349"/>
      <c r="AO35" s="350"/>
      <c r="AP35" s="349"/>
      <c r="AQ35" s="350"/>
      <c r="AR35" s="349"/>
      <c r="AS35" s="350"/>
      <c r="AT35" s="349"/>
      <c r="AU35" s="350"/>
      <c r="AV35" s="349"/>
      <c r="AW35" s="350"/>
      <c r="AX35" s="349"/>
      <c r="AY35" s="350"/>
      <c r="AZ35" s="349"/>
      <c r="BA35" s="350"/>
      <c r="BB35" s="349"/>
      <c r="BC35" s="350"/>
      <c r="BD35" s="349"/>
      <c r="BE35" s="350"/>
      <c r="BF35" s="345"/>
      <c r="BG35" s="344"/>
      <c r="BH35" s="345"/>
      <c r="BI35" s="346"/>
      <c r="BJ35" s="345"/>
      <c r="BK35" s="346"/>
      <c r="BL35" s="345"/>
      <c r="BM35" s="346"/>
      <c r="BN35" s="345"/>
      <c r="BO35" s="346"/>
      <c r="BP35" s="345"/>
      <c r="BQ35" s="346"/>
      <c r="BR35" s="349"/>
      <c r="BS35" s="350"/>
      <c r="BT35" s="349"/>
      <c r="BU35" s="350"/>
      <c r="BV35" s="349"/>
      <c r="BW35" s="350"/>
      <c r="BX35" s="349"/>
      <c r="BY35" s="350"/>
      <c r="BZ35" s="349"/>
      <c r="CA35" s="350"/>
      <c r="CB35" s="349"/>
      <c r="CC35" s="350"/>
      <c r="CD35" s="349"/>
      <c r="CE35" s="350"/>
      <c r="CF35" s="349"/>
      <c r="CG35" s="350"/>
      <c r="CH35" s="349"/>
      <c r="CI35" s="350"/>
      <c r="CJ35" s="351">
        <f t="shared" si="0"/>
        <v>-300</v>
      </c>
      <c r="CK35" s="352">
        <f t="shared" si="2"/>
        <v>0</v>
      </c>
      <c r="CL35" s="368">
        <f t="shared" si="1"/>
        <v>37155</v>
      </c>
    </row>
    <row r="36" spans="7:90" ht="15.6" x14ac:dyDescent="0.3">
      <c r="G36" s="368">
        <v>37158</v>
      </c>
      <c r="H36" s="345">
        <v>-50</v>
      </c>
      <c r="I36" s="346">
        <v>24.75</v>
      </c>
      <c r="J36" s="345">
        <v>-50</v>
      </c>
      <c r="K36" s="344">
        <v>25.5</v>
      </c>
      <c r="L36" s="345">
        <v>-50</v>
      </c>
      <c r="M36" s="344">
        <v>25.25</v>
      </c>
      <c r="N36" s="345">
        <v>-50</v>
      </c>
      <c r="O36" s="346">
        <v>25.25</v>
      </c>
      <c r="P36" s="345">
        <v>-50</v>
      </c>
      <c r="Q36" s="346">
        <v>25.75</v>
      </c>
      <c r="R36" s="345">
        <v>-50</v>
      </c>
      <c r="S36" s="344">
        <v>26</v>
      </c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64"/>
      <c r="AF36" s="355"/>
      <c r="AG36" s="356"/>
      <c r="AH36" s="345"/>
      <c r="AI36" s="346"/>
      <c r="AJ36" s="349"/>
      <c r="AK36" s="350"/>
      <c r="AL36" s="349"/>
      <c r="AM36" s="350"/>
      <c r="AN36" s="349"/>
      <c r="AO36" s="350"/>
      <c r="AP36" s="349"/>
      <c r="AQ36" s="350"/>
      <c r="AR36" s="349"/>
      <c r="AS36" s="350"/>
      <c r="AT36" s="349"/>
      <c r="AU36" s="350"/>
      <c r="AV36" s="349"/>
      <c r="AW36" s="350"/>
      <c r="AX36" s="349"/>
      <c r="AY36" s="350"/>
      <c r="AZ36" s="349"/>
      <c r="BA36" s="350"/>
      <c r="BB36" s="349"/>
      <c r="BC36" s="350"/>
      <c r="BD36" s="349"/>
      <c r="BE36" s="350"/>
      <c r="BF36" s="345"/>
      <c r="BG36" s="344"/>
      <c r="BH36" s="345"/>
      <c r="BI36" s="346"/>
      <c r="BJ36" s="345"/>
      <c r="BK36" s="346"/>
      <c r="BL36" s="345"/>
      <c r="BM36" s="346"/>
      <c r="BN36" s="345"/>
      <c r="BO36" s="346"/>
      <c r="BP36" s="345"/>
      <c r="BQ36" s="346"/>
      <c r="BR36" s="349"/>
      <c r="BS36" s="350"/>
      <c r="BT36" s="349"/>
      <c r="BU36" s="350"/>
      <c r="BV36" s="349"/>
      <c r="BW36" s="350"/>
      <c r="BX36" s="349"/>
      <c r="BY36" s="350"/>
      <c r="BZ36" s="349"/>
      <c r="CA36" s="350"/>
      <c r="CB36" s="349"/>
      <c r="CC36" s="350"/>
      <c r="CD36" s="349"/>
      <c r="CE36" s="350"/>
      <c r="CF36" s="349"/>
      <c r="CG36" s="350"/>
      <c r="CH36" s="349"/>
      <c r="CI36" s="350"/>
      <c r="CJ36" s="351">
        <f t="shared" si="0"/>
        <v>-300</v>
      </c>
      <c r="CK36" s="352">
        <f t="shared" si="2"/>
        <v>0</v>
      </c>
      <c r="CL36" s="368">
        <f t="shared" si="1"/>
        <v>37158</v>
      </c>
    </row>
    <row r="37" spans="7:90" ht="15.6" x14ac:dyDescent="0.3">
      <c r="G37" s="368">
        <v>37159</v>
      </c>
      <c r="H37" s="345">
        <v>-50</v>
      </c>
      <c r="I37" s="346">
        <v>24.75</v>
      </c>
      <c r="J37" s="345">
        <v>-50</v>
      </c>
      <c r="K37" s="344">
        <v>25.5</v>
      </c>
      <c r="L37" s="345">
        <v>-50</v>
      </c>
      <c r="M37" s="344">
        <v>25.25</v>
      </c>
      <c r="N37" s="342">
        <v>-50</v>
      </c>
      <c r="O37" s="359">
        <v>28.25</v>
      </c>
      <c r="P37" s="345">
        <v>-50</v>
      </c>
      <c r="Q37" s="346">
        <v>25.75</v>
      </c>
      <c r="R37" s="345">
        <v>-50</v>
      </c>
      <c r="S37" s="344">
        <v>26</v>
      </c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64"/>
      <c r="AF37" s="355"/>
      <c r="AG37" s="356"/>
      <c r="AH37" s="345"/>
      <c r="AI37" s="346"/>
      <c r="AJ37" s="349"/>
      <c r="AK37" s="350"/>
      <c r="AL37" s="349"/>
      <c r="AM37" s="350"/>
      <c r="AN37" s="349"/>
      <c r="AO37" s="350"/>
      <c r="AP37" s="349"/>
      <c r="AQ37" s="350"/>
      <c r="AR37" s="349"/>
      <c r="AS37" s="350"/>
      <c r="AT37" s="349"/>
      <c r="AU37" s="350"/>
      <c r="AV37" s="349"/>
      <c r="AW37" s="350"/>
      <c r="AX37" s="349"/>
      <c r="AY37" s="350"/>
      <c r="AZ37" s="349"/>
      <c r="BA37" s="350"/>
      <c r="BB37" s="349"/>
      <c r="BC37" s="350"/>
      <c r="BD37" s="349"/>
      <c r="BE37" s="350"/>
      <c r="BF37" s="345"/>
      <c r="BG37" s="344"/>
      <c r="BH37" s="345"/>
      <c r="BI37" s="346"/>
      <c r="BJ37" s="345"/>
      <c r="BK37" s="346"/>
      <c r="BL37" s="345"/>
      <c r="BM37" s="344"/>
      <c r="BN37" s="345"/>
      <c r="BO37" s="346"/>
      <c r="BP37" s="345"/>
      <c r="BQ37" s="344"/>
      <c r="BR37" s="349"/>
      <c r="BS37" s="350"/>
      <c r="BT37" s="349"/>
      <c r="BU37" s="350"/>
      <c r="BV37" s="349"/>
      <c r="BW37" s="350"/>
      <c r="BX37" s="349"/>
      <c r="BY37" s="350"/>
      <c r="BZ37" s="349"/>
      <c r="CA37" s="350"/>
      <c r="CB37" s="349"/>
      <c r="CC37" s="350"/>
      <c r="CD37" s="349"/>
      <c r="CE37" s="350"/>
      <c r="CF37" s="349"/>
      <c r="CG37" s="350"/>
      <c r="CH37" s="349"/>
      <c r="CI37" s="350"/>
      <c r="CJ37" s="351">
        <f t="shared" si="0"/>
        <v>-300</v>
      </c>
      <c r="CK37" s="352">
        <f t="shared" si="2"/>
        <v>0</v>
      </c>
      <c r="CL37" s="368">
        <f t="shared" si="1"/>
        <v>37159</v>
      </c>
    </row>
    <row r="38" spans="7:90" ht="15.6" x14ac:dyDescent="0.3">
      <c r="G38" s="368">
        <v>37160</v>
      </c>
      <c r="H38" s="345">
        <v>-50</v>
      </c>
      <c r="I38" s="346">
        <v>24.75</v>
      </c>
      <c r="J38" s="345">
        <v>-50</v>
      </c>
      <c r="K38" s="344">
        <v>25.5</v>
      </c>
      <c r="L38" s="345">
        <v>-50</v>
      </c>
      <c r="M38" s="344">
        <v>25.25</v>
      </c>
      <c r="N38" s="345">
        <v>-50</v>
      </c>
      <c r="O38" s="346">
        <v>25.25</v>
      </c>
      <c r="P38" s="345">
        <v>-50</v>
      </c>
      <c r="Q38" s="346">
        <v>25.75</v>
      </c>
      <c r="R38" s="345">
        <v>-50</v>
      </c>
      <c r="S38" s="344">
        <v>26</v>
      </c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64"/>
      <c r="AF38" s="355"/>
      <c r="AG38" s="356"/>
      <c r="AH38" s="345"/>
      <c r="AI38" s="346"/>
      <c r="AJ38" s="349"/>
      <c r="AK38" s="350"/>
      <c r="AL38" s="349"/>
      <c r="AM38" s="350"/>
      <c r="AN38" s="349"/>
      <c r="AO38" s="350"/>
      <c r="AP38" s="349"/>
      <c r="AQ38" s="350"/>
      <c r="AR38" s="349"/>
      <c r="AS38" s="350"/>
      <c r="AT38" s="349"/>
      <c r="AU38" s="350"/>
      <c r="AV38" s="349"/>
      <c r="AW38" s="350"/>
      <c r="AX38" s="349"/>
      <c r="AY38" s="350"/>
      <c r="AZ38" s="349"/>
      <c r="BA38" s="350"/>
      <c r="BB38" s="349"/>
      <c r="BC38" s="350"/>
      <c r="BD38" s="349"/>
      <c r="BE38" s="350"/>
      <c r="BF38" s="345"/>
      <c r="BG38" s="344"/>
      <c r="BH38" s="345"/>
      <c r="BI38" s="346"/>
      <c r="BJ38" s="345"/>
      <c r="BK38" s="346"/>
      <c r="BL38" s="345"/>
      <c r="BM38" s="344"/>
      <c r="BN38" s="345"/>
      <c r="BO38" s="346"/>
      <c r="BP38" s="345"/>
      <c r="BQ38" s="344"/>
      <c r="BR38" s="349"/>
      <c r="BS38" s="350"/>
      <c r="BT38" s="349"/>
      <c r="BU38" s="350"/>
      <c r="BV38" s="349"/>
      <c r="BW38" s="350"/>
      <c r="BX38" s="349"/>
      <c r="BY38" s="350"/>
      <c r="BZ38" s="349"/>
      <c r="CA38" s="350"/>
      <c r="CB38" s="349"/>
      <c r="CC38" s="350"/>
      <c r="CD38" s="349"/>
      <c r="CE38" s="350"/>
      <c r="CF38" s="349"/>
      <c r="CG38" s="350"/>
      <c r="CH38" s="349"/>
      <c r="CI38" s="350"/>
      <c r="CJ38" s="351">
        <f t="shared" si="0"/>
        <v>-300</v>
      </c>
      <c r="CK38" s="352">
        <f t="shared" si="2"/>
        <v>0</v>
      </c>
      <c r="CL38" s="368">
        <f t="shared" si="1"/>
        <v>37160</v>
      </c>
    </row>
    <row r="39" spans="7:90" ht="15.6" x14ac:dyDescent="0.3">
      <c r="G39" s="368">
        <v>37161</v>
      </c>
      <c r="H39" s="345">
        <v>-50</v>
      </c>
      <c r="I39" s="346">
        <v>24.75</v>
      </c>
      <c r="J39" s="345">
        <v>-50</v>
      </c>
      <c r="K39" s="344">
        <v>25.5</v>
      </c>
      <c r="L39" s="345">
        <v>-50</v>
      </c>
      <c r="M39" s="344">
        <v>25.25</v>
      </c>
      <c r="N39" s="342">
        <v>-50</v>
      </c>
      <c r="O39" s="359">
        <v>29.25</v>
      </c>
      <c r="P39" s="345">
        <v>-50</v>
      </c>
      <c r="Q39" s="346">
        <v>25.75</v>
      </c>
      <c r="R39" s="345">
        <v>-50</v>
      </c>
      <c r="S39" s="344">
        <v>26</v>
      </c>
      <c r="T39" s="345"/>
      <c r="U39" s="346"/>
      <c r="V39" s="345"/>
      <c r="W39" s="346"/>
      <c r="X39" s="345"/>
      <c r="Y39" s="346"/>
      <c r="Z39" s="345"/>
      <c r="AA39" s="346"/>
      <c r="AB39" s="345"/>
      <c r="AC39" s="346"/>
      <c r="AD39" s="345"/>
      <c r="AE39" s="364"/>
      <c r="AF39" s="355"/>
      <c r="AG39" s="356"/>
      <c r="AH39" s="345"/>
      <c r="AI39" s="346"/>
      <c r="AJ39" s="349"/>
      <c r="AK39" s="350"/>
      <c r="AL39" s="349"/>
      <c r="AM39" s="350"/>
      <c r="AN39" s="349"/>
      <c r="AO39" s="350"/>
      <c r="AP39" s="349"/>
      <c r="AQ39" s="350"/>
      <c r="AR39" s="349"/>
      <c r="AS39" s="350"/>
      <c r="AT39" s="349"/>
      <c r="AU39" s="350"/>
      <c r="AV39" s="349"/>
      <c r="AW39" s="350"/>
      <c r="AX39" s="349"/>
      <c r="AY39" s="350"/>
      <c r="AZ39" s="349"/>
      <c r="BA39" s="350"/>
      <c r="BB39" s="349"/>
      <c r="BC39" s="350"/>
      <c r="BD39" s="349"/>
      <c r="BE39" s="350"/>
      <c r="BF39" s="345"/>
      <c r="BG39" s="344"/>
      <c r="BH39" s="345"/>
      <c r="BI39" s="346"/>
      <c r="BJ39" s="345"/>
      <c r="BK39" s="346"/>
      <c r="BL39" s="345"/>
      <c r="BM39" s="344"/>
      <c r="BN39" s="345"/>
      <c r="BO39" s="346"/>
      <c r="BP39" s="345"/>
      <c r="BQ39" s="344"/>
      <c r="BR39" s="349"/>
      <c r="BS39" s="350"/>
      <c r="BT39" s="349"/>
      <c r="BU39" s="350"/>
      <c r="BV39" s="349"/>
      <c r="BW39" s="350"/>
      <c r="BX39" s="349"/>
      <c r="BY39" s="350"/>
      <c r="BZ39" s="349"/>
      <c r="CA39" s="350"/>
      <c r="CB39" s="349"/>
      <c r="CC39" s="350"/>
      <c r="CD39" s="349"/>
      <c r="CE39" s="350"/>
      <c r="CF39" s="349"/>
      <c r="CG39" s="350"/>
      <c r="CH39" s="349"/>
      <c r="CI39" s="350"/>
      <c r="CJ39" s="351">
        <f t="shared" si="0"/>
        <v>-300</v>
      </c>
      <c r="CK39" s="352">
        <f t="shared" si="2"/>
        <v>0</v>
      </c>
      <c r="CL39" s="368">
        <f t="shared" si="1"/>
        <v>37161</v>
      </c>
    </row>
    <row r="40" spans="7:90" ht="15.6" x14ac:dyDescent="0.3">
      <c r="G40" s="368">
        <v>37162</v>
      </c>
      <c r="H40" s="345">
        <v>-50</v>
      </c>
      <c r="I40" s="346">
        <v>24.75</v>
      </c>
      <c r="J40" s="345">
        <v>-50</v>
      </c>
      <c r="K40" s="344">
        <v>25.5</v>
      </c>
      <c r="L40" s="345">
        <v>-50</v>
      </c>
      <c r="M40" s="344">
        <v>25.25</v>
      </c>
      <c r="N40" s="345">
        <v>-50</v>
      </c>
      <c r="O40" s="346">
        <v>25.25</v>
      </c>
      <c r="P40" s="345">
        <v>-50</v>
      </c>
      <c r="Q40" s="346">
        <v>25.75</v>
      </c>
      <c r="R40" s="345">
        <v>-50</v>
      </c>
      <c r="S40" s="344">
        <v>26</v>
      </c>
      <c r="T40" s="345"/>
      <c r="U40" s="346"/>
      <c r="V40" s="345"/>
      <c r="W40" s="346"/>
      <c r="X40" s="345"/>
      <c r="Y40" s="346"/>
      <c r="Z40" s="345"/>
      <c r="AA40" s="346"/>
      <c r="AB40" s="345"/>
      <c r="AC40" s="346"/>
      <c r="AD40" s="345"/>
      <c r="AE40" s="364"/>
      <c r="AF40" s="355"/>
      <c r="AG40" s="356"/>
      <c r="AH40" s="345"/>
      <c r="AI40" s="346"/>
      <c r="AJ40" s="349"/>
      <c r="AK40" s="350"/>
      <c r="AL40" s="349"/>
      <c r="AM40" s="350"/>
      <c r="AN40" s="349"/>
      <c r="AO40" s="350"/>
      <c r="AP40" s="349"/>
      <c r="AQ40" s="350"/>
      <c r="AR40" s="349"/>
      <c r="AS40" s="350"/>
      <c r="AT40" s="349"/>
      <c r="AU40" s="350"/>
      <c r="AV40" s="349"/>
      <c r="AW40" s="350"/>
      <c r="AX40" s="349"/>
      <c r="AY40" s="350"/>
      <c r="AZ40" s="349"/>
      <c r="BA40" s="350"/>
      <c r="BB40" s="349"/>
      <c r="BC40" s="350"/>
      <c r="BD40" s="349"/>
      <c r="BE40" s="350"/>
      <c r="BF40" s="345"/>
      <c r="BG40" s="344"/>
      <c r="BH40" s="345"/>
      <c r="BI40" s="346"/>
      <c r="BJ40" s="345"/>
      <c r="BK40" s="346"/>
      <c r="BL40" s="345"/>
      <c r="BM40" s="344"/>
      <c r="BN40" s="345"/>
      <c r="BO40" s="346"/>
      <c r="BP40" s="345"/>
      <c r="BQ40" s="344"/>
      <c r="BR40" s="349"/>
      <c r="BS40" s="350"/>
      <c r="BT40" s="349"/>
      <c r="BU40" s="350"/>
      <c r="BV40" s="349"/>
      <c r="BW40" s="350"/>
      <c r="BX40" s="349"/>
      <c r="BY40" s="350"/>
      <c r="BZ40" s="349"/>
      <c r="CA40" s="350"/>
      <c r="CB40" s="349"/>
      <c r="CC40" s="350"/>
      <c r="CD40" s="349"/>
      <c r="CE40" s="350"/>
      <c r="CF40" s="349"/>
      <c r="CG40" s="350"/>
      <c r="CH40" s="349"/>
      <c r="CI40" s="350"/>
      <c r="CJ40" s="351">
        <f t="shared" si="0"/>
        <v>-300</v>
      </c>
      <c r="CK40" s="352">
        <f t="shared" si="2"/>
        <v>0</v>
      </c>
      <c r="CL40" s="368">
        <f t="shared" si="1"/>
        <v>37162</v>
      </c>
    </row>
    <row r="41" spans="7:90" ht="15.6" x14ac:dyDescent="0.3">
      <c r="G41" s="368">
        <v>37163</v>
      </c>
      <c r="H41" s="345">
        <v>-50</v>
      </c>
      <c r="I41" s="346">
        <v>24.75</v>
      </c>
      <c r="J41" s="345">
        <v>-50</v>
      </c>
      <c r="K41" s="344">
        <v>25.5</v>
      </c>
      <c r="L41" s="345">
        <v>-50</v>
      </c>
      <c r="M41" s="344">
        <v>25.25</v>
      </c>
      <c r="N41" s="342">
        <v>-50</v>
      </c>
      <c r="O41" s="359">
        <v>30.25</v>
      </c>
      <c r="P41" s="345">
        <v>-50</v>
      </c>
      <c r="Q41" s="346">
        <v>25.75</v>
      </c>
      <c r="R41" s="345">
        <v>-50</v>
      </c>
      <c r="S41" s="344">
        <v>26</v>
      </c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64"/>
      <c r="AF41" s="355"/>
      <c r="AG41" s="356"/>
      <c r="AH41" s="345"/>
      <c r="AI41" s="346"/>
      <c r="AJ41" s="349"/>
      <c r="AK41" s="350"/>
      <c r="AL41" s="349"/>
      <c r="AM41" s="350"/>
      <c r="AN41" s="349"/>
      <c r="AO41" s="350"/>
      <c r="AP41" s="349"/>
      <c r="AQ41" s="350"/>
      <c r="AR41" s="349"/>
      <c r="AS41" s="350"/>
      <c r="AT41" s="349"/>
      <c r="AU41" s="350"/>
      <c r="AV41" s="349"/>
      <c r="AW41" s="350"/>
      <c r="AX41" s="349"/>
      <c r="AY41" s="350"/>
      <c r="AZ41" s="349"/>
      <c r="BA41" s="350"/>
      <c r="BB41" s="349"/>
      <c r="BC41" s="350"/>
      <c r="BD41" s="349"/>
      <c r="BE41" s="350"/>
      <c r="BF41" s="345"/>
      <c r="BG41" s="344"/>
      <c r="BH41" s="345"/>
      <c r="BI41" s="346"/>
      <c r="BJ41" s="345"/>
      <c r="BK41" s="346"/>
      <c r="BL41" s="345"/>
      <c r="BM41" s="344"/>
      <c r="BN41" s="345"/>
      <c r="BO41" s="346"/>
      <c r="BP41" s="345"/>
      <c r="BQ41" s="344"/>
      <c r="BR41" s="349"/>
      <c r="BS41" s="350"/>
      <c r="BT41" s="349"/>
      <c r="BU41" s="350"/>
      <c r="BV41" s="349"/>
      <c r="BW41" s="350"/>
      <c r="BX41" s="349"/>
      <c r="BY41" s="350"/>
      <c r="BZ41" s="349"/>
      <c r="CA41" s="350"/>
      <c r="CB41" s="349"/>
      <c r="CC41" s="350"/>
      <c r="CD41" s="349"/>
      <c r="CE41" s="350"/>
      <c r="CF41" s="349"/>
      <c r="CG41" s="350"/>
      <c r="CH41" s="349"/>
      <c r="CI41" s="350"/>
      <c r="CJ41" s="351">
        <f>H41+J41+L41+N41+P41+R41+T41+V41+X41+Z41+AB41+AD41+AF41+AH41+AJ41+AL41+AN41+AP41+AR41+AT41+AV41+AX41+AZ41+BB41+BD41+BF41+BH41+BJ41+BL41+BN41+BP41+BR41+BT41+BV41+BX41+BZ41+CB41+CD41+CF41+CH41</f>
        <v>-300</v>
      </c>
      <c r="CK41" s="352">
        <f>(Y41+AI41+AK41+AM41+AO41+AS41+AU41+AW41+BC41+BI41)/10</f>
        <v>0</v>
      </c>
      <c r="CL41" s="368">
        <f>G41</f>
        <v>37163</v>
      </c>
    </row>
    <row r="42" spans="7:90" ht="15.6" x14ac:dyDescent="0.3">
      <c r="G42" s="368">
        <v>37164</v>
      </c>
      <c r="H42" s="345">
        <v>-50</v>
      </c>
      <c r="I42" s="346">
        <v>24.75</v>
      </c>
      <c r="J42" s="345">
        <v>-50</v>
      </c>
      <c r="K42" s="344">
        <v>25.5</v>
      </c>
      <c r="L42" s="345">
        <v>-50</v>
      </c>
      <c r="M42" s="344">
        <v>25.25</v>
      </c>
      <c r="N42" s="345">
        <v>-50</v>
      </c>
      <c r="O42" s="346">
        <v>25.25</v>
      </c>
      <c r="P42" s="345">
        <v>-50</v>
      </c>
      <c r="Q42" s="346">
        <v>25.75</v>
      </c>
      <c r="R42" s="345">
        <v>-50</v>
      </c>
      <c r="S42" s="344">
        <v>26</v>
      </c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64"/>
      <c r="AF42" s="355"/>
      <c r="AG42" s="356"/>
      <c r="AH42" s="345"/>
      <c r="AI42" s="346"/>
      <c r="AJ42" s="349"/>
      <c r="AK42" s="350"/>
      <c r="AL42" s="349"/>
      <c r="AM42" s="350"/>
      <c r="AN42" s="349"/>
      <c r="AO42" s="350"/>
      <c r="AP42" s="349"/>
      <c r="AQ42" s="350"/>
      <c r="AR42" s="349"/>
      <c r="AS42" s="350"/>
      <c r="AT42" s="349"/>
      <c r="AU42" s="350"/>
      <c r="AV42" s="349"/>
      <c r="AW42" s="350"/>
      <c r="AX42" s="349"/>
      <c r="AY42" s="350"/>
      <c r="AZ42" s="349"/>
      <c r="BA42" s="350"/>
      <c r="BB42" s="349"/>
      <c r="BC42" s="350"/>
      <c r="BD42" s="349"/>
      <c r="BE42" s="350"/>
      <c r="BF42" s="345"/>
      <c r="BG42" s="344"/>
      <c r="BH42" s="345"/>
      <c r="BI42" s="346"/>
      <c r="BJ42" s="345"/>
      <c r="BK42" s="346"/>
      <c r="BL42" s="345"/>
      <c r="BM42" s="344"/>
      <c r="BN42" s="345"/>
      <c r="BO42" s="346"/>
      <c r="BP42" s="345"/>
      <c r="BQ42" s="344"/>
      <c r="BR42" s="349"/>
      <c r="BS42" s="350"/>
      <c r="BT42" s="349"/>
      <c r="BU42" s="350"/>
      <c r="BV42" s="349"/>
      <c r="BW42" s="350"/>
      <c r="BX42" s="349"/>
      <c r="BY42" s="350"/>
      <c r="BZ42" s="349"/>
      <c r="CA42" s="350"/>
      <c r="CB42" s="349"/>
      <c r="CC42" s="350"/>
      <c r="CD42" s="349"/>
      <c r="CE42" s="350"/>
      <c r="CF42" s="349"/>
      <c r="CG42" s="350"/>
      <c r="CH42" s="349"/>
      <c r="CI42" s="350"/>
      <c r="CJ42" s="351">
        <f>H42+J42+L42+N42+P42+R42+T42+V42+X42+Z42+AB42+AD42+AF42+AH42+AJ42+AL42+AN42+AP42+AR42+AT42+AV42+AX42+AZ42+BB42+BD42+BF42+BH42+BJ42+BL42+BN42+BP42+BR42+BT42+BV42+BX42+BZ42+CB42+CD42+CF42+CH42</f>
        <v>-300</v>
      </c>
      <c r="CK42" s="352">
        <f>(Y42+AI42+AK42+AM42+AO42+AS42+AU42+AW42+BC42+BI42)/10</f>
        <v>0</v>
      </c>
      <c r="CL42" s="368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EOL LINKS</vt:lpstr>
      <vt:lpstr>ZONE A POSITIONS</vt:lpstr>
      <vt:lpstr>Zone A</vt:lpstr>
      <vt:lpstr>ZONE G POSITIONS</vt:lpstr>
      <vt:lpstr>Zone G</vt:lpstr>
      <vt:lpstr>ZONE J POSITIONS</vt:lpstr>
      <vt:lpstr>Zone J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OFFPEAK'!Print_Area</vt:lpstr>
      <vt:lpstr>'ZONE A POSITIONS'!Print_Area</vt:lpstr>
      <vt:lpstr>'ZONE G OFFPEAK'!Print_Area</vt:lpstr>
      <vt:lpstr>'ZONE G POSITIONS'!Print_Area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2001-09-10T21:57:45Z</cp:lastPrinted>
  <dcterms:created xsi:type="dcterms:W3CDTF">2001-04-19T13:07:42Z</dcterms:created>
  <dcterms:modified xsi:type="dcterms:W3CDTF">2023-09-10T11:55:28Z</dcterms:modified>
</cp:coreProperties>
</file>