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Comps!$A$1:$N$54</definedName>
  </definedNames>
  <calcPr calcId="0" calcMode="manual" iterate="1"/>
</workbook>
</file>

<file path=xl/calcChain.xml><?xml version="1.0" encoding="utf-8"?>
<calcChain xmlns="http://schemas.openxmlformats.org/spreadsheetml/2006/main">
  <c r="N6" i="2" l="1"/>
  <c r="N8" i="2"/>
  <c r="N10" i="2"/>
  <c r="N12" i="2"/>
  <c r="N14" i="2"/>
  <c r="N16" i="2"/>
  <c r="N18" i="2"/>
  <c r="N20" i="2"/>
  <c r="N22" i="2"/>
  <c r="N24" i="2"/>
  <c r="N26" i="2"/>
  <c r="N28" i="2"/>
  <c r="J30" i="2"/>
  <c r="N30" i="2"/>
  <c r="J32" i="2"/>
  <c r="N32" i="2"/>
  <c r="J34" i="2"/>
  <c r="N34" i="2"/>
  <c r="N36" i="2"/>
  <c r="N38" i="2"/>
  <c r="N40" i="2"/>
  <c r="Q40" i="2"/>
  <c r="Q41" i="2"/>
  <c r="Q42" i="2"/>
  <c r="Q43" i="2"/>
  <c r="Q44" i="2"/>
  <c r="P47" i="2"/>
  <c r="P48" i="2"/>
  <c r="AC77" i="2"/>
  <c r="AE77" i="2"/>
  <c r="AC78" i="2"/>
  <c r="AE78" i="2"/>
  <c r="D30" i="1"/>
  <c r="F30" i="1"/>
  <c r="H30" i="1"/>
  <c r="J30" i="1"/>
  <c r="D31" i="1"/>
  <c r="F31" i="1"/>
  <c r="H31" i="1"/>
  <c r="J31" i="1"/>
  <c r="D32" i="1"/>
  <c r="F32" i="1"/>
  <c r="H32" i="1"/>
  <c r="J32" i="1"/>
  <c r="B34" i="1"/>
  <c r="D34" i="1"/>
  <c r="F34" i="1"/>
  <c r="H34" i="1"/>
  <c r="J34" i="1"/>
  <c r="D35" i="1"/>
  <c r="F35" i="1"/>
  <c r="H35" i="1"/>
  <c r="J35" i="1"/>
  <c r="D36" i="1"/>
  <c r="F36" i="1"/>
  <c r="H36" i="1"/>
  <c r="J36" i="1"/>
  <c r="B38" i="1"/>
  <c r="D38" i="1"/>
  <c r="F38" i="1"/>
  <c r="H38" i="1"/>
  <c r="J38" i="1"/>
  <c r="D39" i="1"/>
  <c r="F39" i="1"/>
  <c r="H39" i="1"/>
  <c r="J39" i="1"/>
  <c r="D40" i="1"/>
  <c r="F40" i="1"/>
  <c r="H40" i="1"/>
  <c r="J40" i="1"/>
  <c r="B42" i="1"/>
  <c r="D42" i="1"/>
  <c r="F42" i="1"/>
  <c r="H42" i="1"/>
  <c r="J42" i="1"/>
  <c r="D43" i="1"/>
  <c r="F43" i="1"/>
  <c r="H43" i="1"/>
  <c r="J43" i="1"/>
  <c r="D44" i="1"/>
  <c r="F44" i="1"/>
  <c r="H44" i="1"/>
  <c r="J44" i="1"/>
  <c r="D30" i="3"/>
  <c r="F30" i="3"/>
  <c r="H30" i="3"/>
  <c r="J30" i="3"/>
  <c r="D31" i="3"/>
  <c r="F31" i="3"/>
  <c r="H31" i="3"/>
  <c r="J31" i="3"/>
  <c r="D32" i="3"/>
  <c r="F32" i="3"/>
  <c r="H32" i="3"/>
  <c r="J32" i="3"/>
  <c r="B34" i="3"/>
  <c r="D34" i="3"/>
  <c r="F34" i="3"/>
  <c r="H34" i="3"/>
  <c r="J34" i="3"/>
  <c r="D35" i="3"/>
  <c r="F35" i="3"/>
  <c r="H35" i="3"/>
  <c r="J35" i="3"/>
  <c r="D36" i="3"/>
  <c r="F36" i="3"/>
  <c r="H36" i="3"/>
  <c r="J36" i="3"/>
  <c r="B38" i="3"/>
  <c r="D38" i="3"/>
  <c r="F38" i="3"/>
  <c r="H38" i="3"/>
  <c r="J38" i="3"/>
  <c r="D39" i="3"/>
  <c r="F39" i="3"/>
  <c r="H39" i="3"/>
  <c r="J39" i="3"/>
  <c r="D40" i="3"/>
  <c r="F40" i="3"/>
  <c r="H40" i="3"/>
  <c r="J40" i="3"/>
  <c r="B42" i="3"/>
  <c r="D42" i="3"/>
  <c r="F42" i="3"/>
  <c r="H42" i="3"/>
  <c r="J42" i="3"/>
  <c r="D43" i="3"/>
  <c r="F43" i="3"/>
  <c r="H43" i="3"/>
  <c r="J43" i="3"/>
  <c r="D44" i="3"/>
  <c r="F44" i="3"/>
  <c r="H44" i="3"/>
  <c r="J44" i="3"/>
  <c r="D30" i="4"/>
  <c r="F30" i="4"/>
  <c r="H30" i="4"/>
  <c r="J30" i="4"/>
  <c r="D31" i="4"/>
  <c r="F31" i="4"/>
  <c r="H31" i="4"/>
  <c r="J31" i="4"/>
  <c r="D32" i="4"/>
  <c r="F32" i="4"/>
  <c r="H32" i="4"/>
  <c r="J32" i="4"/>
  <c r="B34" i="4"/>
  <c r="D34" i="4"/>
  <c r="F34" i="4"/>
  <c r="H34" i="4"/>
  <c r="J34" i="4"/>
  <c r="D35" i="4"/>
  <c r="F35" i="4"/>
  <c r="H35" i="4"/>
  <c r="J35" i="4"/>
  <c r="D36" i="4"/>
  <c r="F36" i="4"/>
  <c r="H36" i="4"/>
  <c r="J36" i="4"/>
  <c r="B38" i="4"/>
  <c r="D38" i="4"/>
  <c r="F38" i="4"/>
  <c r="H38" i="4"/>
  <c r="J38" i="4"/>
  <c r="D39" i="4"/>
  <c r="F39" i="4"/>
  <c r="H39" i="4"/>
  <c r="J39" i="4"/>
  <c r="D40" i="4"/>
  <c r="F40" i="4"/>
  <c r="H40" i="4"/>
  <c r="J40" i="4"/>
  <c r="B42" i="4"/>
  <c r="D42" i="4"/>
  <c r="F42" i="4"/>
  <c r="H42" i="4"/>
  <c r="J42" i="4"/>
  <c r="D43" i="4"/>
  <c r="F43" i="4"/>
  <c r="H43" i="4"/>
  <c r="J43" i="4"/>
  <c r="D44" i="4"/>
  <c r="F44" i="4"/>
  <c r="H44" i="4"/>
  <c r="J44" i="4"/>
</calcChain>
</file>

<file path=xl/sharedStrings.xml><?xml version="1.0" encoding="utf-8"?>
<sst xmlns="http://schemas.openxmlformats.org/spreadsheetml/2006/main" count="193" uniqueCount="94">
  <si>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</si>
  <si>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</si>
  <si>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</si>
  <si>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</si>
  <si>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</si>
  <si>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</si>
  <si>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</si>
  <si>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</si>
  <si>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</si>
  <si>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</si>
  <si>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</si>
  <si>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</si>
  <si>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</si>
  <si>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</si>
  <si>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</si>
  <si>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</si>
  <si>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</si>
  <si>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</si>
  <si>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</si>
  <si>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</si>
  <si>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</si>
  <si>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</si>
  <si>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</si>
  <si>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</si>
  <si>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</si>
  <si>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</si>
  <si>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</si>
  <si>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</si>
  <si>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</si>
  <si>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</si>
  <si>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</si>
  <si>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</si>
  <si>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</si>
  <si>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</si>
  <si>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</si>
  <si>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</si>
  <si>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</si>
  <si>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</si>
  <si>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</si>
  <si>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</si>
  <si>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</si>
  <si>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</si>
  <si>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</si>
  <si>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</si>
  <si>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Reported</t>
  </si>
  <si>
    <t>Differential in LTM reported/adjusted</t>
  </si>
  <si>
    <t>Company/Project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</si>
  <si>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</si>
  <si>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</si>
  <si>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</si>
  <si>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</si>
  <si>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</si>
  <si>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</si>
  <si>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Lake Charles</t>
  </si>
  <si>
    <t>Illinois</t>
  </si>
  <si>
    <t>N/A</t>
  </si>
  <si>
    <t>Mississippi</t>
  </si>
  <si>
    <t>mid-year 2002</t>
  </si>
  <si>
    <t>$ CAPITAL COST / kW</t>
  </si>
  <si>
    <t>$ / kW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</si>
  <si>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</si>
  <si>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</si>
  <si>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</si>
  <si>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</si>
  <si>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</si>
  <si>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</si>
  <si>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</si>
  <si>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Indeck</t>
    </r>
    <r>
      <rPr>
        <vertAlign val="superscript"/>
        <sz val="7.5"/>
        <rFont val="Arial"/>
        <family val="2"/>
      </rPr>
      <t>(5)</t>
    </r>
  </si>
  <si>
    <r>
      <t>Dynergy</t>
    </r>
    <r>
      <rPr>
        <vertAlign val="superscript"/>
        <sz val="7.5"/>
        <rFont val="Arial"/>
        <family val="2"/>
      </rPr>
      <t>(1)</t>
    </r>
  </si>
  <si>
    <t>1)</t>
  </si>
  <si>
    <t>2)</t>
  </si>
  <si>
    <t>3)</t>
  </si>
  <si>
    <t>4)</t>
  </si>
  <si>
    <t>5)</t>
  </si>
  <si>
    <t>6)</t>
  </si>
  <si>
    <t>Per company news release</t>
  </si>
  <si>
    <t>CSFB Project</t>
  </si>
  <si>
    <t>Generation Week (3/1/00)</t>
  </si>
  <si>
    <t>MW Daily</t>
  </si>
  <si>
    <t>Electric Power Daily</t>
  </si>
  <si>
    <t>7)</t>
  </si>
  <si>
    <t>Per CSFB Research Analyst Paul Patterson's conversation with DPL CFO (adjusted to include financing costs)</t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</si>
  <si>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</si>
  <si>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</si>
  <si>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</si>
  <si>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t>Per news release (adjusted to include capital investment)</t>
  </si>
  <si>
    <r>
      <t>Columbia Electric</t>
    </r>
    <r>
      <rPr>
        <vertAlign val="superscript"/>
        <sz val="7.5"/>
        <rFont val="Arial"/>
        <family val="2"/>
      </rPr>
      <t>(7)</t>
    </r>
  </si>
  <si>
    <t>MAX</t>
  </si>
  <si>
    <t>MIN</t>
  </si>
  <si>
    <t>Total</t>
  </si>
  <si>
    <t>Total - MAX/MIN</t>
  </si>
  <si>
    <t>AVERAGE</t>
  </si>
  <si>
    <r>
      <t>Broad River 4&amp;5</t>
    </r>
    <r>
      <rPr>
        <vertAlign val="superscript"/>
        <sz val="7.5"/>
        <rFont val="Arial"/>
        <family val="2"/>
      </rPr>
      <t>(2)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</si>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</sst>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3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  <font>
      <vertAlign val="superscript"/>
      <sz val="7.5"/>
      <name val="Arial"/>
      <family val="2"/>
    </font>
    <font>
      <vertAlign val="superscript"/>
      <sz val="7.5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7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0" fontId="30" fillId="0" borderId="0" xfId="0" applyFont="1" applyAlignment="1">
      <alignment horizontal="lef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4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5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6" fillId="0" borderId="0" xfId="8" quotePrefix="1" applyFont="1" applyBorder="1" applyAlignment="1" applyProtection="1">
      <alignment horizontal="left"/>
    </xf>
    <xf numFmtId="0" fontId="35" fillId="0" borderId="0" xfId="10" applyFont="1"/>
    <xf numFmtId="1" fontId="35" fillId="0" borderId="0" xfId="10" applyNumberFormat="1" applyFont="1"/>
    <xf numFmtId="14" fontId="35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8" fillId="0" borderId="13" xfId="0" applyNumberFormat="1" applyFont="1" applyBorder="1"/>
    <xf numFmtId="0" fontId="38" fillId="0" borderId="0" xfId="0" applyFont="1"/>
    <xf numFmtId="173" fontId="38" fillId="0" borderId="0" xfId="0" applyNumberFormat="1" applyFont="1"/>
    <xf numFmtId="173" fontId="38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0" fontId="20" fillId="0" borderId="0" xfId="0" applyNumberFormat="1" applyFont="1"/>
    <xf numFmtId="170" fontId="41" fillId="0" borderId="0" xfId="6" applyFont="1" applyAlignment="1" applyProtection="1"/>
    <xf numFmtId="0" fontId="42" fillId="0" borderId="0" xfId="0" applyFont="1"/>
    <xf numFmtId="0" fontId="32" fillId="0" borderId="0" xfId="0" applyFont="1"/>
    <xf numFmtId="0" fontId="13" fillId="0" borderId="0" xfId="0" applyFont="1" applyAlignment="1">
      <alignment horizontal="center" vertical="top"/>
    </xf>
    <xf numFmtId="44" fontId="13" fillId="0" borderId="0" xfId="4" applyFont="1" applyAlignment="1">
      <alignment horizontal="center" vertical="top"/>
    </xf>
    <xf numFmtId="169" fontId="33" fillId="0" borderId="0" xfId="5" applyFont="1" applyFill="1" applyBorder="1" applyAlignment="1" applyProtection="1">
      <alignment horizontal="right"/>
    </xf>
    <xf numFmtId="175" fontId="32" fillId="0" borderId="0" xfId="2" applyNumberFormat="1" applyFont="1" applyFill="1" applyAlignment="1" applyProtection="1">
      <alignment horizontal="right"/>
    </xf>
    <xf numFmtId="171" fontId="33" fillId="0" borderId="0" xfId="0" applyNumberFormat="1" applyFont="1" applyBorder="1" applyAlignment="1">
      <alignment horizontal="right"/>
    </xf>
    <xf numFmtId="172" fontId="32" fillId="0" borderId="0" xfId="2" applyFont="1" applyFill="1" applyAlignment="1" applyProtection="1">
      <alignment horizontal="left"/>
    </xf>
    <xf numFmtId="175" fontId="33" fillId="0" borderId="0" xfId="2" applyNumberFormat="1" applyFont="1" applyFill="1" applyBorder="1" applyAlignment="1" applyProtection="1">
      <alignment horizontal="right"/>
    </xf>
    <xf numFmtId="0" fontId="32" fillId="0" borderId="0" xfId="0" applyFont="1" applyBorder="1"/>
    <xf numFmtId="0" fontId="20" fillId="0" borderId="2" xfId="0" applyFont="1" applyBorder="1"/>
    <xf numFmtId="0" fontId="20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44" fontId="7" fillId="0" borderId="0" xfId="0" applyNumberFormat="1" applyFont="1" applyBorder="1"/>
    <xf numFmtId="44" fontId="15" fillId="0" borderId="0" xfId="0" applyNumberFormat="1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4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48</xdr:row>
          <xdr:rowOff>114300</xdr:rowOff>
        </xdr:from>
        <xdr:to>
          <xdr:col>13</xdr:col>
          <xdr:colOff>693420</xdr:colOff>
          <xdr:row>52</xdr:row>
          <xdr:rowOff>68580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zoomScale="75" zoomScaleNormal="75" workbookViewId="0">
      <selection activeCell="A4" sqref="A4"/>
    </sheetView>
  </sheetViews>
  <sheetFormatPr defaultColWidth="9.109375" defaultRowHeight="13.2" outlineLevelCol="1"/>
  <cols>
    <col min="1" max="1" width="3.44140625" style="67" customWidth="1"/>
    <col min="2" max="2" width="20.88671875" style="67" customWidth="1"/>
    <col min="3" max="3" width="2.33203125" style="67" customWidth="1"/>
    <col min="4" max="4" width="16" style="67" customWidth="1"/>
    <col min="5" max="5" width="2.33203125" style="67" customWidth="1"/>
    <col min="6" max="6" width="16.33203125" style="67" customWidth="1"/>
    <col min="7" max="7" width="2.33203125" style="67" customWidth="1"/>
    <col min="8" max="8" width="25.6640625" style="67" customWidth="1"/>
    <col min="9" max="9" width="2.6640625" style="67" customWidth="1"/>
    <col min="10" max="10" width="14.88671875" style="67" customWidth="1"/>
    <col min="11" max="11" width="2.33203125" style="68" customWidth="1"/>
    <col min="12" max="12" width="11.5546875" style="67" customWidth="1"/>
    <col min="13" max="13" width="2.33203125" style="67" customWidth="1"/>
    <col min="14" max="14" width="10.5546875" style="67" customWidth="1"/>
    <col min="15" max="15" width="3.44140625" style="67" customWidth="1"/>
    <col min="16" max="16" width="17.88671875" style="67" hidden="1" customWidth="1" outlineLevel="1"/>
    <col min="17" max="17" width="9.6640625" style="67" hidden="1" customWidth="1" outlineLevel="1"/>
    <col min="18" max="18" width="9.109375" style="67" collapsed="1"/>
    <col min="19" max="26" width="9.109375" style="67"/>
    <col min="27" max="27" width="10.33203125" style="67" customWidth="1"/>
    <col min="28" max="16384" width="9.109375" style="67"/>
  </cols>
  <sheetData>
    <row r="1" spans="1:17" ht="30">
      <c r="B1" s="69" t="s">
        <v>21</v>
      </c>
      <c r="C1" s="69"/>
    </row>
    <row r="2" spans="1:17" ht="30">
      <c r="C2" s="69"/>
      <c r="D2" s="69"/>
    </row>
    <row r="3" spans="1:17" s="70" customFormat="1" ht="12.75" customHeight="1" thickBot="1">
      <c r="A3" s="70" t="s">
        <v>22</v>
      </c>
      <c r="C3" s="71"/>
      <c r="D3" s="71"/>
      <c r="K3" s="72"/>
    </row>
    <row r="4" spans="1:17" s="78" customFormat="1" ht="24" customHeight="1">
      <c r="A4" s="215"/>
      <c r="B4" s="73" t="s">
        <v>46</v>
      </c>
      <c r="C4" s="74"/>
      <c r="D4" s="74" t="s">
        <v>23</v>
      </c>
      <c r="E4" s="74"/>
      <c r="F4" s="75" t="s">
        <v>24</v>
      </c>
      <c r="G4" s="75"/>
      <c r="H4" s="75" t="s">
        <v>25</v>
      </c>
      <c r="I4" s="75"/>
      <c r="J4" s="75" t="s">
        <v>26</v>
      </c>
      <c r="K4" s="76"/>
      <c r="L4" s="75" t="s">
        <v>27</v>
      </c>
      <c r="M4" s="75"/>
      <c r="N4" s="77" t="s">
        <v>59</v>
      </c>
      <c r="O4" s="162"/>
      <c r="Q4" s="79"/>
    </row>
    <row r="5" spans="1:17" s="85" customFormat="1" ht="9.75" customHeight="1">
      <c r="B5" s="15"/>
      <c r="C5" s="15"/>
      <c r="D5" s="15"/>
      <c r="E5" s="15"/>
      <c r="F5" s="80"/>
      <c r="G5" s="15"/>
      <c r="H5" s="36"/>
      <c r="I5" s="15"/>
      <c r="J5" s="36"/>
      <c r="K5" s="81"/>
      <c r="L5" s="36"/>
      <c r="M5" s="15"/>
      <c r="N5" s="36"/>
      <c r="O5" s="82"/>
      <c r="P5" s="83"/>
      <c r="Q5" s="84"/>
    </row>
    <row r="6" spans="1:17" s="85" customFormat="1" ht="12" customHeight="1">
      <c r="B6" s="86" t="s">
        <v>60</v>
      </c>
      <c r="C6" s="15"/>
      <c r="D6" s="15" t="s">
        <v>28</v>
      </c>
      <c r="E6" s="15"/>
      <c r="F6" s="36" t="s">
        <v>29</v>
      </c>
      <c r="G6" s="15"/>
      <c r="H6" s="94" t="s">
        <v>30</v>
      </c>
      <c r="I6" s="15"/>
      <c r="J6" s="87">
        <v>140</v>
      </c>
      <c r="K6" s="81"/>
      <c r="L6" s="36">
        <v>300</v>
      </c>
      <c r="M6" s="15"/>
      <c r="N6" s="98">
        <f>J6/L6*1000</f>
        <v>466.66666666666669</v>
      </c>
      <c r="O6" s="82"/>
      <c r="P6" s="83">
        <v>1</v>
      </c>
      <c r="Q6" s="84"/>
    </row>
    <row r="7" spans="1:17" s="85" customFormat="1" ht="5.25" customHeight="1">
      <c r="B7" s="86"/>
      <c r="C7" s="15"/>
      <c r="D7" s="15"/>
      <c r="E7" s="15"/>
      <c r="F7" s="36"/>
      <c r="G7" s="15"/>
      <c r="H7" s="36"/>
      <c r="I7" s="15"/>
      <c r="J7" s="87"/>
      <c r="K7" s="81"/>
      <c r="L7" s="36"/>
      <c r="M7" s="15"/>
      <c r="N7" s="88"/>
      <c r="O7" s="82"/>
      <c r="P7" s="83"/>
      <c r="Q7" s="84"/>
    </row>
    <row r="8" spans="1:17" s="85" customFormat="1" ht="12" customHeight="1">
      <c r="B8" s="86" t="s">
        <v>60</v>
      </c>
      <c r="C8" s="15"/>
      <c r="D8" s="15" t="s">
        <v>56</v>
      </c>
      <c r="E8" s="15"/>
      <c r="F8" s="36" t="s">
        <v>57</v>
      </c>
      <c r="G8" s="15"/>
      <c r="H8" s="94" t="s">
        <v>30</v>
      </c>
      <c r="I8" s="15"/>
      <c r="J8" s="87">
        <v>190</v>
      </c>
      <c r="K8" s="81"/>
      <c r="L8" s="36">
        <v>500</v>
      </c>
      <c r="M8" s="15"/>
      <c r="N8" s="98">
        <f>J8/L8*1000</f>
        <v>380</v>
      </c>
      <c r="O8" s="82"/>
      <c r="P8" s="83">
        <v>1</v>
      </c>
      <c r="Q8" s="84"/>
    </row>
    <row r="9" spans="1:17" s="85" customFormat="1" ht="5.25" customHeight="1">
      <c r="B9" s="86"/>
      <c r="C9" s="15"/>
      <c r="D9" s="15"/>
      <c r="E9" s="15"/>
      <c r="F9" s="36"/>
      <c r="G9" s="15"/>
      <c r="H9" s="36"/>
      <c r="I9" s="15"/>
      <c r="J9" s="87"/>
      <c r="K9" s="81"/>
      <c r="L9" s="36"/>
      <c r="M9" s="15"/>
      <c r="N9" s="88"/>
      <c r="O9" s="82"/>
      <c r="P9" s="83"/>
      <c r="Q9" s="84"/>
    </row>
    <row r="10" spans="1:17" s="85" customFormat="1" ht="39" customHeight="1">
      <c r="B10" s="89" t="s">
        <v>61</v>
      </c>
      <c r="C10" s="90"/>
      <c r="D10" s="91" t="s">
        <v>31</v>
      </c>
      <c r="E10" s="90"/>
      <c r="F10" s="92">
        <v>37073</v>
      </c>
      <c r="G10" s="93"/>
      <c r="H10" s="94" t="s">
        <v>32</v>
      </c>
      <c r="I10" s="93"/>
      <c r="J10" s="95">
        <v>180</v>
      </c>
      <c r="K10" s="96"/>
      <c r="L10" s="97">
        <v>490</v>
      </c>
      <c r="M10" s="93"/>
      <c r="N10" s="98">
        <f>J10/L10*1000</f>
        <v>367.34693877551024</v>
      </c>
      <c r="O10" s="82"/>
      <c r="P10" s="83">
        <v>1</v>
      </c>
      <c r="Q10" s="84"/>
    </row>
    <row r="11" spans="1:17" s="85" customFormat="1" ht="5.25" customHeight="1">
      <c r="B11" s="86"/>
      <c r="C11" s="15"/>
      <c r="D11" s="15"/>
      <c r="E11" s="15"/>
      <c r="F11" s="92"/>
      <c r="G11" s="15"/>
      <c r="H11" s="36"/>
      <c r="I11" s="15"/>
      <c r="J11" s="87"/>
      <c r="K11" s="81"/>
      <c r="L11" s="36"/>
      <c r="M11" s="15"/>
      <c r="N11" s="88"/>
      <c r="O11" s="82"/>
      <c r="P11" s="83"/>
      <c r="Q11" s="84"/>
    </row>
    <row r="12" spans="1:17" s="85" customFormat="1" ht="39" customHeight="1">
      <c r="B12" s="89" t="s">
        <v>92</v>
      </c>
      <c r="C12" s="90"/>
      <c r="D12" s="91" t="s">
        <v>31</v>
      </c>
      <c r="E12" s="90"/>
      <c r="F12" s="163">
        <v>2002</v>
      </c>
      <c r="G12" s="93"/>
      <c r="H12" s="94" t="s">
        <v>32</v>
      </c>
      <c r="I12" s="93"/>
      <c r="J12" s="95">
        <v>140</v>
      </c>
      <c r="K12" s="96"/>
      <c r="L12" s="97">
        <v>320</v>
      </c>
      <c r="M12" s="93"/>
      <c r="N12" s="98">
        <f>J12/L12*1000</f>
        <v>437.5</v>
      </c>
      <c r="O12" s="82"/>
      <c r="P12" s="83">
        <v>1</v>
      </c>
      <c r="Q12" s="84"/>
    </row>
    <row r="13" spans="1:17" s="85" customFormat="1" ht="5.25" customHeight="1">
      <c r="B13" s="86"/>
      <c r="C13" s="15"/>
      <c r="D13" s="15"/>
      <c r="E13" s="15"/>
      <c r="F13" s="92"/>
      <c r="G13" s="15"/>
      <c r="H13" s="36"/>
      <c r="I13" s="15"/>
      <c r="J13" s="87"/>
      <c r="K13" s="81"/>
      <c r="L13" s="36"/>
      <c r="M13" s="15"/>
      <c r="N13" s="88"/>
      <c r="O13" s="82"/>
      <c r="P13" s="83"/>
      <c r="Q13" s="84"/>
    </row>
    <row r="14" spans="1:17" s="85" customFormat="1" ht="38.25" customHeight="1">
      <c r="B14" s="89" t="s">
        <v>62</v>
      </c>
      <c r="C14" s="90"/>
      <c r="D14" s="91" t="s">
        <v>33</v>
      </c>
      <c r="E14" s="90"/>
      <c r="F14" s="92">
        <v>37043</v>
      </c>
      <c r="G14" s="93"/>
      <c r="H14" s="94" t="s">
        <v>32</v>
      </c>
      <c r="I14" s="93"/>
      <c r="J14" s="95">
        <v>200</v>
      </c>
      <c r="K14" s="96"/>
      <c r="L14" s="97">
        <v>490</v>
      </c>
      <c r="M14" s="93"/>
      <c r="N14" s="98">
        <f>J14/L14*1000</f>
        <v>408.16326530612247</v>
      </c>
      <c r="O14" s="82"/>
      <c r="P14" s="83">
        <v>1</v>
      </c>
      <c r="Q14" s="84"/>
    </row>
    <row r="15" spans="1:17" s="85" customFormat="1" ht="5.25" customHeight="1">
      <c r="B15" s="86"/>
      <c r="C15" s="15"/>
      <c r="D15" s="15"/>
      <c r="E15" s="15"/>
      <c r="F15" s="36"/>
      <c r="G15" s="15"/>
      <c r="H15" s="36"/>
      <c r="I15" s="15"/>
      <c r="J15" s="87"/>
      <c r="K15" s="81"/>
      <c r="L15" s="36"/>
      <c r="M15" s="15"/>
      <c r="N15" s="88"/>
      <c r="O15" s="82"/>
      <c r="P15" s="83"/>
      <c r="Q15" s="84"/>
    </row>
    <row r="16" spans="1:17" s="106" customFormat="1" ht="12" customHeight="1">
      <c r="B16" s="99" t="s">
        <v>63</v>
      </c>
      <c r="C16" s="90"/>
      <c r="D16" s="90" t="s">
        <v>34</v>
      </c>
      <c r="E16" s="90"/>
      <c r="F16" s="100" t="s">
        <v>29</v>
      </c>
      <c r="G16" s="101"/>
      <c r="H16" s="102" t="s">
        <v>35</v>
      </c>
      <c r="I16" s="101"/>
      <c r="J16" s="95">
        <v>180</v>
      </c>
      <c r="K16" s="103"/>
      <c r="L16" s="97">
        <v>315</v>
      </c>
      <c r="M16" s="104"/>
      <c r="N16" s="98">
        <f>J16/L16*1000</f>
        <v>571.42857142857144</v>
      </c>
      <c r="O16" s="105"/>
      <c r="P16" s="83">
        <v>1</v>
      </c>
      <c r="Q16" s="105"/>
    </row>
    <row r="17" spans="2:17" s="85" customFormat="1" ht="5.25" customHeight="1">
      <c r="B17" s="86"/>
      <c r="C17" s="15"/>
      <c r="D17" s="15"/>
      <c r="E17" s="15"/>
      <c r="F17" s="36"/>
      <c r="G17" s="15"/>
      <c r="H17" s="107"/>
      <c r="I17" s="15"/>
      <c r="J17" s="87"/>
      <c r="K17" s="81"/>
      <c r="L17" s="36"/>
      <c r="M17" s="15"/>
      <c r="N17" s="88"/>
      <c r="O17" s="82"/>
      <c r="P17" s="83"/>
      <c r="Q17" s="84"/>
    </row>
    <row r="18" spans="2:17" s="106" customFormat="1" ht="12" customHeight="1">
      <c r="B18" s="99" t="s">
        <v>64</v>
      </c>
      <c r="C18" s="90"/>
      <c r="D18" s="90" t="s">
        <v>36</v>
      </c>
      <c r="E18" s="90"/>
      <c r="F18" s="100" t="s">
        <v>29</v>
      </c>
      <c r="G18" s="101"/>
      <c r="H18" s="102" t="s">
        <v>37</v>
      </c>
      <c r="I18" s="101"/>
      <c r="J18" s="95">
        <v>140</v>
      </c>
      <c r="K18" s="103"/>
      <c r="L18" s="97">
        <v>315</v>
      </c>
      <c r="M18" s="104"/>
      <c r="N18" s="98">
        <f>J18/L18*1000</f>
        <v>444.4444444444444</v>
      </c>
      <c r="O18" s="105"/>
      <c r="P18" s="83">
        <v>1</v>
      </c>
      <c r="Q18" s="105"/>
    </row>
    <row r="19" spans="2:17" s="85" customFormat="1" ht="5.25" customHeight="1">
      <c r="B19" s="86"/>
      <c r="C19" s="15"/>
      <c r="D19" s="15"/>
      <c r="E19" s="15"/>
      <c r="F19" s="92"/>
      <c r="G19" s="15"/>
      <c r="H19" s="107"/>
      <c r="I19" s="15"/>
      <c r="J19" s="87"/>
      <c r="K19" s="81"/>
      <c r="L19" s="36"/>
      <c r="M19" s="15"/>
      <c r="N19" s="88"/>
      <c r="O19" s="82"/>
      <c r="P19" s="83"/>
      <c r="Q19" s="84"/>
    </row>
    <row r="20" spans="2:17" s="85" customFormat="1" ht="38.25" customHeight="1">
      <c r="B20" s="195" t="s">
        <v>65</v>
      </c>
      <c r="C20" s="106"/>
      <c r="D20" s="195" t="s">
        <v>54</v>
      </c>
      <c r="E20" s="196"/>
      <c r="F20" s="197" t="s">
        <v>55</v>
      </c>
      <c r="G20" s="198">
        <v>380000</v>
      </c>
      <c r="H20" s="91" t="s">
        <v>55</v>
      </c>
      <c r="I20" s="93"/>
      <c r="J20" s="95">
        <v>380</v>
      </c>
      <c r="K20" s="103"/>
      <c r="L20" s="97">
        <v>800</v>
      </c>
      <c r="M20" s="104"/>
      <c r="N20" s="98">
        <f>J20/L20*1000</f>
        <v>475</v>
      </c>
      <c r="O20" s="105"/>
      <c r="P20" s="83">
        <v>1</v>
      </c>
      <c r="Q20" s="84"/>
    </row>
    <row r="21" spans="2:17" s="85" customFormat="1" ht="5.25" customHeight="1">
      <c r="B21" s="86"/>
      <c r="C21" s="15"/>
      <c r="D21" s="15"/>
      <c r="E21" s="15"/>
      <c r="F21" s="92"/>
      <c r="G21" s="15"/>
      <c r="H21" s="107"/>
      <c r="I21" s="15"/>
      <c r="J21" s="87"/>
      <c r="K21" s="81"/>
      <c r="L21" s="36"/>
      <c r="M21" s="15"/>
      <c r="N21" s="88"/>
      <c r="O21" s="82"/>
      <c r="P21" s="83"/>
      <c r="Q21" s="84"/>
    </row>
    <row r="22" spans="2:17" s="85" customFormat="1" ht="38.25" customHeight="1">
      <c r="B22" s="199" t="s">
        <v>66</v>
      </c>
      <c r="C22" s="106"/>
      <c r="D22" s="195" t="s">
        <v>54</v>
      </c>
      <c r="E22" s="196"/>
      <c r="F22" s="92">
        <v>37043</v>
      </c>
      <c r="G22" s="198">
        <v>380000</v>
      </c>
      <c r="H22" s="91" t="s">
        <v>55</v>
      </c>
      <c r="I22" s="93"/>
      <c r="J22" s="95">
        <v>25</v>
      </c>
      <c r="K22" s="103"/>
      <c r="L22" s="97">
        <v>45</v>
      </c>
      <c r="M22" s="104"/>
      <c r="N22" s="98">
        <f>J22/L22*1000</f>
        <v>555.55555555555554</v>
      </c>
      <c r="O22" s="105"/>
      <c r="P22" s="83">
        <v>1</v>
      </c>
      <c r="Q22" s="84"/>
    </row>
    <row r="23" spans="2:17" s="85" customFormat="1" ht="5.25" customHeight="1">
      <c r="B23" s="86"/>
      <c r="C23" s="15"/>
      <c r="D23" s="15"/>
      <c r="E23" s="15"/>
      <c r="F23" s="92"/>
      <c r="G23" s="15"/>
      <c r="H23" s="107"/>
      <c r="I23" s="15"/>
      <c r="J23" s="87"/>
      <c r="K23" s="81"/>
      <c r="L23" s="36"/>
      <c r="M23" s="15"/>
      <c r="N23" s="88"/>
      <c r="O23" s="82"/>
      <c r="P23" s="83"/>
      <c r="Q23" s="84"/>
    </row>
    <row r="24" spans="2:17" s="85" customFormat="1" ht="38.25" customHeight="1">
      <c r="B24" s="89" t="s">
        <v>68</v>
      </c>
      <c r="C24" s="90"/>
      <c r="D24" s="90" t="s">
        <v>53</v>
      </c>
      <c r="E24" s="90"/>
      <c r="F24" s="92">
        <v>37043</v>
      </c>
      <c r="G24" s="93"/>
      <c r="H24" s="91" t="s">
        <v>55</v>
      </c>
      <c r="I24" s="93"/>
      <c r="J24" s="95">
        <v>50</v>
      </c>
      <c r="K24" s="103"/>
      <c r="L24" s="97">
        <v>155</v>
      </c>
      <c r="M24" s="104"/>
      <c r="N24" s="98">
        <f>J24/L24*1000</f>
        <v>322.58064516129031</v>
      </c>
      <c r="O24" s="82"/>
      <c r="P24" s="83">
        <v>1</v>
      </c>
      <c r="Q24" s="84"/>
    </row>
    <row r="25" spans="2:17" s="85" customFormat="1" ht="5.25" customHeight="1">
      <c r="B25" s="86"/>
      <c r="C25" s="15"/>
      <c r="D25" s="15"/>
      <c r="E25" s="15"/>
      <c r="F25" s="36"/>
      <c r="G25" s="15"/>
      <c r="H25" s="107"/>
      <c r="I25" s="15"/>
      <c r="J25" s="87"/>
      <c r="K25" s="81"/>
      <c r="L25" s="36"/>
      <c r="M25" s="15"/>
      <c r="N25" s="88"/>
      <c r="O25" s="82"/>
      <c r="P25" s="83"/>
      <c r="Q25" s="84"/>
    </row>
    <row r="26" spans="2:17" s="85" customFormat="1" ht="38.25" customHeight="1">
      <c r="B26" s="89" t="s">
        <v>67</v>
      </c>
      <c r="C26" s="90"/>
      <c r="D26" s="90" t="s">
        <v>54</v>
      </c>
      <c r="E26" s="90"/>
      <c r="F26" s="197" t="s">
        <v>55</v>
      </c>
      <c r="G26" s="93"/>
      <c r="H26" s="91" t="s">
        <v>55</v>
      </c>
      <c r="I26" s="93"/>
      <c r="J26" s="95">
        <v>100</v>
      </c>
      <c r="K26" s="103"/>
      <c r="L26" s="97">
        <v>300</v>
      </c>
      <c r="M26" s="104"/>
      <c r="N26" s="98">
        <f>J26/L26*1000</f>
        <v>333.33333333333331</v>
      </c>
      <c r="O26" s="82"/>
      <c r="P26" s="83">
        <v>1</v>
      </c>
      <c r="Q26" s="84"/>
    </row>
    <row r="27" spans="2:17" s="85" customFormat="1" ht="5.25" customHeight="1">
      <c r="B27" s="86"/>
      <c r="C27" s="15"/>
      <c r="D27" s="15"/>
      <c r="E27" s="15"/>
      <c r="F27" s="36"/>
      <c r="G27" s="15"/>
      <c r="H27" s="107"/>
      <c r="I27" s="15"/>
      <c r="J27" s="87"/>
      <c r="K27" s="81"/>
      <c r="L27" s="36"/>
      <c r="M27" s="15"/>
      <c r="N27" s="88"/>
      <c r="O27" s="82"/>
      <c r="P27" s="83"/>
      <c r="Q27" s="84"/>
    </row>
    <row r="28" spans="2:17" s="85" customFormat="1" ht="38.25" customHeight="1">
      <c r="B28" s="89" t="s">
        <v>67</v>
      </c>
      <c r="C28" s="90"/>
      <c r="D28" s="90" t="s">
        <v>54</v>
      </c>
      <c r="E28" s="90"/>
      <c r="F28" s="92">
        <v>37043</v>
      </c>
      <c r="G28" s="93"/>
      <c r="H28" s="91" t="s">
        <v>55</v>
      </c>
      <c r="I28" s="93"/>
      <c r="J28" s="95">
        <v>250</v>
      </c>
      <c r="K28" s="103"/>
      <c r="L28" s="97">
        <v>700</v>
      </c>
      <c r="M28" s="104"/>
      <c r="N28" s="98">
        <f>J28/L28*1000</f>
        <v>357.14285714285717</v>
      </c>
      <c r="O28" s="82"/>
      <c r="P28" s="83">
        <v>1</v>
      </c>
      <c r="Q28" s="84"/>
    </row>
    <row r="29" spans="2:17" s="85" customFormat="1" ht="5.25" customHeight="1">
      <c r="B29" s="86"/>
      <c r="C29" s="15"/>
      <c r="D29" s="15"/>
      <c r="E29" s="15"/>
      <c r="F29" s="36"/>
      <c r="G29" s="15"/>
      <c r="H29" s="107"/>
      <c r="I29" s="15"/>
      <c r="J29" s="87"/>
      <c r="K29" s="81"/>
      <c r="L29" s="36"/>
      <c r="M29" s="15"/>
      <c r="N29" s="88"/>
      <c r="O29" s="82"/>
      <c r="P29" s="83"/>
      <c r="Q29" s="84"/>
    </row>
    <row r="30" spans="2:17" s="85" customFormat="1" ht="38.25" customHeight="1">
      <c r="B30" s="89" t="s">
        <v>82</v>
      </c>
      <c r="C30" s="90"/>
      <c r="D30" s="90" t="s">
        <v>36</v>
      </c>
      <c r="E30" s="90"/>
      <c r="F30" s="100" t="s">
        <v>38</v>
      </c>
      <c r="G30" s="93"/>
      <c r="H30" s="94" t="s">
        <v>39</v>
      </c>
      <c r="I30" s="93"/>
      <c r="J30" s="95">
        <f>1.25*80</f>
        <v>100</v>
      </c>
      <c r="K30" s="103"/>
      <c r="L30" s="97">
        <v>225</v>
      </c>
      <c r="M30" s="104"/>
      <c r="N30" s="98">
        <f>J30/L30*1000</f>
        <v>444.4444444444444</v>
      </c>
      <c r="O30" s="82"/>
      <c r="P30" s="83">
        <v>1</v>
      </c>
      <c r="Q30" s="84"/>
    </row>
    <row r="31" spans="2:17" s="85" customFormat="1" ht="5.25" customHeight="1">
      <c r="B31" s="86"/>
      <c r="C31" s="15"/>
      <c r="D31" s="15"/>
      <c r="E31" s="15"/>
      <c r="F31" s="36"/>
      <c r="G31" s="15"/>
      <c r="H31" s="107"/>
      <c r="I31" s="15"/>
      <c r="J31" s="87"/>
      <c r="K31" s="81"/>
      <c r="L31" s="36"/>
      <c r="M31" s="15"/>
      <c r="N31" s="88"/>
      <c r="O31" s="82"/>
      <c r="P31" s="83"/>
      <c r="Q31" s="84"/>
    </row>
    <row r="32" spans="2:17" s="85" customFormat="1" ht="31.5" customHeight="1">
      <c r="B32" s="89" t="s">
        <v>83</v>
      </c>
      <c r="C32" s="90"/>
      <c r="D32" s="90" t="s">
        <v>36</v>
      </c>
      <c r="E32" s="90"/>
      <c r="F32" s="100" t="s">
        <v>29</v>
      </c>
      <c r="G32" s="93"/>
      <c r="H32" s="94" t="s">
        <v>40</v>
      </c>
      <c r="I32" s="93"/>
      <c r="J32" s="95">
        <f>1.25*50</f>
        <v>62.5</v>
      </c>
      <c r="K32" s="103"/>
      <c r="L32" s="97">
        <v>160</v>
      </c>
      <c r="M32" s="104"/>
      <c r="N32" s="98">
        <f>J32/L32*1000</f>
        <v>390.625</v>
      </c>
      <c r="O32" s="82"/>
      <c r="P32" s="83">
        <v>1</v>
      </c>
      <c r="Q32" s="84"/>
    </row>
    <row r="33" spans="1:28" s="85" customFormat="1" ht="5.25" customHeight="1">
      <c r="B33" s="86"/>
      <c r="C33" s="15"/>
      <c r="D33" s="15"/>
      <c r="E33" s="15"/>
      <c r="F33" s="36"/>
      <c r="G33" s="15"/>
      <c r="H33" s="36"/>
      <c r="I33" s="15"/>
      <c r="J33" s="87"/>
      <c r="K33" s="81"/>
      <c r="L33" s="36"/>
      <c r="M33" s="15"/>
      <c r="N33" s="88"/>
      <c r="O33" s="82"/>
      <c r="P33" s="83"/>
      <c r="Q33" s="84"/>
    </row>
    <row r="34" spans="1:28" s="85" customFormat="1" ht="28.5" customHeight="1">
      <c r="B34" s="89" t="s">
        <v>84</v>
      </c>
      <c r="C34" s="90"/>
      <c r="D34" s="90" t="s">
        <v>36</v>
      </c>
      <c r="E34" s="90"/>
      <c r="F34" s="100" t="s">
        <v>41</v>
      </c>
      <c r="G34" s="93"/>
      <c r="H34" s="94" t="s">
        <v>40</v>
      </c>
      <c r="I34" s="93"/>
      <c r="J34" s="95">
        <f>1.25*60</f>
        <v>75</v>
      </c>
      <c r="K34" s="103"/>
      <c r="L34" s="97">
        <v>160</v>
      </c>
      <c r="M34" s="104"/>
      <c r="N34" s="98">
        <f>J34/L34*1000</f>
        <v>468.75</v>
      </c>
      <c r="O34" s="82"/>
      <c r="P34" s="83">
        <v>1</v>
      </c>
      <c r="Q34" s="84"/>
    </row>
    <row r="35" spans="1:28" s="85" customFormat="1" ht="5.25" customHeight="1">
      <c r="B35" s="86"/>
      <c r="C35" s="15"/>
      <c r="D35" s="15"/>
      <c r="E35" s="15"/>
      <c r="F35" s="36"/>
      <c r="G35" s="15"/>
      <c r="H35" s="36"/>
      <c r="I35" s="15"/>
      <c r="J35" s="87"/>
      <c r="K35" s="81"/>
      <c r="L35" s="36" t="s">
        <v>42</v>
      </c>
      <c r="M35" s="15"/>
      <c r="N35" s="88"/>
      <c r="O35" s="82"/>
      <c r="P35" s="83"/>
      <c r="Q35" s="84"/>
    </row>
    <row r="36" spans="1:28" s="85" customFormat="1" ht="38.25" customHeight="1">
      <c r="B36" s="89" t="s">
        <v>86</v>
      </c>
      <c r="C36" s="90"/>
      <c r="D36" s="90" t="s">
        <v>43</v>
      </c>
      <c r="E36" s="90"/>
      <c r="F36" s="92">
        <v>37043</v>
      </c>
      <c r="G36" s="93"/>
      <c r="H36" s="94" t="s">
        <v>30</v>
      </c>
      <c r="I36" s="93"/>
      <c r="J36" s="95">
        <v>200</v>
      </c>
      <c r="K36" s="103"/>
      <c r="L36" s="97">
        <v>500</v>
      </c>
      <c r="M36" s="104"/>
      <c r="N36" s="98">
        <f>J36/L36*1000</f>
        <v>400</v>
      </c>
      <c r="O36" s="82"/>
      <c r="P36" s="83">
        <v>1</v>
      </c>
      <c r="Q36" s="84"/>
    </row>
    <row r="37" spans="1:28" s="85" customFormat="1" ht="5.25" customHeight="1">
      <c r="B37" s="86"/>
      <c r="C37" s="15"/>
      <c r="D37" s="15"/>
      <c r="E37" s="15"/>
      <c r="F37" s="36"/>
      <c r="G37" s="15"/>
      <c r="H37" s="36"/>
      <c r="I37" s="15"/>
      <c r="J37" s="87"/>
      <c r="K37" s="81"/>
      <c r="L37" s="36" t="s">
        <v>42</v>
      </c>
      <c r="M37" s="15"/>
      <c r="N37" s="88"/>
      <c r="O37" s="82"/>
      <c r="P37" s="83"/>
      <c r="Q37" s="84"/>
    </row>
    <row r="38" spans="1:28" s="85" customFormat="1" ht="38.25" customHeight="1">
      <c r="A38" s="180"/>
      <c r="B38" s="171" t="s">
        <v>93</v>
      </c>
      <c r="C38" s="172"/>
      <c r="D38" s="172" t="s">
        <v>51</v>
      </c>
      <c r="E38" s="172"/>
      <c r="F38" s="193" t="s">
        <v>29</v>
      </c>
      <c r="G38" s="173"/>
      <c r="H38" s="174" t="s">
        <v>32</v>
      </c>
      <c r="I38" s="173"/>
      <c r="J38" s="175">
        <v>330</v>
      </c>
      <c r="K38" s="176"/>
      <c r="L38" s="177">
        <v>930</v>
      </c>
      <c r="M38" s="178"/>
      <c r="N38" s="179">
        <f>J38/L38*1000</f>
        <v>354.83870967741939</v>
      </c>
      <c r="O38" s="82"/>
      <c r="P38" s="83">
        <v>1</v>
      </c>
      <c r="Q38" s="84"/>
    </row>
    <row r="39" spans="1:28" s="85" customFormat="1" ht="4.5" customHeight="1">
      <c r="A39" s="214"/>
      <c r="B39" s="183"/>
      <c r="C39" s="184"/>
      <c r="D39" s="184"/>
      <c r="E39" s="184"/>
      <c r="F39" s="185"/>
      <c r="G39" s="186"/>
      <c r="H39" s="187"/>
      <c r="I39" s="186"/>
      <c r="J39" s="188"/>
      <c r="K39" s="189"/>
      <c r="L39" s="190"/>
      <c r="M39" s="191"/>
      <c r="N39" s="192"/>
      <c r="O39" s="82"/>
      <c r="P39" s="83"/>
      <c r="Q39" s="84"/>
    </row>
    <row r="40" spans="1:28" s="85" customFormat="1" ht="15" customHeight="1">
      <c r="A40" s="202" t="s">
        <v>69</v>
      </c>
      <c r="B40" s="82" t="s">
        <v>75</v>
      </c>
      <c r="C40" s="82"/>
      <c r="D40" s="82"/>
      <c r="E40" s="172"/>
      <c r="F40" s="100"/>
      <c r="G40" s="173"/>
      <c r="H40" s="174"/>
      <c r="I40" s="173"/>
      <c r="J40" s="221" t="s">
        <v>52</v>
      </c>
      <c r="K40" s="222"/>
      <c r="L40" s="222"/>
      <c r="M40" s="178"/>
      <c r="N40" s="194">
        <f>+Q44</f>
        <v>418.92074768975687</v>
      </c>
      <c r="O40" s="82"/>
      <c r="P40" s="83" t="s">
        <v>87</v>
      </c>
      <c r="Q40" s="217">
        <f>+MAX(N6:N38)</f>
        <v>571.42857142857144</v>
      </c>
    </row>
    <row r="41" spans="1:28" s="180" customFormat="1" ht="12" customHeight="1">
      <c r="A41" s="85" t="s">
        <v>70</v>
      </c>
      <c r="B41" s="203" t="s">
        <v>76</v>
      </c>
      <c r="C41" s="82"/>
      <c r="D41" s="82"/>
      <c r="E41" s="15"/>
      <c r="F41" s="92"/>
      <c r="G41" s="109"/>
      <c r="H41" s="113"/>
      <c r="I41" s="111"/>
      <c r="O41" s="84"/>
      <c r="P41" s="83" t="s">
        <v>88</v>
      </c>
      <c r="Q41" s="217">
        <f>+MIN(N6:N38)</f>
        <v>322.58064516129031</v>
      </c>
      <c r="Y41" s="181"/>
      <c r="Z41" s="181"/>
      <c r="AA41" s="181"/>
      <c r="AB41" s="181"/>
    </row>
    <row r="42" spans="1:28">
      <c r="A42" s="202" t="s">
        <v>71</v>
      </c>
      <c r="B42" s="82" t="s">
        <v>77</v>
      </c>
      <c r="C42" s="82"/>
      <c r="D42" s="82"/>
      <c r="E42" s="15"/>
      <c r="F42" s="114"/>
      <c r="G42" s="115"/>
      <c r="H42" s="115"/>
      <c r="I42" s="115"/>
      <c r="J42" s="104"/>
      <c r="K42" s="103"/>
      <c r="L42" s="206"/>
      <c r="M42" s="182"/>
      <c r="N42" s="207"/>
      <c r="P42" s="83" t="s">
        <v>89</v>
      </c>
      <c r="Q42" s="218">
        <f>+SUM(N6:N38)</f>
        <v>7177.8204319362148</v>
      </c>
    </row>
    <row r="43" spans="1:28">
      <c r="A43" s="85" t="s">
        <v>72</v>
      </c>
      <c r="B43" s="203" t="s">
        <v>78</v>
      </c>
      <c r="C43" s="82"/>
      <c r="D43" s="82"/>
      <c r="E43" s="15"/>
      <c r="F43" s="108"/>
      <c r="G43" s="109"/>
      <c r="H43" s="110"/>
      <c r="I43" s="111"/>
      <c r="J43" s="104"/>
      <c r="K43" s="103"/>
      <c r="L43" s="206"/>
      <c r="M43" s="182"/>
      <c r="N43" s="207"/>
      <c r="P43" s="83" t="s">
        <v>90</v>
      </c>
      <c r="Q43" s="218">
        <f>+Q42-Q40-Q41</f>
        <v>6283.8112153463526</v>
      </c>
    </row>
    <row r="44" spans="1:28" s="85" customFormat="1" ht="12" customHeight="1">
      <c r="A44" s="202" t="s">
        <v>73</v>
      </c>
      <c r="B44" s="203" t="s">
        <v>79</v>
      </c>
      <c r="C44" s="82"/>
      <c r="D44" s="82"/>
      <c r="E44" s="15"/>
      <c r="F44" s="114"/>
      <c r="G44" s="115"/>
      <c r="H44" s="115"/>
      <c r="I44" s="115"/>
      <c r="J44" s="104"/>
      <c r="K44" s="103"/>
      <c r="L44" s="206"/>
      <c r="M44" s="182"/>
      <c r="N44" s="207"/>
      <c r="O44" s="205"/>
      <c r="P44" s="83" t="s">
        <v>91</v>
      </c>
      <c r="Q44" s="82">
        <f>+Q43/((SUM(P6:P38)-2))</f>
        <v>418.92074768975687</v>
      </c>
      <c r="R44" s="204"/>
      <c r="Y44" s="112"/>
      <c r="Z44" s="112"/>
      <c r="AA44" s="112"/>
      <c r="AB44" s="112"/>
    </row>
    <row r="45" spans="1:28" s="85" customFormat="1" ht="12" customHeight="1">
      <c r="A45" s="85" t="s">
        <v>74</v>
      </c>
      <c r="B45" s="219" t="s">
        <v>81</v>
      </c>
      <c r="C45" s="220"/>
      <c r="D45" s="220"/>
      <c r="E45" s="220"/>
      <c r="F45" s="216"/>
      <c r="G45" s="216"/>
      <c r="H45" s="115"/>
      <c r="I45" s="115"/>
      <c r="J45" s="104"/>
      <c r="K45" s="103"/>
      <c r="L45" s="206"/>
      <c r="M45" s="182"/>
      <c r="N45" s="207"/>
      <c r="O45" s="205"/>
      <c r="P45" s="182"/>
      <c r="Q45" s="205"/>
      <c r="R45" s="204"/>
      <c r="Y45" s="112"/>
      <c r="Z45" s="112"/>
      <c r="AA45" s="112"/>
      <c r="AB45" s="112"/>
    </row>
    <row r="46" spans="1:28" s="85" customFormat="1" ht="12" customHeight="1">
      <c r="B46" s="220"/>
      <c r="C46" s="220"/>
      <c r="D46" s="220"/>
      <c r="E46" s="220"/>
      <c r="F46" s="216"/>
      <c r="G46" s="216"/>
      <c r="H46" s="110"/>
      <c r="I46" s="116"/>
      <c r="J46" s="104"/>
      <c r="K46" s="103"/>
      <c r="L46" s="206"/>
      <c r="M46" s="182"/>
      <c r="N46" s="204"/>
      <c r="O46" s="120"/>
      <c r="P46" s="208"/>
      <c r="Q46" s="205"/>
      <c r="R46" s="204"/>
      <c r="Y46" s="112"/>
      <c r="Z46" s="112"/>
      <c r="AA46" s="117"/>
      <c r="AB46" s="112"/>
    </row>
    <row r="47" spans="1:28" s="85" customFormat="1" ht="10.5" customHeight="1">
      <c r="A47" s="85" t="s">
        <v>80</v>
      </c>
      <c r="B47" s="123" t="s">
        <v>85</v>
      </c>
      <c r="C47" s="128"/>
      <c r="D47" s="125"/>
      <c r="E47" s="125"/>
      <c r="F47" s="124"/>
      <c r="G47" s="126"/>
      <c r="H47" s="127"/>
      <c r="I47" s="118"/>
      <c r="J47" s="127"/>
      <c r="K47" s="119"/>
      <c r="L47" s="127"/>
      <c r="M47" s="118"/>
      <c r="N47" s="127"/>
      <c r="O47" s="120"/>
      <c r="P47" s="207">
        <f>+N44-N42-N43</f>
        <v>0</v>
      </c>
      <c r="Q47" s="205"/>
      <c r="R47" s="204"/>
      <c r="Y47" s="112"/>
      <c r="Z47" s="112"/>
      <c r="AA47" s="112"/>
      <c r="AB47" s="112"/>
    </row>
    <row r="48" spans="1:28" s="85" customFormat="1" ht="10.5" customHeight="1">
      <c r="E48" s="125"/>
      <c r="F48" s="124"/>
      <c r="G48" s="126"/>
      <c r="H48" s="127"/>
      <c r="I48" s="118"/>
      <c r="J48" s="127"/>
      <c r="K48" s="119"/>
      <c r="L48" s="127"/>
      <c r="M48" s="118"/>
      <c r="N48" s="127"/>
      <c r="O48" s="120"/>
      <c r="P48" s="209">
        <f>+P47/15</f>
        <v>0</v>
      </c>
      <c r="Q48" s="205"/>
      <c r="R48" s="204"/>
      <c r="X48" s="121"/>
      <c r="Y48" s="112"/>
      <c r="Z48" s="112"/>
      <c r="AA48" s="112"/>
      <c r="AB48" s="112"/>
    </row>
    <row r="49" spans="1:28" s="85" customFormat="1" ht="10.5" customHeight="1">
      <c r="B49" s="123"/>
      <c r="C49" s="123"/>
      <c r="D49" s="125"/>
      <c r="E49" s="125"/>
      <c r="F49" s="124"/>
      <c r="G49" s="126"/>
      <c r="H49" s="127"/>
      <c r="I49" s="118"/>
      <c r="J49" s="127"/>
      <c r="K49" s="119"/>
      <c r="L49" s="127"/>
      <c r="M49" s="118"/>
      <c r="N49" s="127"/>
      <c r="O49" s="120"/>
      <c r="P49" s="208"/>
      <c r="Q49" s="205"/>
      <c r="R49" s="204"/>
      <c r="X49" s="121"/>
      <c r="Y49" s="112"/>
      <c r="Z49" s="112"/>
      <c r="AA49" s="112"/>
      <c r="AB49" s="112"/>
    </row>
    <row r="50" spans="1:28" s="85" customFormat="1" ht="12.75" customHeight="1">
      <c r="B50" s="123"/>
      <c r="C50" s="123"/>
      <c r="D50" s="125"/>
      <c r="E50" s="125"/>
      <c r="F50" s="129"/>
      <c r="G50" s="126"/>
      <c r="H50" s="130"/>
      <c r="I50" s="118"/>
      <c r="J50" s="130"/>
      <c r="K50" s="119"/>
      <c r="L50" s="130"/>
      <c r="M50" s="118"/>
      <c r="N50" s="130"/>
      <c r="O50" s="120"/>
      <c r="P50" s="210"/>
      <c r="Q50" s="205"/>
      <c r="R50" s="204"/>
      <c r="Y50" s="112"/>
      <c r="Z50" s="112"/>
      <c r="AA50" s="112"/>
      <c r="AB50" s="112"/>
    </row>
    <row r="51" spans="1:28" s="85" customFormat="1" ht="11.25" customHeight="1">
      <c r="B51" s="123"/>
      <c r="C51" s="125"/>
      <c r="D51" s="125"/>
      <c r="E51" s="125"/>
      <c r="F51" s="131"/>
      <c r="G51" s="126"/>
      <c r="H51" s="132"/>
      <c r="I51" s="118"/>
      <c r="J51" s="132"/>
      <c r="K51" s="119"/>
      <c r="L51" s="132"/>
      <c r="M51" s="118"/>
      <c r="N51" s="132"/>
      <c r="O51" s="211"/>
      <c r="P51" s="212"/>
      <c r="Q51" s="213"/>
      <c r="R51" s="204"/>
      <c r="Y51" s="112"/>
      <c r="Z51" s="112"/>
      <c r="AA51" s="112"/>
      <c r="AB51" s="112"/>
    </row>
    <row r="52" spans="1:28" s="85" customFormat="1" ht="12" customHeight="1">
      <c r="B52" s="134"/>
      <c r="C52" s="125"/>
      <c r="D52" s="125"/>
      <c r="E52" s="135"/>
      <c r="F52" s="131"/>
      <c r="G52" s="136"/>
      <c r="H52" s="132"/>
      <c r="I52" s="136"/>
      <c r="J52" s="132"/>
      <c r="K52" s="137"/>
      <c r="L52" s="132"/>
      <c r="M52" s="136"/>
      <c r="N52" s="132"/>
      <c r="O52" s="118"/>
      <c r="P52" s="124"/>
      <c r="Q52" s="84"/>
      <c r="Y52" s="112"/>
      <c r="Z52" s="112"/>
      <c r="AA52" s="112"/>
      <c r="AB52" s="112"/>
    </row>
    <row r="53" spans="1:28" s="85" customFormat="1" ht="10.5" customHeight="1">
      <c r="B53" s="134"/>
      <c r="C53" s="125"/>
      <c r="D53" s="125"/>
      <c r="E53" s="135"/>
      <c r="F53" s="131"/>
      <c r="G53" s="136"/>
      <c r="H53" s="132"/>
      <c r="I53" s="136"/>
      <c r="J53" s="132"/>
      <c r="K53" s="137"/>
      <c r="L53" s="132"/>
      <c r="M53" s="136"/>
      <c r="N53" s="132"/>
      <c r="O53" s="118"/>
      <c r="P53" s="124"/>
      <c r="Q53" s="84"/>
      <c r="Y53" s="112"/>
      <c r="Z53" s="112"/>
      <c r="AA53" s="112"/>
      <c r="AB53" s="112"/>
    </row>
    <row r="54" spans="1:28" s="85" customFormat="1" ht="10.5" customHeight="1">
      <c r="B54" s="122"/>
      <c r="C54" s="125"/>
      <c r="D54" s="125"/>
      <c r="E54" s="135"/>
      <c r="F54" s="131"/>
      <c r="G54" s="136"/>
      <c r="H54" s="132"/>
      <c r="I54" s="136"/>
      <c r="J54" s="132"/>
      <c r="K54" s="137"/>
      <c r="L54" s="132"/>
      <c r="M54" s="136"/>
      <c r="N54" s="132"/>
      <c r="O54" s="118"/>
      <c r="P54" s="124"/>
      <c r="Q54" s="84"/>
      <c r="Y54" s="112"/>
      <c r="Z54" s="112"/>
      <c r="AA54" s="112"/>
      <c r="AB54" s="112"/>
    </row>
    <row r="55" spans="1:28" s="85" customFormat="1" ht="2.25" customHeight="1">
      <c r="B55" s="138"/>
      <c r="C55" s="139"/>
      <c r="D55" s="139"/>
      <c r="E55" s="140"/>
      <c r="F55" s="141"/>
      <c r="G55" s="142"/>
      <c r="H55" s="143"/>
      <c r="I55" s="142"/>
      <c r="J55" s="143"/>
      <c r="K55" s="144"/>
      <c r="L55" s="143"/>
      <c r="M55" s="142"/>
      <c r="N55" s="143"/>
      <c r="O55" s="118"/>
      <c r="P55" s="124"/>
      <c r="Q55" s="84"/>
      <c r="Y55" s="112"/>
      <c r="Z55" s="112"/>
      <c r="AA55" s="112"/>
      <c r="AB55" s="112"/>
    </row>
    <row r="56" spans="1:28" s="85" customFormat="1" ht="10.5" customHeight="1">
      <c r="B56" s="146"/>
      <c r="C56" s="125"/>
      <c r="D56" s="125"/>
      <c r="E56" s="135"/>
      <c r="F56" s="147"/>
      <c r="G56" s="136"/>
      <c r="H56" s="147"/>
      <c r="I56" s="136"/>
      <c r="J56" s="147"/>
      <c r="K56" s="137"/>
      <c r="L56" s="147"/>
      <c r="M56" s="136"/>
      <c r="N56" s="147"/>
      <c r="O56" s="118"/>
      <c r="P56" s="133"/>
      <c r="Q56" s="84"/>
      <c r="Y56" s="112"/>
      <c r="Z56" s="112"/>
      <c r="AA56" s="112"/>
      <c r="AB56" s="112"/>
    </row>
    <row r="57" spans="1:28" s="85" customFormat="1" ht="10.5" customHeight="1">
      <c r="B57" s="149"/>
      <c r="C57" s="125"/>
      <c r="D57" s="125"/>
      <c r="E57" s="135"/>
      <c r="F57" s="147"/>
      <c r="G57" s="136"/>
      <c r="H57" s="147"/>
      <c r="I57" s="136"/>
      <c r="J57" s="147"/>
      <c r="K57" s="137"/>
      <c r="L57" s="147"/>
      <c r="M57" s="136"/>
      <c r="N57" s="147"/>
      <c r="O57" s="136"/>
      <c r="P57" s="133"/>
      <c r="Q57" s="84"/>
      <c r="Y57" s="112"/>
      <c r="Z57" s="112"/>
      <c r="AA57" s="112"/>
      <c r="AB57" s="112"/>
    </row>
    <row r="58" spans="1:28" s="85" customFormat="1" ht="10.5" customHeight="1">
      <c r="B58" s="149"/>
      <c r="C58" s="125"/>
      <c r="D58" s="125"/>
      <c r="E58" s="135"/>
      <c r="F58" s="147"/>
      <c r="G58" s="136"/>
      <c r="H58" s="147"/>
      <c r="I58" s="136"/>
      <c r="J58" s="147"/>
      <c r="K58" s="137"/>
      <c r="L58" s="147"/>
      <c r="M58" s="136"/>
      <c r="N58" s="147"/>
      <c r="O58" s="136"/>
      <c r="P58" s="133"/>
      <c r="Q58" s="84"/>
      <c r="Y58" s="112"/>
      <c r="Z58" s="112"/>
      <c r="AA58" s="112"/>
      <c r="AB58" s="112"/>
    </row>
    <row r="59" spans="1:28" s="85" customFormat="1" ht="10.5" customHeight="1">
      <c r="B59" s="149"/>
      <c r="O59" s="136"/>
      <c r="P59" s="133"/>
      <c r="Q59" s="84"/>
      <c r="Y59" s="112"/>
      <c r="Z59" s="112"/>
      <c r="AA59" s="117"/>
      <c r="AB59" s="112"/>
    </row>
    <row r="60" spans="1:28" s="85" customFormat="1" ht="10.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L60" s="150"/>
      <c r="M60" s="150"/>
      <c r="N60" s="150"/>
      <c r="O60" s="136"/>
      <c r="P60" s="145"/>
      <c r="Q60" s="84"/>
      <c r="Y60" s="112"/>
      <c r="Z60" s="112"/>
      <c r="AA60" s="117"/>
      <c r="AB60" s="112"/>
    </row>
    <row r="61" spans="1:28" s="85" customFormat="1" ht="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1"/>
      <c r="L61" s="150"/>
      <c r="M61" s="150"/>
      <c r="N61" s="150"/>
      <c r="O61" s="136"/>
      <c r="P61" s="148"/>
      <c r="Q61" s="84"/>
    </row>
    <row r="62" spans="1:28" s="85" customFormat="1" ht="9" customHeight="1">
      <c r="A62" s="153"/>
      <c r="B62" s="153"/>
      <c r="C62" s="154"/>
      <c r="D62" s="154"/>
      <c r="E62" s="154"/>
      <c r="F62" s="153"/>
      <c r="G62" s="153"/>
      <c r="H62" s="153"/>
      <c r="I62" s="153"/>
      <c r="J62" s="153"/>
      <c r="K62" s="155"/>
      <c r="L62" s="153"/>
      <c r="M62" s="153"/>
      <c r="N62" s="153"/>
      <c r="O62" s="136"/>
      <c r="P62" s="148"/>
      <c r="Q62" s="84"/>
      <c r="X62" s="121"/>
      <c r="Y62" s="112"/>
      <c r="Z62" s="112"/>
      <c r="AA62" s="112"/>
    </row>
    <row r="63" spans="1:28" s="85" customFormat="1" ht="9" customHeight="1">
      <c r="A63" s="153"/>
      <c r="B63" s="153"/>
      <c r="C63" s="153"/>
      <c r="D63" s="153"/>
      <c r="E63" s="153"/>
      <c r="F63" s="154"/>
      <c r="G63" s="153"/>
      <c r="H63" s="153"/>
      <c r="I63" s="153"/>
      <c r="J63" s="153"/>
      <c r="K63" s="155"/>
      <c r="L63" s="153"/>
      <c r="M63" s="153"/>
      <c r="N63" s="153"/>
      <c r="O63" s="136"/>
      <c r="P63" s="148"/>
      <c r="Q63" s="84"/>
      <c r="X63" s="121"/>
      <c r="Y63" s="112"/>
      <c r="Z63" s="112"/>
      <c r="AA63" s="112"/>
    </row>
    <row r="64" spans="1:28" s="85" customFormat="1" ht="9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7"/>
      <c r="M64" s="67"/>
      <c r="N64" s="67"/>
      <c r="Q64" s="84"/>
      <c r="X64" s="121"/>
      <c r="Y64" s="112"/>
      <c r="Z64" s="112"/>
      <c r="AA64" s="112"/>
    </row>
    <row r="65" spans="1:31" s="150" customFormat="1" ht="13.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7"/>
      <c r="M65" s="67"/>
      <c r="N65" s="67"/>
      <c r="Q65" s="152"/>
      <c r="R65" s="152"/>
      <c r="X65" s="85"/>
      <c r="Y65" s="112"/>
      <c r="Z65" s="112"/>
      <c r="AA65" s="112"/>
    </row>
    <row r="66" spans="1:31" s="150" customFormat="1" ht="13.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7"/>
      <c r="M66" s="67"/>
      <c r="N66" s="67"/>
      <c r="X66" s="85"/>
      <c r="Y66" s="112"/>
      <c r="Z66" s="112"/>
      <c r="AA66" s="112"/>
    </row>
    <row r="67" spans="1:31" s="153" customForma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7"/>
      <c r="M67" s="67"/>
      <c r="N67" s="67"/>
      <c r="X67" s="85"/>
      <c r="Y67" s="112"/>
      <c r="Z67" s="112"/>
      <c r="AA67" s="112"/>
    </row>
    <row r="68" spans="1:31" s="153" customForma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7"/>
      <c r="M68" s="67"/>
      <c r="N68" s="67"/>
      <c r="Q68" s="154"/>
      <c r="X68" s="85"/>
      <c r="Y68" s="112"/>
      <c r="Z68" s="112"/>
      <c r="AA68" s="112"/>
    </row>
    <row r="69" spans="1:31">
      <c r="X69" s="85"/>
      <c r="Y69" s="112"/>
      <c r="Z69" s="112"/>
      <c r="AA69" s="112"/>
    </row>
    <row r="70" spans="1:31">
      <c r="X70" s="85"/>
      <c r="Y70" s="112"/>
      <c r="Z70" s="112"/>
      <c r="AA70" s="112"/>
    </row>
    <row r="71" spans="1:31">
      <c r="X71" s="85"/>
      <c r="Y71" s="112"/>
      <c r="Z71" s="112"/>
      <c r="AA71" s="112"/>
    </row>
    <row r="72" spans="1:31">
      <c r="X72" s="85"/>
      <c r="Y72" s="112"/>
      <c r="Z72" s="112"/>
      <c r="AA72" s="112"/>
    </row>
    <row r="73" spans="1:31">
      <c r="X73" s="85"/>
      <c r="Y73" s="112"/>
      <c r="Z73" s="112"/>
      <c r="AA73" s="112"/>
    </row>
    <row r="74" spans="1:31">
      <c r="X74" s="85"/>
      <c r="Y74" s="112"/>
      <c r="Z74" s="112"/>
      <c r="AA74" s="117"/>
    </row>
    <row r="75" spans="1:31">
      <c r="X75" s="85"/>
      <c r="Y75" s="112"/>
      <c r="Z75" s="112"/>
      <c r="AA75" s="117"/>
    </row>
    <row r="76" spans="1:31">
      <c r="AC76" s="67" t="s">
        <v>44</v>
      </c>
      <c r="AE76" s="67" t="s">
        <v>45</v>
      </c>
    </row>
    <row r="77" spans="1:31">
      <c r="Z77" s="156"/>
      <c r="AA77" s="157"/>
      <c r="AC77" s="158">
        <f>+(2107+36)+(784+1)-(1177+24)</f>
        <v>1727</v>
      </c>
      <c r="AE77" s="159">
        <f>+AA77-AC77</f>
        <v>-1727</v>
      </c>
    </row>
    <row r="78" spans="1:31">
      <c r="Z78" s="156"/>
      <c r="AA78" s="160"/>
      <c r="AC78" s="158">
        <f>+(26263-16226-726-5532)+(11486-6754-370-2896)-(12600-7667-355-2669)</f>
        <v>3336</v>
      </c>
      <c r="AE78" s="159">
        <f>+AA78-AC78</f>
        <v>-3336</v>
      </c>
    </row>
    <row r="79" spans="1:31">
      <c r="Z79" s="158"/>
      <c r="AA79" s="161"/>
    </row>
    <row r="80" spans="1:31">
      <c r="Z80" s="158"/>
      <c r="AA80" s="161"/>
    </row>
    <row r="81" spans="27:27">
      <c r="AA81" s="161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50" r:id="rId4">
          <objectPr defaultSize="0" autoLine="0" autoPict="0" r:id="rId5">
            <anchor moveWithCells="1" sizeWithCells="1">
              <from>
                <xdr:col>0</xdr:col>
                <xdr:colOff>45720</xdr:colOff>
                <xdr:row>48</xdr:row>
                <xdr:rowOff>114300</xdr:rowOff>
              </from>
              <to>
                <xdr:col>13</xdr:col>
                <xdr:colOff>693420</xdr:colOff>
                <xdr:row>52</xdr:row>
                <xdr:rowOff>68580</xdr:rowOff>
              </to>
            </anchor>
          </objectPr>
        </oleObject>
      </mc:Choice>
      <mc:Fallback>
        <oleObject progId="Word.Document.6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3.2"/>
  <cols>
    <col min="3" max="3" width="7.88671875" customWidth="1"/>
    <col min="4" max="4" width="9.33203125" bestFit="1" customWidth="1"/>
    <col min="5" max="6" width="9.88671875" bestFit="1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49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2">
        <f>+(D$28*3094/1000)/((1+$B30)^3)</f>
        <v>942.62280644880889</v>
      </c>
      <c r="E31" s="43"/>
      <c r="F31" s="42">
        <f>+(F$28*3094/1000)/((1+$B30)^3)</f>
        <v>966.1883766100292</v>
      </c>
      <c r="G31" s="43"/>
      <c r="H31" s="42">
        <f>+(H$28*3094/1000)/((1+$B30)^3)</f>
        <v>989.75394677124939</v>
      </c>
      <c r="I31" s="43"/>
      <c r="J31" s="42">
        <f>+(J$28*3094/1000)/((1+$B30)^3)</f>
        <v>1013.3195169324697</v>
      </c>
      <c r="L31" s="38" t="s">
        <v>19</v>
      </c>
    </row>
    <row r="32" spans="1:13">
      <c r="B32" s="35"/>
      <c r="D32" s="44">
        <f>+SUM(D30:D31)</f>
        <v>1227.1490350615252</v>
      </c>
      <c r="E32" s="44"/>
      <c r="F32" s="44">
        <f>+SUM(F30:F31)</f>
        <v>1250.7146052227456</v>
      </c>
      <c r="G32" s="44"/>
      <c r="H32" s="44">
        <f>+SUM(H30:H31)</f>
        <v>1274.2801753839658</v>
      </c>
      <c r="I32" s="44"/>
      <c r="J32" s="44">
        <f>+SUM(J30:J31)</f>
        <v>1297.845745545186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7">
        <f>NPV($B34,$E$21:$G$21)</f>
        <v>282.02491262055128</v>
      </c>
      <c r="G34" s="48"/>
      <c r="H34" s="49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2">
        <f>+(D$28*3094/1000)/((1+$B34)^3)</f>
        <v>929.82719759579231</v>
      </c>
      <c r="E35" s="43"/>
      <c r="F35" s="50">
        <f>+(F$28*3094/1000)/((1+$B34)^3)</f>
        <v>953.0728775356871</v>
      </c>
      <c r="G35" s="51"/>
      <c r="H35" s="164">
        <f>+(H$28*3094/1000)/((1+$B34)^3)</f>
        <v>976.318557475582</v>
      </c>
      <c r="I35" s="43"/>
      <c r="J35" s="42">
        <f>+(J$28*3094/1000)/((1+$B34)^3)</f>
        <v>999.56423741547678</v>
      </c>
      <c r="L35" s="38" t="s">
        <v>19</v>
      </c>
    </row>
    <row r="36" spans="1:13">
      <c r="B36" s="35"/>
      <c r="D36" s="44">
        <f>+SUM(D34:D35)</f>
        <v>1211.8521102163436</v>
      </c>
      <c r="E36" s="44"/>
      <c r="F36" s="52">
        <f>+SUM(F34:F35)</f>
        <v>1235.0977901562383</v>
      </c>
      <c r="G36" s="53"/>
      <c r="H36" s="54">
        <f>+SUM(H34:H35)</f>
        <v>1258.3434700961334</v>
      </c>
      <c r="I36" s="44"/>
      <c r="J36" s="44">
        <f>+SUM(J34:J35)</f>
        <v>1281.5891500360281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8">
        <f>NPV($B38,$E$21:$G$21)</f>
        <v>279.56060520616973</v>
      </c>
      <c r="G38" s="59"/>
      <c r="H38" s="60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2">
        <f>+(D$28*3094/1000)/((1+$B38)^3)</f>
        <v>917.26213631989515</v>
      </c>
      <c r="E39" s="43"/>
      <c r="F39" s="50">
        <f>+(F$28*3094/1000)/((1+$B38)^3)</f>
        <v>940.19368972789255</v>
      </c>
      <c r="G39" s="51"/>
      <c r="H39" s="164">
        <f>+(H$28*3094/1000)/((1+$B38)^3)</f>
        <v>963.12524313588995</v>
      </c>
      <c r="I39" s="43"/>
      <c r="J39" s="42">
        <f>+(J$28*3094/1000)/((1+$B38)^3)</f>
        <v>986.05679654388734</v>
      </c>
      <c r="L39" s="38" t="s">
        <v>19</v>
      </c>
    </row>
    <row r="40" spans="1:13">
      <c r="B40" s="36"/>
      <c r="D40" s="44">
        <f>+SUM(D38:D39)</f>
        <v>1196.8227415260649</v>
      </c>
      <c r="E40" s="44"/>
      <c r="F40" s="61">
        <f>+SUM(F38:F39)</f>
        <v>1219.7542949340623</v>
      </c>
      <c r="G40" s="62"/>
      <c r="H40" s="63">
        <f>+SUM(H38:H39)</f>
        <v>1242.6858483420597</v>
      </c>
      <c r="I40" s="44"/>
      <c r="J40" s="44">
        <f>+SUM(J38:J39)</f>
        <v>1265.6174017500571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2">
        <f>+(D$28*3094/1000)/((1+$B42)^3)</f>
        <v>904.92245349805592</v>
      </c>
      <c r="E43" s="43"/>
      <c r="F43" s="42">
        <f>+(F$28*3094/1000)/((1+$B42)^3)</f>
        <v>927.54551483550733</v>
      </c>
      <c r="G43" s="43"/>
      <c r="H43" s="42">
        <f>+(H$28*3094/1000)/((1+$B42)^3)</f>
        <v>950.16857617295875</v>
      </c>
      <c r="I43" s="43"/>
      <c r="J43" s="42">
        <f>+(J$28*3094/1000)/((1+$B42)^3)</f>
        <v>972.79163751041017</v>
      </c>
      <c r="L43" s="38" t="s">
        <v>19</v>
      </c>
    </row>
    <row r="44" spans="1:13">
      <c r="D44" s="44">
        <f>+SUM(D42:D43)</f>
        <v>1182.0550196764711</v>
      </c>
      <c r="E44" s="44"/>
      <c r="F44" s="44">
        <f>+SUM(F42:F43)</f>
        <v>1204.6780810139226</v>
      </c>
      <c r="G44" s="44"/>
      <c r="H44" s="44">
        <f>+SUM(H42:H43)</f>
        <v>1227.301142351374</v>
      </c>
      <c r="I44" s="44"/>
      <c r="J44" s="44">
        <f>+SUM(J42:J43)</f>
        <v>1249.9242036888254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3.2"/>
  <cols>
    <col min="3" max="3" width="7.88671875" customWidth="1"/>
    <col min="4" max="4" width="9.33203125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50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67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65">
        <v>178.322664143352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6">
        <v>-3.263545051162664E-3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167"/>
      <c r="G10" s="167"/>
    </row>
    <row r="11" spans="1:7">
      <c r="A11" t="s">
        <v>7</v>
      </c>
      <c r="E11" s="11">
        <v>44.22506419986609</v>
      </c>
      <c r="F11" s="167">
        <v>44.22506419986609</v>
      </c>
      <c r="G11" s="167">
        <v>44.22506419986609</v>
      </c>
    </row>
    <row r="12" spans="1:7">
      <c r="E12" s="11"/>
      <c r="F12" s="167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65">
        <v>134.0975999434859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68">
        <v>-51.895224394402383</v>
      </c>
      <c r="G14" s="168">
        <v>-51.697336689214325</v>
      </c>
    </row>
    <row r="15" spans="1:7">
      <c r="A15" t="s">
        <v>10</v>
      </c>
      <c r="E15" s="11">
        <v>91.589517576496519</v>
      </c>
      <c r="F15" s="167">
        <v>82.202375549083513</v>
      </c>
      <c r="G15" s="167">
        <v>81.888920127158997</v>
      </c>
    </row>
    <row r="16" spans="1:7">
      <c r="E16" s="11"/>
      <c r="F16" s="167"/>
      <c r="G16" s="167"/>
    </row>
    <row r="17" spans="1:13">
      <c r="A17" t="s">
        <v>11</v>
      </c>
      <c r="E17" s="11">
        <v>44.22506419986609</v>
      </c>
      <c r="F17" s="167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67">
        <v>41.522940252248375</v>
      </c>
      <c r="G18" s="167">
        <v>41.737072642916779</v>
      </c>
    </row>
    <row r="19" spans="1:13">
      <c r="A19" t="s">
        <v>13</v>
      </c>
      <c r="E19" s="11">
        <v>0.17956189859999971</v>
      </c>
      <c r="F19" s="167">
        <v>0.34664700000000037</v>
      </c>
      <c r="G19" s="167">
        <v>0.19008600000000023</v>
      </c>
    </row>
    <row r="20" spans="1:13">
      <c r="E20" s="11"/>
      <c r="F20" s="167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69">
        <v>168.29702700119799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170">
        <v>8.1972327331149897E-2</v>
      </c>
      <c r="G22" s="170">
        <v>-1.520431084348961E-3</v>
      </c>
    </row>
    <row r="25" spans="1:13">
      <c r="G25" s="201"/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48</v>
      </c>
    </row>
    <row r="31" spans="1:13">
      <c r="B31" s="35"/>
      <c r="D31" s="42">
        <f>+(D$28*3094/1000)/((1+$B30)^1)</f>
        <v>1130.228310502283</v>
      </c>
      <c r="E31" s="43"/>
      <c r="F31" s="42">
        <f>+(F$28*3094/1000)/((1+$B30)^1)</f>
        <v>1158.4840182648402</v>
      </c>
      <c r="G31" s="43"/>
      <c r="H31" s="42">
        <f>+(H$28*3094/1000)/((1+$B30)^1)</f>
        <v>1186.7397260273974</v>
      </c>
      <c r="I31" s="43"/>
      <c r="J31" s="42">
        <f>+(J$28*3094/1000)/((1+$B30)^1)</f>
        <v>1214.9954337899544</v>
      </c>
      <c r="L31" s="38" t="s">
        <v>19</v>
      </c>
    </row>
    <row r="32" spans="1:13">
      <c r="B32" s="35"/>
      <c r="D32" s="44">
        <f>+SUM(D30:D31)</f>
        <v>1280.8485836833634</v>
      </c>
      <c r="E32" s="44"/>
      <c r="F32" s="44">
        <f>+SUM(F30:F31)</f>
        <v>1309.1042914459206</v>
      </c>
      <c r="G32" s="44"/>
      <c r="H32" s="44">
        <f>+SUM(H30:H31)</f>
        <v>1337.3599992084778</v>
      </c>
      <c r="I32" s="44"/>
      <c r="J32" s="44">
        <f>+SUM(J30:J31)</f>
        <v>1365.6157069710348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7">
        <f>NPV($B34,$E$21)</f>
        <v>149.93563557571179</v>
      </c>
      <c r="G34" s="48"/>
      <c r="H34" s="49">
        <f>NPV($B34,$E$21)</f>
        <v>149.93563557571179</v>
      </c>
      <c r="I34" s="41"/>
      <c r="J34" s="40">
        <f>NPV($B34,$E$21)</f>
        <v>149.93563557571179</v>
      </c>
      <c r="L34" s="38" t="s">
        <v>48</v>
      </c>
    </row>
    <row r="35" spans="1:13">
      <c r="B35" s="35"/>
      <c r="D35" s="42">
        <f>+(D$28*3094/1000)/((1+$B34)^1)</f>
        <v>1125.090909090909</v>
      </c>
      <c r="E35" s="43"/>
      <c r="F35" s="50">
        <f>+(F$28*3094/1000)/((1+$B34)^1)</f>
        <v>1153.2181818181816</v>
      </c>
      <c r="G35" s="51"/>
      <c r="H35" s="164">
        <f>+(H$28*3094/1000)/((1+$B34)^1)</f>
        <v>1181.3454545454545</v>
      </c>
      <c r="I35" s="43"/>
      <c r="J35" s="42">
        <f>+(J$28*3094/1000)/((1+$B34)^1)</f>
        <v>1209.4727272727273</v>
      </c>
      <c r="L35" s="38" t="s">
        <v>19</v>
      </c>
    </row>
    <row r="36" spans="1:13">
      <c r="B36" s="35"/>
      <c r="D36" s="44">
        <f>+SUM(D34:D35)</f>
        <v>1275.0265446666208</v>
      </c>
      <c r="E36" s="44"/>
      <c r="F36" s="52">
        <f>+SUM(F34:F35)</f>
        <v>1303.1538173938934</v>
      </c>
      <c r="G36" s="53"/>
      <c r="H36" s="54">
        <f>+SUM(H34:H35)</f>
        <v>1331.2810901211662</v>
      </c>
      <c r="I36" s="44"/>
      <c r="J36" s="44">
        <f>+SUM(J34:J35)</f>
        <v>1359.4083628484391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8">
        <f>NPV($B38,$E$21)</f>
        <v>149.25719378577645</v>
      </c>
      <c r="G38" s="59"/>
      <c r="H38" s="60">
        <f>NPV($B38,$E$21)</f>
        <v>149.25719378577645</v>
      </c>
      <c r="I38" s="41"/>
      <c r="J38" s="40">
        <f>NPV($B38,$E$21)</f>
        <v>149.25719378577645</v>
      </c>
      <c r="L38" s="38" t="s">
        <v>48</v>
      </c>
    </row>
    <row r="39" spans="1:13">
      <c r="B39" s="36"/>
      <c r="D39" s="42">
        <f>+(D$28*3094/1000)/((1+$B38)^1)</f>
        <v>1120</v>
      </c>
      <c r="E39" s="43"/>
      <c r="F39" s="50">
        <f>+(F$28*3094/1000)/((1+$B38)^1)</f>
        <v>1148</v>
      </c>
      <c r="G39" s="51"/>
      <c r="H39" s="164">
        <f>+(H$28*3094/1000)/((1+$B38)^1)</f>
        <v>1176</v>
      </c>
      <c r="I39" s="43"/>
      <c r="J39" s="42">
        <f>+(J$28*3094/1000)/((1+$B38)^1)</f>
        <v>1204</v>
      </c>
      <c r="L39" s="38" t="s">
        <v>19</v>
      </c>
    </row>
    <row r="40" spans="1:13">
      <c r="B40" s="36"/>
      <c r="D40" s="44">
        <f>+SUM(D38:D39)</f>
        <v>1269.2571937857765</v>
      </c>
      <c r="E40" s="44"/>
      <c r="F40" s="61">
        <f>+SUM(F38:F39)</f>
        <v>1297.2571937857765</v>
      </c>
      <c r="G40" s="62"/>
      <c r="H40" s="63">
        <f>+SUM(H38:H39)</f>
        <v>1325.2571937857765</v>
      </c>
      <c r="I40" s="44"/>
      <c r="J40" s="44">
        <f>+SUM(J38:J39)</f>
        <v>1353.2571937857765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48</v>
      </c>
    </row>
    <row r="43" spans="1:13">
      <c r="D43" s="42">
        <f>+(D$28*3094/1000)/((1+$B42)^1)</f>
        <v>1114.9549549549547</v>
      </c>
      <c r="E43" s="43"/>
      <c r="F43" s="42">
        <f>+(F$28*3094/1000)/((1+$B42)^1)</f>
        <v>1142.8288288288286</v>
      </c>
      <c r="G43" s="43"/>
      <c r="H43" s="42">
        <f>+(H$28*3094/1000)/((1+$B42)^1)</f>
        <v>1170.7027027027027</v>
      </c>
      <c r="I43" s="43"/>
      <c r="J43" s="42">
        <f>+(J$28*3094/1000)/((1+$B42)^1)</f>
        <v>1198.5765765765766</v>
      </c>
      <c r="L43" s="38" t="s">
        <v>19</v>
      </c>
    </row>
    <row r="44" spans="1:13">
      <c r="D44" s="44">
        <f>+SUM(D42:D43)</f>
        <v>1263.5398190389933</v>
      </c>
      <c r="E44" s="44"/>
      <c r="F44" s="44">
        <f>+SUM(F42:F43)</f>
        <v>1291.4136929128672</v>
      </c>
      <c r="G44" s="44"/>
      <c r="H44" s="44">
        <f>+SUM(H42:H43)</f>
        <v>1319.2875667867413</v>
      </c>
      <c r="I44" s="44"/>
      <c r="J44" s="44">
        <f>+SUM(J42:J43)</f>
        <v>1347.1614406606152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3.2"/>
  <cols>
    <col min="3" max="3" width="7.88671875" customWidth="1"/>
    <col min="4" max="4" width="9.33203125" bestFit="1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50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4"/>
      <c r="G10" s="167"/>
    </row>
    <row r="11" spans="1:7">
      <c r="A11" t="s">
        <v>7</v>
      </c>
      <c r="E11" s="11">
        <v>44.22506419986609</v>
      </c>
      <c r="F11" s="11">
        <v>44.22506419986609</v>
      </c>
      <c r="G11" s="167">
        <v>44.22506419986609</v>
      </c>
    </row>
    <row r="12" spans="1:7">
      <c r="E12" s="11"/>
      <c r="F12" s="11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68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67">
        <v>81.888920127158997</v>
      </c>
    </row>
    <row r="16" spans="1:7">
      <c r="E16" s="11"/>
      <c r="F16" s="11"/>
      <c r="G16" s="167"/>
    </row>
    <row r="17" spans="1:13">
      <c r="A17" t="s">
        <v>11</v>
      </c>
      <c r="E17" s="11">
        <v>44.22506419986609</v>
      </c>
      <c r="F17" s="11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67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67">
        <v>0.19008600000000023</v>
      </c>
    </row>
    <row r="20" spans="1:13">
      <c r="E20" s="11"/>
      <c r="F20" s="11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70">
        <v>-1.520431084348961E-3</v>
      </c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47</v>
      </c>
    </row>
    <row r="31" spans="1:13">
      <c r="B31" s="35"/>
      <c r="D31" s="42">
        <f>+(D$28*3094/1000)/((1+$B30)^2)</f>
        <v>1032.1719730614457</v>
      </c>
      <c r="E31" s="43"/>
      <c r="F31" s="42">
        <f>+(F$28*3094/1000)/((1+$B30)^2)</f>
        <v>1057.9762723879819</v>
      </c>
      <c r="G31" s="43"/>
      <c r="H31" s="42">
        <f>+(H$28*3094/1000)/((1+$B30)^2)</f>
        <v>1083.7805717145181</v>
      </c>
      <c r="I31" s="43"/>
      <c r="J31" s="42">
        <f>+(J$28*3094/1000)/((1+$B30)^2)</f>
        <v>1109.5848710410542</v>
      </c>
      <c r="L31" s="38" t="s">
        <v>19</v>
      </c>
    </row>
    <row r="32" spans="1:13">
      <c r="B32" s="35"/>
      <c r="D32" s="44">
        <f>+SUM(D30:D31)</f>
        <v>1335.5721494642435</v>
      </c>
      <c r="E32" s="44"/>
      <c r="F32" s="44">
        <f>+SUM(F30:F31)</f>
        <v>1361.3764487907797</v>
      </c>
      <c r="G32" s="44"/>
      <c r="H32" s="44">
        <f>+SUM(H30:H31)</f>
        <v>1387.1807481173159</v>
      </c>
      <c r="I32" s="44"/>
      <c r="J32" s="44">
        <f>+SUM(J30:J31)</f>
        <v>1412.985047443852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7">
        <f>NPV($B34,$E$21:$F$21)</f>
        <v>301.32978719589335</v>
      </c>
      <c r="G34" s="48"/>
      <c r="H34" s="49">
        <f>NPV($B34,$E$21:$F$21)</f>
        <v>301.32978719589335</v>
      </c>
      <c r="I34" s="41"/>
      <c r="J34" s="40">
        <f>NPV($B34,$E$21:$F$21)</f>
        <v>301.32978719589335</v>
      </c>
      <c r="L34" s="38" t="s">
        <v>47</v>
      </c>
    </row>
    <row r="35" spans="1:13">
      <c r="B35" s="35"/>
      <c r="D35" s="42">
        <f>+(D$28*3094/1000)/((1+$B34)^2)</f>
        <v>1022.8099173553717</v>
      </c>
      <c r="E35" s="43"/>
      <c r="F35" s="50">
        <f>+(F$28*3094/1000)/((1+$B34)^2)</f>
        <v>1048.380165289256</v>
      </c>
      <c r="G35" s="51"/>
      <c r="H35" s="164">
        <f>+(H$28*3094/1000)/((1+$B34)^2)</f>
        <v>1073.9504132231405</v>
      </c>
      <c r="I35" s="43"/>
      <c r="J35" s="42">
        <f>+(J$28*3094/1000)/((1+$B34)^2)</f>
        <v>1099.5206611570247</v>
      </c>
      <c r="L35" s="38" t="s">
        <v>19</v>
      </c>
    </row>
    <row r="36" spans="1:13">
      <c r="B36" s="35"/>
      <c r="D36" s="44">
        <f>+SUM(D34:D35)</f>
        <v>1324.1397045512649</v>
      </c>
      <c r="E36" s="44"/>
      <c r="F36" s="52">
        <f>+SUM(F34:F35)</f>
        <v>1349.7099524851492</v>
      </c>
      <c r="G36" s="53"/>
      <c r="H36" s="54">
        <f>+SUM(H34:H35)</f>
        <v>1375.2802004190339</v>
      </c>
      <c r="I36" s="44"/>
      <c r="J36" s="44">
        <f>+SUM(J34:J35)</f>
        <v>1400.8504483529182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8">
        <f>NPV($B38,$E$21:$F$21)</f>
        <v>299.2843623207529</v>
      </c>
      <c r="G38" s="59"/>
      <c r="H38" s="60">
        <f>NPV($B38,$E$21:$F$21)</f>
        <v>299.2843623207529</v>
      </c>
      <c r="I38" s="41"/>
      <c r="J38" s="40">
        <f>NPV($B38,$E$21:$F$21)</f>
        <v>299.2843623207529</v>
      </c>
      <c r="L38" s="38" t="s">
        <v>47</v>
      </c>
    </row>
    <row r="39" spans="1:13">
      <c r="B39" s="36"/>
      <c r="D39" s="42">
        <f>+(D$28*3094/1000)/((1+$B38)^2)</f>
        <v>1013.5746606334841</v>
      </c>
      <c r="E39" s="43"/>
      <c r="F39" s="50">
        <f>+(F$28*3094/1000)/((1+$B38)^2)</f>
        <v>1038.9140271493213</v>
      </c>
      <c r="G39" s="51"/>
      <c r="H39" s="164">
        <f>+(H$28*3094/1000)/((1+$B38)^2)</f>
        <v>1064.2533936651585</v>
      </c>
      <c r="I39" s="43"/>
      <c r="J39" s="42">
        <f>+(J$28*3094/1000)/((1+$B38)^2)</f>
        <v>1089.5927601809956</v>
      </c>
      <c r="L39" s="38" t="s">
        <v>19</v>
      </c>
    </row>
    <row r="40" spans="1:13">
      <c r="B40" s="36"/>
      <c r="D40" s="44">
        <f>+SUM(D38:D39)</f>
        <v>1312.8590229542369</v>
      </c>
      <c r="E40" s="44"/>
      <c r="F40" s="61">
        <f>+SUM(F38:F39)</f>
        <v>1338.1983894700743</v>
      </c>
      <c r="G40" s="62"/>
      <c r="H40" s="63">
        <f>+SUM(H38:H39)</f>
        <v>1363.5377559859114</v>
      </c>
      <c r="I40" s="44"/>
      <c r="J40" s="44">
        <f>+SUM(J38:J39)</f>
        <v>1388.8771225017485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47</v>
      </c>
    </row>
    <row r="43" spans="1:13">
      <c r="D43" s="42">
        <f>+(D$28*3094/1000)/((1+$B42)^2)</f>
        <v>1004.463923382842</v>
      </c>
      <c r="E43" s="43"/>
      <c r="F43" s="42">
        <f>+(F$28*3094/1000)/((1+$B42)^2)</f>
        <v>1029.5755214674132</v>
      </c>
      <c r="G43" s="43"/>
      <c r="H43" s="42">
        <f>+(H$28*3094/1000)/((1+$B42)^2)</f>
        <v>1054.6871195519843</v>
      </c>
      <c r="I43" s="43"/>
      <c r="J43" s="42">
        <f>+(J$28*3094/1000)/((1+$B42)^2)</f>
        <v>1079.7987176365555</v>
      </c>
      <c r="L43" s="38" t="s">
        <v>19</v>
      </c>
    </row>
    <row r="44" spans="1:13">
      <c r="D44" s="44">
        <f>+SUM(D42:D43)</f>
        <v>1301.727404024319</v>
      </c>
      <c r="E44" s="44"/>
      <c r="F44" s="44">
        <f>+SUM(F42:F43)</f>
        <v>1326.8390021088901</v>
      </c>
      <c r="G44" s="44"/>
      <c r="H44" s="44">
        <f>+SUM(H42:H43)</f>
        <v>1351.9506001934612</v>
      </c>
      <c r="I44" s="44"/>
      <c r="J44" s="44">
        <f>+SUM(J42:J43)</f>
        <v>1377.0621982780324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Havlíček Jan</cp:lastModifiedBy>
  <cp:lastPrinted>2000-05-26T17:05:40Z</cp:lastPrinted>
  <dcterms:created xsi:type="dcterms:W3CDTF">2000-05-25T21:20:37Z</dcterms:created>
  <dcterms:modified xsi:type="dcterms:W3CDTF">2023-09-10T11:55:58Z</dcterms:modified>
</cp:coreProperties>
</file>