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352" activeTab="1"/>
  </bookViews>
  <sheets>
    <sheet name="Homestead" sheetId="9" r:id="rId1"/>
    <sheet name="CTGprice" sheetId="4" r:id="rId2"/>
    <sheet name="calcs" sheetId="10" r:id="rId3"/>
  </sheets>
  <calcPr calcId="0"/>
</workbook>
</file>

<file path=xl/calcChain.xml><?xml version="1.0" encoding="utf-8"?>
<calcChain xmlns="http://schemas.openxmlformats.org/spreadsheetml/2006/main">
  <c r="C5" i="10" l="1"/>
  <c r="C7" i="10"/>
  <c r="I6" i="4"/>
  <c r="I7" i="4"/>
  <c r="I8" i="4"/>
  <c r="I9" i="4"/>
  <c r="I10" i="4"/>
  <c r="I11" i="4"/>
  <c r="I12" i="4"/>
  <c r="I13" i="4"/>
  <c r="D14" i="4"/>
  <c r="I14" i="4"/>
  <c r="D15" i="4"/>
  <c r="I15" i="4"/>
  <c r="D16" i="4"/>
  <c r="I16" i="4"/>
  <c r="D17" i="4"/>
  <c r="I17" i="4"/>
  <c r="D18" i="4"/>
  <c r="I18" i="4"/>
  <c r="I19" i="4"/>
  <c r="D21" i="4"/>
  <c r="I21" i="4"/>
  <c r="I22" i="4"/>
  <c r="D36" i="4"/>
  <c r="K6" i="9"/>
  <c r="G10" i="9"/>
  <c r="K10" i="9"/>
  <c r="N10" i="9"/>
  <c r="G11" i="9"/>
  <c r="K11" i="9"/>
  <c r="N11" i="9"/>
  <c r="G12" i="9"/>
  <c r="K12" i="9"/>
  <c r="N12" i="9"/>
  <c r="D13" i="9"/>
  <c r="G13" i="9"/>
  <c r="K13" i="9"/>
  <c r="N13" i="9"/>
  <c r="G16" i="9"/>
  <c r="K16" i="9"/>
  <c r="N16" i="9"/>
  <c r="G17" i="9"/>
  <c r="K17" i="9"/>
  <c r="N17" i="9"/>
  <c r="G18" i="9"/>
  <c r="K18" i="9"/>
  <c r="N18" i="9"/>
  <c r="G19" i="9"/>
  <c r="K19" i="9"/>
  <c r="N19" i="9"/>
  <c r="G20" i="9"/>
  <c r="K20" i="9"/>
  <c r="N20" i="9"/>
  <c r="G21" i="9"/>
  <c r="K21" i="9"/>
  <c r="N21" i="9"/>
  <c r="D22" i="9"/>
  <c r="G22" i="9"/>
  <c r="K22" i="9"/>
  <c r="N22" i="9"/>
  <c r="G25" i="9"/>
  <c r="K25" i="9"/>
  <c r="N25" i="9"/>
  <c r="D26" i="9"/>
  <c r="G26" i="9"/>
  <c r="K26" i="9"/>
  <c r="N26" i="9"/>
  <c r="D30" i="9"/>
  <c r="G30" i="9"/>
  <c r="K30" i="9"/>
  <c r="N30" i="9"/>
  <c r="G31" i="9"/>
  <c r="K31" i="9"/>
  <c r="N31" i="9"/>
  <c r="D32" i="9"/>
  <c r="G32" i="9"/>
  <c r="K32" i="9"/>
  <c r="N32" i="9"/>
  <c r="G33" i="9"/>
  <c r="K33" i="9"/>
  <c r="N33" i="9"/>
  <c r="G34" i="9"/>
  <c r="K34" i="9"/>
  <c r="N34" i="9"/>
  <c r="K35" i="9"/>
  <c r="N35" i="9"/>
  <c r="D36" i="9"/>
  <c r="G36" i="9"/>
  <c r="K36" i="9"/>
  <c r="N36" i="9"/>
  <c r="G39" i="9"/>
  <c r="K39" i="9"/>
  <c r="N39" i="9"/>
  <c r="G40" i="9"/>
  <c r="K40" i="9"/>
  <c r="N40" i="9"/>
  <c r="G41" i="9"/>
  <c r="K41" i="9"/>
  <c r="N41" i="9"/>
  <c r="G42" i="9"/>
  <c r="K42" i="9"/>
  <c r="N42" i="9"/>
  <c r="D43" i="9"/>
  <c r="G43" i="9"/>
  <c r="K43" i="9"/>
  <c r="N43" i="9"/>
  <c r="G44" i="9"/>
  <c r="K44" i="9"/>
  <c r="N44" i="9"/>
  <c r="G45" i="9"/>
  <c r="K45" i="9"/>
  <c r="N45" i="9"/>
  <c r="G46" i="9"/>
  <c r="K46" i="9"/>
  <c r="N46" i="9"/>
  <c r="G47" i="9"/>
  <c r="K47" i="9"/>
  <c r="N47" i="9"/>
  <c r="G48" i="9"/>
  <c r="K48" i="9"/>
  <c r="N48" i="9"/>
  <c r="G49" i="9"/>
  <c r="K49" i="9"/>
  <c r="N49" i="9"/>
  <c r="G50" i="9"/>
  <c r="K50" i="9"/>
  <c r="N50" i="9"/>
  <c r="G51" i="9"/>
  <c r="K51" i="9"/>
  <c r="N51" i="9"/>
  <c r="G52" i="9"/>
  <c r="K52" i="9"/>
  <c r="N52" i="9"/>
  <c r="G53" i="9"/>
  <c r="K53" i="9"/>
  <c r="N53" i="9"/>
  <c r="G54" i="9"/>
  <c r="K54" i="9"/>
  <c r="N54" i="9"/>
  <c r="G55" i="9"/>
  <c r="K55" i="9"/>
  <c r="N55" i="9"/>
  <c r="G56" i="9"/>
  <c r="K56" i="9"/>
  <c r="N56" i="9"/>
  <c r="K57" i="9"/>
  <c r="N57" i="9"/>
  <c r="G58" i="9"/>
  <c r="K58" i="9"/>
  <c r="N58" i="9"/>
  <c r="G59" i="9"/>
  <c r="K59" i="9"/>
  <c r="N59" i="9"/>
  <c r="G60" i="9"/>
  <c r="K60" i="9"/>
  <c r="N60" i="9"/>
  <c r="G61" i="9"/>
  <c r="K61" i="9"/>
  <c r="N61" i="9"/>
  <c r="G62" i="9"/>
  <c r="K62" i="9"/>
  <c r="N62" i="9"/>
  <c r="G63" i="9"/>
  <c r="K63" i="9"/>
  <c r="N63" i="9"/>
  <c r="G64" i="9"/>
  <c r="K64" i="9"/>
  <c r="N64" i="9"/>
  <c r="G65" i="9"/>
  <c r="K65" i="9"/>
  <c r="N65" i="9"/>
  <c r="N66" i="9"/>
  <c r="G67" i="9"/>
  <c r="K67" i="9"/>
  <c r="N67" i="9"/>
  <c r="G68" i="9"/>
  <c r="K68" i="9"/>
  <c r="N68" i="9"/>
  <c r="D69" i="9"/>
  <c r="G69" i="9"/>
  <c r="K69" i="9"/>
  <c r="N69" i="9"/>
  <c r="G72" i="9"/>
  <c r="K72" i="9"/>
  <c r="N72" i="9"/>
  <c r="D73" i="9"/>
  <c r="G73" i="9"/>
  <c r="K73" i="9"/>
  <c r="N73" i="9"/>
  <c r="D75" i="9"/>
  <c r="G75" i="9"/>
  <c r="K75" i="9"/>
  <c r="N75" i="9"/>
  <c r="G78" i="9"/>
  <c r="K78" i="9"/>
  <c r="N78" i="9"/>
  <c r="G79" i="9"/>
  <c r="K79" i="9"/>
  <c r="N79" i="9"/>
  <c r="G80" i="9"/>
  <c r="K80" i="9"/>
  <c r="N80" i="9"/>
  <c r="G81" i="9"/>
  <c r="K81" i="9"/>
  <c r="N81" i="9"/>
  <c r="G82" i="9"/>
  <c r="K82" i="9"/>
  <c r="N82" i="9"/>
  <c r="G83" i="9"/>
  <c r="K83" i="9"/>
  <c r="N83" i="9"/>
  <c r="G84" i="9"/>
  <c r="K84" i="9"/>
  <c r="N84" i="9"/>
  <c r="G85" i="9"/>
  <c r="K85" i="9"/>
  <c r="N85" i="9"/>
  <c r="G86" i="9"/>
  <c r="K86" i="9"/>
  <c r="N86" i="9"/>
  <c r="G87" i="9"/>
  <c r="K87" i="9"/>
  <c r="N87" i="9"/>
  <c r="G88" i="9"/>
  <c r="K88" i="9"/>
  <c r="N88" i="9"/>
  <c r="G89" i="9"/>
  <c r="K89" i="9"/>
  <c r="N89" i="9"/>
  <c r="G90" i="9"/>
  <c r="K90" i="9"/>
  <c r="N90" i="9"/>
  <c r="G91" i="9"/>
  <c r="K91" i="9"/>
  <c r="N91" i="9"/>
  <c r="D92" i="9"/>
  <c r="G92" i="9"/>
  <c r="K92" i="9"/>
  <c r="N92" i="9"/>
  <c r="G95" i="9"/>
  <c r="K95" i="9"/>
  <c r="N95" i="9"/>
  <c r="G96" i="9"/>
  <c r="K96" i="9"/>
  <c r="N96" i="9"/>
  <c r="G97" i="9"/>
  <c r="K97" i="9"/>
  <c r="N97" i="9"/>
  <c r="G98" i="9"/>
  <c r="K98" i="9"/>
  <c r="N98" i="9"/>
  <c r="G99" i="9"/>
  <c r="K99" i="9"/>
  <c r="N99" i="9"/>
  <c r="D100" i="9"/>
  <c r="G100" i="9"/>
  <c r="K100" i="9"/>
  <c r="N100" i="9"/>
  <c r="G103" i="9"/>
  <c r="K103" i="9"/>
  <c r="N103" i="9"/>
  <c r="D104" i="9"/>
  <c r="G104" i="9"/>
  <c r="K104" i="9"/>
  <c r="N104" i="9"/>
  <c r="G107" i="9"/>
  <c r="K107" i="9"/>
  <c r="N107" i="9"/>
  <c r="G108" i="9"/>
  <c r="K108" i="9"/>
  <c r="N108" i="9"/>
  <c r="D109" i="9"/>
  <c r="G109" i="9"/>
  <c r="K109" i="9"/>
  <c r="N109" i="9"/>
  <c r="D110" i="9"/>
  <c r="G110" i="9"/>
  <c r="K110" i="9"/>
  <c r="N110" i="9"/>
  <c r="G111" i="9"/>
  <c r="K111" i="9"/>
  <c r="N111" i="9"/>
  <c r="N112" i="9"/>
  <c r="G113" i="9"/>
  <c r="K113" i="9"/>
  <c r="N113" i="9"/>
  <c r="N114" i="9"/>
  <c r="G115" i="9"/>
  <c r="K115" i="9"/>
  <c r="N115" i="9"/>
  <c r="D116" i="9"/>
  <c r="G116" i="9"/>
  <c r="K116" i="9"/>
  <c r="N116" i="9"/>
  <c r="D119" i="9"/>
  <c r="G119" i="9"/>
  <c r="K119" i="9"/>
  <c r="N119" i="9"/>
  <c r="D121" i="9"/>
  <c r="G121" i="9"/>
  <c r="K121" i="9"/>
  <c r="N121" i="9"/>
  <c r="D123" i="9"/>
  <c r="G123" i="9"/>
  <c r="K123" i="9"/>
  <c r="N123" i="9"/>
  <c r="D125" i="9"/>
  <c r="G125" i="9"/>
  <c r="K125" i="9"/>
  <c r="N125" i="9"/>
  <c r="G126" i="9"/>
  <c r="K126" i="9"/>
  <c r="N126" i="9"/>
  <c r="G128" i="9"/>
  <c r="K128" i="9"/>
  <c r="N128" i="9"/>
  <c r="D129" i="9"/>
  <c r="G129" i="9"/>
  <c r="K129" i="9"/>
  <c r="N129" i="9"/>
  <c r="D131" i="9"/>
  <c r="D134" i="9"/>
  <c r="G134" i="9"/>
  <c r="K134" i="9"/>
  <c r="N134" i="9"/>
  <c r="N136" i="9"/>
</calcChain>
</file>

<file path=xl/sharedStrings.xml><?xml version="1.0" encoding="utf-8"?>
<sst xmlns="http://schemas.openxmlformats.org/spreadsheetml/2006/main" count="231" uniqueCount="161">
  <si>
    <t>Indirect Costs</t>
  </si>
  <si>
    <t>Engineering</t>
  </si>
  <si>
    <t>startup</t>
  </si>
  <si>
    <t>Procurement</t>
  </si>
  <si>
    <t>CTG's</t>
  </si>
  <si>
    <t>other</t>
  </si>
  <si>
    <t>Construction</t>
  </si>
  <si>
    <t>site</t>
  </si>
  <si>
    <t>u/g electrical</t>
  </si>
  <si>
    <t>u/g piping</t>
  </si>
  <si>
    <t>concrete</t>
  </si>
  <si>
    <t>grout</t>
  </si>
  <si>
    <t>steel</t>
  </si>
  <si>
    <t>architectural</t>
  </si>
  <si>
    <t>buildings</t>
  </si>
  <si>
    <t>a/g piping</t>
  </si>
  <si>
    <t>instrumentatiion</t>
  </si>
  <si>
    <t>insulation</t>
  </si>
  <si>
    <t>painting</t>
  </si>
  <si>
    <t>mech equipment</t>
  </si>
  <si>
    <t>Subtotal Cost</t>
  </si>
  <si>
    <t>fixed G&amp;A</t>
  </si>
  <si>
    <t>Total Cost</t>
  </si>
  <si>
    <t>contingency</t>
  </si>
  <si>
    <t>TOTAL PROJECT EPC</t>
  </si>
  <si>
    <t>margin</t>
  </si>
  <si>
    <t>a/g electrical</t>
  </si>
  <si>
    <t xml:space="preserve"> </t>
  </si>
  <si>
    <t>dual fuel</t>
  </si>
  <si>
    <t>no</t>
  </si>
  <si>
    <t>yes</t>
  </si>
  <si>
    <t xml:space="preserve">City of Austin </t>
  </si>
  <si>
    <t>LM6000</t>
  </si>
  <si>
    <t>WestLB</t>
  </si>
  <si>
    <t>Sprint</t>
  </si>
  <si>
    <t>fin fan</t>
  </si>
  <si>
    <t>chiller</t>
  </si>
  <si>
    <t>cooling tower</t>
  </si>
  <si>
    <t>OPTIONS</t>
  </si>
  <si>
    <t>15 kV to 4160 V transformer</t>
  </si>
  <si>
    <t>4160 switchgear</t>
  </si>
  <si>
    <t>4160 V to 480 V transformer</t>
  </si>
  <si>
    <t>480 V distribution/switchpanel</t>
  </si>
  <si>
    <t>BOP distribution panel/MCC</t>
  </si>
  <si>
    <t>air compressor</t>
  </si>
  <si>
    <t>liquid fuel tank heater</t>
  </si>
  <si>
    <t>liquid fuel unloading station</t>
  </si>
  <si>
    <t>liquid fuel treatment</t>
  </si>
  <si>
    <t>liquid fuel forwarding skid</t>
  </si>
  <si>
    <t>liquid fuel duplex filter</t>
  </si>
  <si>
    <t>gas fuel filter skid</t>
  </si>
  <si>
    <t>gas fuel scubber/heater</t>
  </si>
  <si>
    <t>raw water forwarding skid</t>
  </si>
  <si>
    <t>demin forwarding</t>
  </si>
  <si>
    <t>oily water separator</t>
  </si>
  <si>
    <t>anti-ice air to air</t>
  </si>
  <si>
    <t>CEMS</t>
  </si>
  <si>
    <t>stack 45 ft standard</t>
  </si>
  <si>
    <t>stack 45 ft heavy</t>
  </si>
  <si>
    <t>included</t>
  </si>
  <si>
    <t>water injection metering</t>
  </si>
  <si>
    <t>additional CT's</t>
  </si>
  <si>
    <t>15 kV swutchgear</t>
  </si>
  <si>
    <t>Project Management</t>
  </si>
  <si>
    <t>Home office</t>
  </si>
  <si>
    <t>salaried staff</t>
  </si>
  <si>
    <t>hourly staff</t>
  </si>
  <si>
    <t>Major Equipment</t>
  </si>
  <si>
    <t>equipment rental</t>
  </si>
  <si>
    <t>small tools</t>
  </si>
  <si>
    <t>temp facilities</t>
  </si>
  <si>
    <t>GC other</t>
  </si>
  <si>
    <t>per diems</t>
  </si>
  <si>
    <t>tax/bond</t>
  </si>
  <si>
    <t>units</t>
  </si>
  <si>
    <t>60ft stack</t>
  </si>
  <si>
    <t>included in SCR</t>
  </si>
  <si>
    <t>gas fuel only</t>
  </si>
  <si>
    <t>gas heater</t>
  </si>
  <si>
    <t>gas compression so no heating required</t>
  </si>
  <si>
    <t>vendor TDI</t>
  </si>
  <si>
    <t>240 mnhrs/unit included in base price</t>
  </si>
  <si>
    <t>freight for stack</t>
  </si>
  <si>
    <t>freight for CTG</t>
  </si>
  <si>
    <t>Engr labor</t>
  </si>
  <si>
    <t>Engineered Equipment</t>
  </si>
  <si>
    <t>valves and specials</t>
  </si>
  <si>
    <t>bus duct</t>
  </si>
  <si>
    <t>dry xfmrs</t>
  </si>
  <si>
    <t>step-up transformers</t>
  </si>
  <si>
    <t>pwr dist xfrms</t>
  </si>
  <si>
    <t>600V MCC</t>
  </si>
  <si>
    <t>600V swgr</t>
  </si>
  <si>
    <t>5kV swgr</t>
  </si>
  <si>
    <t>control panel</t>
  </si>
  <si>
    <t>DCS</t>
  </si>
  <si>
    <t>UPS</t>
  </si>
  <si>
    <t>fld mntd instr</t>
  </si>
  <si>
    <t>control valves</t>
  </si>
  <si>
    <t>pumps</t>
  </si>
  <si>
    <t>APC equipment</t>
  </si>
  <si>
    <t>Gas Compression</t>
  </si>
  <si>
    <t>FLD/shop vessels</t>
  </si>
  <si>
    <t>15kV swgr</t>
  </si>
  <si>
    <t>Bulk Material</t>
  </si>
  <si>
    <t>Procurement Subtotal</t>
  </si>
  <si>
    <t>Startup</t>
  </si>
  <si>
    <t>oper training</t>
  </si>
  <si>
    <t>initial fill/spares</t>
  </si>
  <si>
    <t>manuals</t>
  </si>
  <si>
    <t>startup support</t>
  </si>
  <si>
    <t>Warranty</t>
  </si>
  <si>
    <t>warranty</t>
  </si>
  <si>
    <t>MARGIN on NON-CTG SCOPE</t>
  </si>
  <si>
    <t>unit capacity</t>
  </si>
  <si>
    <t>kW</t>
  </si>
  <si>
    <t>power factor</t>
  </si>
  <si>
    <t>unit output</t>
  </si>
  <si>
    <t>kVA</t>
  </si>
  <si>
    <t>voltage</t>
  </si>
  <si>
    <t>V</t>
  </si>
  <si>
    <t>A</t>
  </si>
  <si>
    <t>HV device</t>
  </si>
  <si>
    <t>fin fan coolers</t>
  </si>
  <si>
    <t>fuel gas filter</t>
  </si>
  <si>
    <t>wtr treatment</t>
  </si>
  <si>
    <t>oil/water separator</t>
  </si>
  <si>
    <t>vendor reps</t>
  </si>
  <si>
    <t>CTG freight</t>
  </si>
  <si>
    <t>chillers</t>
  </si>
  <si>
    <t>included as separate line item</t>
  </si>
  <si>
    <t>anti-icing system</t>
  </si>
  <si>
    <t>NEPCO adjusted</t>
  </si>
  <si>
    <t>sales and use tax</t>
  </si>
  <si>
    <t>SCR air attemperation</t>
  </si>
  <si>
    <t>remote control</t>
  </si>
  <si>
    <t>Builders Risk</t>
  </si>
  <si>
    <t>ENA remote monitoring</t>
  </si>
  <si>
    <t>Golden's Guess</t>
  </si>
  <si>
    <t>inlet air heating</t>
  </si>
  <si>
    <t>STG - 75MW</t>
  </si>
  <si>
    <t>Owner Adds</t>
  </si>
  <si>
    <t>HRSG's</t>
  </si>
  <si>
    <t>see detail sheet</t>
  </si>
  <si>
    <t>not required</t>
  </si>
  <si>
    <t>tank farm/oil filter</t>
  </si>
  <si>
    <t>MW</t>
  </si>
  <si>
    <t>TOTAL PROJECT $/kW</t>
  </si>
  <si>
    <t>switchyard</t>
  </si>
  <si>
    <t>10 position breaker and one-half 230kV</t>
  </si>
  <si>
    <t>transmission lines</t>
  </si>
  <si>
    <t>gas line</t>
  </si>
  <si>
    <t xml:space="preserve">tap + meter at $400k plus pipeline </t>
  </si>
  <si>
    <t>Homestead CCGT</t>
  </si>
  <si>
    <t>Homestead SC</t>
  </si>
  <si>
    <t>admin buildings</t>
  </si>
  <si>
    <t>HRT Proposal</t>
  </si>
  <si>
    <t>included in HRT proposal</t>
  </si>
  <si>
    <t>To Add CCTG to SC</t>
  </si>
  <si>
    <t>combo</t>
  </si>
  <si>
    <t>Homestead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</si>
</sst>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_(* #,##0_);_(* \(#,##0\);_(* &quot;-&quot;??_);_(@_)"/>
    <numFmt numFmtId="168" formatCode="dd\-mmm\-yy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2" applyNumberFormat="1" applyFont="1"/>
    <xf numFmtId="0" fontId="2" fillId="0" borderId="0" xfId="0" applyFont="1"/>
    <xf numFmtId="9" fontId="0" fillId="0" borderId="0" xfId="3" applyFont="1"/>
    <xf numFmtId="165" fontId="0" fillId="0" borderId="0" xfId="2" applyNumberFormat="1" applyFont="1" applyFill="1"/>
    <xf numFmtId="0" fontId="4" fillId="0" borderId="0" xfId="0" applyFont="1"/>
    <xf numFmtId="0" fontId="0" fillId="0" borderId="0" xfId="0" applyFill="1"/>
    <xf numFmtId="165" fontId="0" fillId="0" borderId="0" xfId="0" applyNumberFormat="1"/>
    <xf numFmtId="165" fontId="3" fillId="0" borderId="0" xfId="2" applyNumberFormat="1" applyFont="1" applyFill="1"/>
    <xf numFmtId="165" fontId="3" fillId="0" borderId="0" xfId="0" applyNumberFormat="1" applyFont="1"/>
    <xf numFmtId="10" fontId="0" fillId="0" borderId="0" xfId="3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 applyFill="1"/>
    <xf numFmtId="0" fontId="2" fillId="0" borderId="0" xfId="0" applyFont="1" applyFill="1"/>
    <xf numFmtId="165" fontId="4" fillId="0" borderId="0" xfId="2" applyNumberFormat="1" applyFont="1" applyFill="1"/>
    <xf numFmtId="0" fontId="4" fillId="0" borderId="0" xfId="0" applyFont="1" applyFill="1"/>
    <xf numFmtId="165" fontId="0" fillId="0" borderId="1" xfId="2" applyNumberFormat="1" applyFont="1" applyFill="1" applyBorder="1"/>
    <xf numFmtId="165" fontId="3" fillId="0" borderId="1" xfId="2" applyNumberFormat="1" applyFont="1" applyFill="1" applyBorder="1"/>
    <xf numFmtId="44" fontId="0" fillId="0" borderId="0" xfId="2" applyFont="1" applyFill="1"/>
    <xf numFmtId="165" fontId="2" fillId="0" borderId="0" xfId="0" applyNumberFormat="1" applyFont="1" applyFill="1"/>
    <xf numFmtId="165" fontId="0" fillId="0" borderId="0" xfId="2" applyNumberFormat="1" applyFont="1" applyFill="1" applyBorder="1"/>
    <xf numFmtId="9" fontId="0" fillId="0" borderId="0" xfId="3" applyFont="1" applyFill="1"/>
    <xf numFmtId="0" fontId="0" fillId="0" borderId="0" xfId="0" applyFill="1" applyBorder="1"/>
    <xf numFmtId="9" fontId="0" fillId="0" borderId="0" xfId="3" applyFont="1" applyFill="1" applyBorder="1"/>
    <xf numFmtId="165" fontId="3" fillId="0" borderId="0" xfId="2" applyNumberFormat="1" applyFont="1" applyFill="1" applyBorder="1"/>
    <xf numFmtId="44" fontId="0" fillId="0" borderId="0" xfId="2" applyFont="1" applyFill="1" applyBorder="1"/>
    <xf numFmtId="10" fontId="0" fillId="0" borderId="1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56"/>
  <sheetViews>
    <sheetView topLeftCell="A129" zoomScale="75" workbookViewId="0">
      <selection activeCell="M164" sqref="M164"/>
    </sheetView>
  </sheetViews>
  <sheetFormatPr defaultRowHeight="13.2" x14ac:dyDescent="0.25"/>
  <cols>
    <col min="2" max="2" width="13.6640625" customWidth="1"/>
    <col min="3" max="3" width="11.5546875" customWidth="1"/>
    <col min="4" max="4" width="15" customWidth="1"/>
    <col min="5" max="5" width="6.33203125" customWidth="1"/>
    <col min="6" max="6" width="8" customWidth="1"/>
    <col min="7" max="7" width="20" customWidth="1"/>
    <col min="8" max="8" width="2.44140625" customWidth="1"/>
    <col min="9" max="9" width="15.44140625" customWidth="1"/>
    <col min="11" max="11" width="21.88671875" customWidth="1"/>
    <col min="12" max="12" width="3.109375" customWidth="1"/>
    <col min="13" max="13" width="10" customWidth="1"/>
    <col min="14" max="14" width="20" customWidth="1"/>
  </cols>
  <sheetData>
    <row r="2" spans="1:14" x14ac:dyDescent="0.25">
      <c r="A2" s="6"/>
      <c r="B2" s="6"/>
      <c r="C2" s="6"/>
      <c r="D2" s="6"/>
      <c r="E2" s="6"/>
      <c r="F2" s="6"/>
      <c r="G2" s="6"/>
      <c r="H2" s="6"/>
      <c r="I2" s="6"/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</row>
    <row r="4" spans="1:14" x14ac:dyDescent="0.25">
      <c r="A4" s="6"/>
      <c r="B4" s="6"/>
      <c r="C4" s="6"/>
      <c r="D4" s="6" t="s">
        <v>31</v>
      </c>
      <c r="E4" s="6"/>
      <c r="F4" s="6"/>
      <c r="G4" s="6" t="s">
        <v>153</v>
      </c>
      <c r="H4" s="6"/>
      <c r="I4" s="6"/>
      <c r="J4" s="6"/>
      <c r="K4" s="6" t="s">
        <v>154</v>
      </c>
      <c r="N4" s="6" t="s">
        <v>158</v>
      </c>
    </row>
    <row r="5" spans="1:14" x14ac:dyDescent="0.25">
      <c r="A5" s="6"/>
      <c r="B5" s="6"/>
      <c r="C5" s="6"/>
      <c r="D5" s="6">
        <v>4</v>
      </c>
      <c r="E5" s="6"/>
      <c r="F5" s="6"/>
      <c r="G5" s="6">
        <v>6</v>
      </c>
      <c r="H5" s="6"/>
      <c r="I5" s="6"/>
      <c r="J5" s="6"/>
      <c r="K5" s="6">
        <v>6</v>
      </c>
      <c r="N5" s="6">
        <v>6</v>
      </c>
    </row>
    <row r="6" spans="1:14" x14ac:dyDescent="0.25">
      <c r="A6" s="6"/>
      <c r="B6" s="6" t="s">
        <v>146</v>
      </c>
      <c r="C6" s="6"/>
      <c r="D6" s="6">
        <v>180</v>
      </c>
      <c r="E6" s="6"/>
      <c r="F6" s="6"/>
      <c r="G6" s="6">
        <v>345</v>
      </c>
      <c r="H6" s="6"/>
      <c r="I6" s="6"/>
      <c r="J6" s="6"/>
      <c r="K6" s="6">
        <f>6*45</f>
        <v>270</v>
      </c>
      <c r="N6" s="6">
        <v>345</v>
      </c>
    </row>
    <row r="7" spans="1:14" x14ac:dyDescent="0.25">
      <c r="A7" s="6"/>
      <c r="B7" s="6"/>
      <c r="C7" s="6"/>
      <c r="D7" s="6" t="s">
        <v>132</v>
      </c>
      <c r="E7" s="6"/>
      <c r="F7" s="6"/>
      <c r="G7" s="6" t="s">
        <v>138</v>
      </c>
      <c r="H7" s="6"/>
      <c r="I7" s="6"/>
      <c r="J7" s="6"/>
      <c r="K7" s="6" t="s">
        <v>138</v>
      </c>
      <c r="N7" s="6" t="s">
        <v>138</v>
      </c>
    </row>
    <row r="8" spans="1:14" x14ac:dyDescent="0.25">
      <c r="A8" s="6"/>
      <c r="B8" s="6"/>
      <c r="C8" s="6"/>
      <c r="D8" s="13">
        <v>36633</v>
      </c>
      <c r="E8" s="13"/>
      <c r="F8" s="13"/>
      <c r="G8" s="13">
        <v>36633</v>
      </c>
      <c r="H8" s="6"/>
      <c r="I8" s="6"/>
      <c r="J8" s="13"/>
      <c r="K8" s="13">
        <v>36633</v>
      </c>
      <c r="N8" s="13">
        <v>36648</v>
      </c>
    </row>
    <row r="9" spans="1:14" x14ac:dyDescent="0.25">
      <c r="A9" s="14" t="s">
        <v>63</v>
      </c>
      <c r="B9" s="6"/>
      <c r="C9" s="6"/>
      <c r="D9" s="6"/>
      <c r="E9" s="6"/>
      <c r="F9" s="6"/>
      <c r="G9" s="6"/>
      <c r="H9" s="6"/>
      <c r="I9" s="6"/>
      <c r="J9" s="6"/>
      <c r="K9" s="6"/>
      <c r="N9" s="6"/>
    </row>
    <row r="10" spans="1:14" x14ac:dyDescent="0.25">
      <c r="A10" s="6"/>
      <c r="B10" s="6" t="s">
        <v>64</v>
      </c>
      <c r="C10" s="6"/>
      <c r="D10" s="4">
        <v>600670</v>
      </c>
      <c r="E10" s="4"/>
      <c r="F10" s="22">
        <v>1.4</v>
      </c>
      <c r="G10" s="4">
        <f>D10*F10</f>
        <v>840938</v>
      </c>
      <c r="H10" s="6"/>
      <c r="I10" s="6"/>
      <c r="J10" s="22">
        <v>1.2</v>
      </c>
      <c r="K10" s="4">
        <f>D10*J10</f>
        <v>720804</v>
      </c>
      <c r="M10" s="3">
        <v>5</v>
      </c>
      <c r="N10" s="4">
        <f>M10*(G10-K10)</f>
        <v>600670</v>
      </c>
    </row>
    <row r="11" spans="1:14" x14ac:dyDescent="0.25">
      <c r="A11" s="6"/>
      <c r="B11" s="6" t="s">
        <v>65</v>
      </c>
      <c r="C11" s="6"/>
      <c r="D11" s="4">
        <v>789909</v>
      </c>
      <c r="E11" s="4"/>
      <c r="F11" s="22">
        <v>1.4</v>
      </c>
      <c r="G11" s="4">
        <f>D11*F11</f>
        <v>1105872.5999999999</v>
      </c>
      <c r="H11" s="6"/>
      <c r="I11" s="6"/>
      <c r="J11" s="22">
        <v>1.2</v>
      </c>
      <c r="K11" s="4">
        <f>D11*J11</f>
        <v>947890.79999999993</v>
      </c>
      <c r="M11" s="3">
        <v>5</v>
      </c>
      <c r="N11" s="4">
        <f>M11*(G11-K11)</f>
        <v>789908.99999999965</v>
      </c>
    </row>
    <row r="12" spans="1:14" ht="15" x14ac:dyDescent="0.4">
      <c r="A12" s="6"/>
      <c r="B12" s="6" t="s">
        <v>66</v>
      </c>
      <c r="C12" s="6"/>
      <c r="D12" s="8">
        <v>182297</v>
      </c>
      <c r="E12" s="8"/>
      <c r="F12" s="22">
        <v>1.4</v>
      </c>
      <c r="G12" s="8">
        <f>D12*F12</f>
        <v>255215.8</v>
      </c>
      <c r="H12" s="6"/>
      <c r="I12" s="6"/>
      <c r="J12" s="22">
        <v>1.2</v>
      </c>
      <c r="K12" s="8">
        <f>D12*J12</f>
        <v>218756.4</v>
      </c>
      <c r="M12" s="3">
        <v>5</v>
      </c>
      <c r="N12" s="8">
        <f>M12*(G12-K12)</f>
        <v>182296.99999999997</v>
      </c>
    </row>
    <row r="13" spans="1:14" x14ac:dyDescent="0.25">
      <c r="A13" s="6"/>
      <c r="B13" s="6" t="s">
        <v>27</v>
      </c>
      <c r="C13" s="6"/>
      <c r="D13" s="4">
        <f>SUM(D10:D12)</f>
        <v>1572876</v>
      </c>
      <c r="E13" s="4"/>
      <c r="F13" s="4"/>
      <c r="G13" s="4">
        <f>SUM(G10:G12)</f>
        <v>2202026.4</v>
      </c>
      <c r="H13" s="6"/>
      <c r="I13" s="6"/>
      <c r="J13" s="4"/>
      <c r="K13" s="4">
        <f>SUM(K10:K12)</f>
        <v>1887451.1999999997</v>
      </c>
      <c r="N13" s="4">
        <f>SUM(N10:N12)</f>
        <v>1572875.9999999995</v>
      </c>
    </row>
    <row r="14" spans="1:1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N14" s="6"/>
    </row>
    <row r="15" spans="1:14" x14ac:dyDescent="0.25">
      <c r="A15" s="14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N15" s="6"/>
    </row>
    <row r="16" spans="1:14" x14ac:dyDescent="0.25">
      <c r="A16" s="6"/>
      <c r="B16" s="6" t="s">
        <v>68</v>
      </c>
      <c r="C16" s="6"/>
      <c r="D16" s="4">
        <v>529716</v>
      </c>
      <c r="E16" s="4"/>
      <c r="F16" s="22">
        <v>1.4</v>
      </c>
      <c r="G16" s="4">
        <f t="shared" ref="G16:G21" si="0">D16*F16</f>
        <v>741602.39999999991</v>
      </c>
      <c r="H16" s="6"/>
      <c r="I16" s="6"/>
      <c r="J16" s="22">
        <v>1.2</v>
      </c>
      <c r="K16" s="4">
        <f t="shared" ref="K16:K21" si="1">D16*J16</f>
        <v>635659.19999999995</v>
      </c>
      <c r="M16" s="3">
        <v>4</v>
      </c>
      <c r="N16" s="4">
        <f t="shared" ref="N16:N21" si="2">M16*(G16-K16)</f>
        <v>423772.79999999981</v>
      </c>
    </row>
    <row r="17" spans="1:14" x14ac:dyDescent="0.25">
      <c r="A17" s="6"/>
      <c r="B17" s="6" t="s">
        <v>69</v>
      </c>
      <c r="C17" s="6"/>
      <c r="D17" s="4">
        <v>212087</v>
      </c>
      <c r="E17" s="4"/>
      <c r="F17" s="22">
        <v>1.4</v>
      </c>
      <c r="G17" s="4">
        <f t="shared" si="0"/>
        <v>296921.8</v>
      </c>
      <c r="H17" s="6"/>
      <c r="I17" s="6"/>
      <c r="J17" s="22">
        <v>1.2</v>
      </c>
      <c r="K17" s="4">
        <f t="shared" si="1"/>
        <v>254504.4</v>
      </c>
      <c r="M17" s="3">
        <v>4</v>
      </c>
      <c r="N17" s="4">
        <f t="shared" si="2"/>
        <v>169669.59999999998</v>
      </c>
    </row>
    <row r="18" spans="1:14" x14ac:dyDescent="0.25">
      <c r="A18" s="6"/>
      <c r="B18" s="6" t="s">
        <v>70</v>
      </c>
      <c r="C18" s="6"/>
      <c r="D18" s="4">
        <v>209897</v>
      </c>
      <c r="E18" s="4"/>
      <c r="F18" s="22">
        <v>1.4</v>
      </c>
      <c r="G18" s="4">
        <f t="shared" si="0"/>
        <v>293855.8</v>
      </c>
      <c r="H18" s="6"/>
      <c r="I18" s="6"/>
      <c r="J18" s="22">
        <v>1.25</v>
      </c>
      <c r="K18" s="4">
        <f t="shared" si="1"/>
        <v>262371.25</v>
      </c>
      <c r="M18" s="3">
        <v>4</v>
      </c>
      <c r="N18" s="4">
        <f t="shared" si="2"/>
        <v>125938.19999999995</v>
      </c>
    </row>
    <row r="19" spans="1:14" x14ac:dyDescent="0.25">
      <c r="A19" s="6"/>
      <c r="B19" s="6" t="s">
        <v>71</v>
      </c>
      <c r="C19" s="6"/>
      <c r="D19" s="4">
        <v>662015</v>
      </c>
      <c r="E19" s="4"/>
      <c r="F19" s="22">
        <v>1.4</v>
      </c>
      <c r="G19" s="4">
        <f t="shared" si="0"/>
        <v>926820.99999999988</v>
      </c>
      <c r="H19" s="6"/>
      <c r="I19" s="6"/>
      <c r="J19" s="22">
        <v>1.35</v>
      </c>
      <c r="K19" s="4">
        <f t="shared" si="1"/>
        <v>893720.25000000012</v>
      </c>
      <c r="M19" s="3">
        <v>20</v>
      </c>
      <c r="N19" s="4">
        <f t="shared" si="2"/>
        <v>662014.99999999534</v>
      </c>
    </row>
    <row r="20" spans="1:14" x14ac:dyDescent="0.25">
      <c r="A20" s="6"/>
      <c r="B20" s="6" t="s">
        <v>72</v>
      </c>
      <c r="C20" s="6"/>
      <c r="D20" s="4">
        <v>450000</v>
      </c>
      <c r="E20" s="4"/>
      <c r="F20" s="22">
        <v>1.4</v>
      </c>
      <c r="G20" s="4">
        <f t="shared" si="0"/>
        <v>630000</v>
      </c>
      <c r="H20" s="6"/>
      <c r="I20" s="6"/>
      <c r="J20" s="22">
        <v>1.25</v>
      </c>
      <c r="K20" s="4">
        <f t="shared" si="1"/>
        <v>562500</v>
      </c>
      <c r="M20" s="3">
        <v>7.5</v>
      </c>
      <c r="N20" s="4">
        <f t="shared" si="2"/>
        <v>506250</v>
      </c>
    </row>
    <row r="21" spans="1:14" ht="15" x14ac:dyDescent="0.4">
      <c r="A21" s="6"/>
      <c r="B21" s="6" t="s">
        <v>73</v>
      </c>
      <c r="C21" s="6"/>
      <c r="D21" s="8">
        <v>6750</v>
      </c>
      <c r="E21" s="8"/>
      <c r="F21" s="22">
        <v>1.4</v>
      </c>
      <c r="G21" s="8">
        <f t="shared" si="0"/>
        <v>9450</v>
      </c>
      <c r="H21" s="6"/>
      <c r="I21" s="6"/>
      <c r="J21" s="22">
        <v>1</v>
      </c>
      <c r="K21" s="8">
        <f t="shared" si="1"/>
        <v>6750</v>
      </c>
      <c r="M21" s="3">
        <v>2</v>
      </c>
      <c r="N21" s="8">
        <f t="shared" si="2"/>
        <v>5400</v>
      </c>
    </row>
    <row r="22" spans="1:14" x14ac:dyDescent="0.25">
      <c r="A22" s="6"/>
      <c r="B22" s="6"/>
      <c r="C22" s="6"/>
      <c r="D22" s="4">
        <f>SUM(D16:D21)</f>
        <v>2070465</v>
      </c>
      <c r="E22" s="4"/>
      <c r="F22" s="4"/>
      <c r="G22" s="4">
        <f>SUM(G16:G21)</f>
        <v>2898651</v>
      </c>
      <c r="H22" s="6"/>
      <c r="I22" s="6"/>
      <c r="J22" s="4"/>
      <c r="K22" s="4">
        <f>SUM(K16:K21)</f>
        <v>2615505.1</v>
      </c>
      <c r="N22" s="4">
        <f>SUM(N16:N21)</f>
        <v>1893045.599999995</v>
      </c>
    </row>
    <row r="23" spans="1:14" x14ac:dyDescent="0.25">
      <c r="A23" s="6"/>
      <c r="B23" s="6"/>
      <c r="C23" s="6"/>
      <c r="D23" s="4"/>
      <c r="E23" s="4"/>
      <c r="F23" s="4"/>
      <c r="G23" s="4"/>
      <c r="H23" s="6"/>
      <c r="I23" s="6"/>
      <c r="J23" s="4"/>
      <c r="K23" s="4"/>
      <c r="N23" s="4"/>
    </row>
    <row r="24" spans="1:14" x14ac:dyDescent="0.25">
      <c r="A24" s="14" t="s">
        <v>1</v>
      </c>
      <c r="B24" s="6"/>
      <c r="C24" s="6"/>
      <c r="D24" s="4"/>
      <c r="E24" s="4"/>
      <c r="F24" s="4"/>
      <c r="G24" s="4"/>
      <c r="H24" s="6"/>
      <c r="I24" s="6"/>
      <c r="J24" s="4"/>
      <c r="K24" s="4"/>
      <c r="N24" s="4"/>
    </row>
    <row r="25" spans="1:14" ht="15" x14ac:dyDescent="0.4">
      <c r="A25" s="6"/>
      <c r="B25" s="6" t="s">
        <v>84</v>
      </c>
      <c r="C25" s="6"/>
      <c r="D25" s="8">
        <v>528328</v>
      </c>
      <c r="E25" s="8"/>
      <c r="F25" s="22">
        <v>3.25</v>
      </c>
      <c r="G25" s="8">
        <f>D25*F25</f>
        <v>1717066</v>
      </c>
      <c r="H25" s="6"/>
      <c r="I25" s="6"/>
      <c r="J25" s="22">
        <v>1.35</v>
      </c>
      <c r="K25" s="8">
        <f>D25*J25</f>
        <v>713242.8</v>
      </c>
      <c r="M25" s="3">
        <v>1.25</v>
      </c>
      <c r="N25" s="8">
        <f>M25*(G25-K25)</f>
        <v>1254779</v>
      </c>
    </row>
    <row r="26" spans="1:14" x14ac:dyDescent="0.25">
      <c r="A26" s="6"/>
      <c r="B26" s="6"/>
      <c r="C26" s="6"/>
      <c r="D26" s="4">
        <f>D25</f>
        <v>528328</v>
      </c>
      <c r="E26" s="4"/>
      <c r="F26" s="4"/>
      <c r="G26" s="4">
        <f>G25</f>
        <v>1717066</v>
      </c>
      <c r="H26" s="6"/>
      <c r="I26" s="6"/>
      <c r="J26" s="4"/>
      <c r="K26" s="4">
        <f>K25</f>
        <v>713242.8</v>
      </c>
      <c r="N26" s="4">
        <f>N25</f>
        <v>1254779</v>
      </c>
    </row>
    <row r="27" spans="1:14" x14ac:dyDescent="0.25">
      <c r="A27" s="6"/>
      <c r="B27" s="6"/>
      <c r="C27" s="6"/>
      <c r="D27" s="4"/>
      <c r="E27" s="4"/>
      <c r="F27" s="4"/>
      <c r="G27" s="4"/>
      <c r="H27" s="6"/>
      <c r="I27" s="6"/>
      <c r="J27" s="4"/>
      <c r="K27" s="4"/>
      <c r="N27" s="4"/>
    </row>
    <row r="28" spans="1:14" x14ac:dyDescent="0.25">
      <c r="A28" s="14" t="s">
        <v>3</v>
      </c>
      <c r="B28" s="6"/>
      <c r="C28" s="6"/>
      <c r="D28" s="4"/>
      <c r="E28" s="4"/>
      <c r="F28" s="4"/>
      <c r="G28" s="4"/>
      <c r="H28" s="6"/>
      <c r="I28" s="6"/>
      <c r="J28" s="4"/>
      <c r="K28" s="4"/>
      <c r="N28" s="4"/>
    </row>
    <row r="29" spans="1:14" x14ac:dyDescent="0.25">
      <c r="A29" s="14"/>
      <c r="B29" s="14" t="s">
        <v>67</v>
      </c>
      <c r="C29" s="6"/>
      <c r="D29" s="4"/>
      <c r="E29" s="4"/>
      <c r="F29" s="4"/>
      <c r="G29" s="4"/>
      <c r="H29" s="6"/>
      <c r="I29" s="6"/>
      <c r="J29" s="4"/>
      <c r="K29" s="4"/>
      <c r="N29" s="4"/>
    </row>
    <row r="30" spans="1:14" x14ac:dyDescent="0.25">
      <c r="A30" s="6"/>
      <c r="B30" s="6" t="s">
        <v>4</v>
      </c>
      <c r="C30" s="6"/>
      <c r="D30" s="15">
        <f>CTGprice!$I$21</f>
        <v>86040000</v>
      </c>
      <c r="E30" s="15"/>
      <c r="F30" s="22">
        <v>1.5</v>
      </c>
      <c r="G30" s="4">
        <f>D30*F30</f>
        <v>129060000</v>
      </c>
      <c r="H30" s="16"/>
      <c r="I30" s="6" t="s">
        <v>143</v>
      </c>
      <c r="J30" s="22">
        <v>1.5</v>
      </c>
      <c r="K30" s="4">
        <f>D30*J30</f>
        <v>129060000</v>
      </c>
      <c r="M30" s="3">
        <v>0</v>
      </c>
      <c r="N30" s="4">
        <f t="shared" ref="N30:N35" si="3">M30*(G30-K30)</f>
        <v>0</v>
      </c>
    </row>
    <row r="31" spans="1:14" x14ac:dyDescent="0.25">
      <c r="A31" s="6"/>
      <c r="B31" s="6" t="s">
        <v>128</v>
      </c>
      <c r="C31" s="6"/>
      <c r="D31" s="15">
        <v>240000</v>
      </c>
      <c r="E31" s="15"/>
      <c r="F31" s="22">
        <v>2.5</v>
      </c>
      <c r="G31" s="4">
        <f>D31*F31</f>
        <v>600000</v>
      </c>
      <c r="H31" s="16"/>
      <c r="I31" s="6" t="s">
        <v>27</v>
      </c>
      <c r="J31" s="22">
        <v>2.5</v>
      </c>
      <c r="K31" s="4">
        <f>D31*J31</f>
        <v>600000</v>
      </c>
      <c r="M31" s="3">
        <v>0</v>
      </c>
      <c r="N31" s="4">
        <f t="shared" si="3"/>
        <v>0</v>
      </c>
    </row>
    <row r="32" spans="1:14" ht="13.8" thickBot="1" x14ac:dyDescent="0.3">
      <c r="A32" s="6"/>
      <c r="B32" s="6" t="s">
        <v>139</v>
      </c>
      <c r="C32" s="6"/>
      <c r="D32" s="15">
        <f>906000+27500</f>
        <v>933500</v>
      </c>
      <c r="E32" s="15"/>
      <c r="F32" s="22">
        <v>0</v>
      </c>
      <c r="G32" s="4">
        <f>D32*F32</f>
        <v>0</v>
      </c>
      <c r="H32" s="16"/>
      <c r="I32" s="6" t="s">
        <v>144</v>
      </c>
      <c r="J32" s="22">
        <v>0</v>
      </c>
      <c r="K32" s="4">
        <f>D32*J32</f>
        <v>0</v>
      </c>
      <c r="M32" s="3">
        <v>0</v>
      </c>
      <c r="N32" s="4">
        <f t="shared" si="3"/>
        <v>0</v>
      </c>
    </row>
    <row r="33" spans="1:14" ht="13.8" thickBot="1" x14ac:dyDescent="0.3">
      <c r="A33" s="6"/>
      <c r="B33" s="6" t="s">
        <v>28</v>
      </c>
      <c r="C33" s="6"/>
      <c r="D33" s="15">
        <v>0</v>
      </c>
      <c r="E33" s="15"/>
      <c r="F33" s="22">
        <v>0</v>
      </c>
      <c r="G33" s="17">
        <f>CTGprice!$D$15*G5</f>
        <v>1680000</v>
      </c>
      <c r="H33" s="16"/>
      <c r="I33" s="6" t="s">
        <v>27</v>
      </c>
      <c r="J33" s="22">
        <v>0</v>
      </c>
      <c r="K33" s="17">
        <f>CTGprice!$D$15*K5</f>
        <v>1680000</v>
      </c>
      <c r="M33" s="3">
        <v>0</v>
      </c>
      <c r="N33" s="4">
        <f t="shared" si="3"/>
        <v>0</v>
      </c>
    </row>
    <row r="34" spans="1:14" ht="13.8" thickBot="1" x14ac:dyDescent="0.3">
      <c r="A34" s="6"/>
      <c r="B34" s="6" t="s">
        <v>142</v>
      </c>
      <c r="C34" s="6"/>
      <c r="D34" s="15">
        <v>0</v>
      </c>
      <c r="E34" s="15"/>
      <c r="F34" s="22">
        <v>0</v>
      </c>
      <c r="G34" s="17">
        <f>2800000*G5</f>
        <v>16800000</v>
      </c>
      <c r="H34" s="16"/>
      <c r="I34" s="6"/>
      <c r="J34" s="22">
        <v>0</v>
      </c>
      <c r="K34" s="4">
        <f>D34*J34</f>
        <v>0</v>
      </c>
      <c r="M34" s="3">
        <v>1.1000000000000001</v>
      </c>
      <c r="N34" s="4">
        <f t="shared" si="3"/>
        <v>18480000</v>
      </c>
    </row>
    <row r="35" spans="1:14" ht="15.6" thickBot="1" x14ac:dyDescent="0.45">
      <c r="A35" s="6"/>
      <c r="B35" s="6" t="s">
        <v>140</v>
      </c>
      <c r="C35" s="6"/>
      <c r="D35" s="8">
        <v>0</v>
      </c>
      <c r="E35" s="8"/>
      <c r="F35" s="22">
        <v>0</v>
      </c>
      <c r="G35" s="18">
        <v>8000000</v>
      </c>
      <c r="H35" s="16"/>
      <c r="I35" s="6"/>
      <c r="J35" s="22">
        <v>0</v>
      </c>
      <c r="K35" s="8">
        <f>D35*J35</f>
        <v>0</v>
      </c>
      <c r="M35" s="3">
        <v>1.1000000000000001</v>
      </c>
      <c r="N35" s="8">
        <f t="shared" si="3"/>
        <v>8800000</v>
      </c>
    </row>
    <row r="36" spans="1:14" x14ac:dyDescent="0.25">
      <c r="A36" s="6"/>
      <c r="B36" s="6"/>
      <c r="C36" s="6"/>
      <c r="D36" s="4">
        <f>SUM(D30:D35)</f>
        <v>87213500</v>
      </c>
      <c r="E36" s="4"/>
      <c r="F36" s="4"/>
      <c r="G36" s="4">
        <f>SUM(G30:G35)</f>
        <v>156140000</v>
      </c>
      <c r="H36" s="6"/>
      <c r="I36" s="6"/>
      <c r="J36" s="4"/>
      <c r="K36" s="4">
        <f>SUM(K30:K35)</f>
        <v>131340000</v>
      </c>
      <c r="N36" s="4">
        <f>SUM(N30:N35)</f>
        <v>27280000</v>
      </c>
    </row>
    <row r="37" spans="1:14" x14ac:dyDescent="0.25">
      <c r="A37" s="6"/>
      <c r="B37" s="6"/>
      <c r="C37" s="6"/>
      <c r="D37" s="4"/>
      <c r="E37" s="4"/>
      <c r="F37" s="4"/>
      <c r="G37" s="4"/>
      <c r="H37" s="6"/>
      <c r="I37" s="6"/>
      <c r="J37" s="4"/>
      <c r="K37" s="4"/>
      <c r="N37" s="4"/>
    </row>
    <row r="38" spans="1:14" x14ac:dyDescent="0.25">
      <c r="A38" s="6"/>
      <c r="B38" s="14" t="s">
        <v>85</v>
      </c>
      <c r="C38" s="6"/>
      <c r="D38" s="4"/>
      <c r="E38" s="4"/>
      <c r="F38" s="4"/>
      <c r="G38" s="4"/>
      <c r="H38" s="6"/>
      <c r="I38" s="6"/>
      <c r="J38" s="4"/>
      <c r="K38" s="4"/>
      <c r="N38" s="4"/>
    </row>
    <row r="39" spans="1:14" x14ac:dyDescent="0.25">
      <c r="A39" s="6"/>
      <c r="B39" s="6" t="s">
        <v>14</v>
      </c>
      <c r="C39" s="6"/>
      <c r="D39" s="4">
        <v>262500</v>
      </c>
      <c r="E39" s="4"/>
      <c r="F39" s="22">
        <v>3</v>
      </c>
      <c r="G39" s="4">
        <f t="shared" ref="G39:G65" si="4">D39*F39</f>
        <v>787500</v>
      </c>
      <c r="H39" s="6"/>
      <c r="I39" s="6"/>
      <c r="J39" s="22">
        <v>1.5</v>
      </c>
      <c r="K39" s="4">
        <f t="shared" ref="K39:K65" si="5">D39*J39</f>
        <v>393750</v>
      </c>
      <c r="M39" s="3">
        <v>1.25</v>
      </c>
      <c r="N39" s="4">
        <f t="shared" ref="N39:N68" si="6">M39*(G39-K39)</f>
        <v>492187.5</v>
      </c>
    </row>
    <row r="40" spans="1:14" x14ac:dyDescent="0.25">
      <c r="A40" s="6"/>
      <c r="B40" s="6" t="s">
        <v>86</v>
      </c>
      <c r="C40" s="6"/>
      <c r="D40" s="4">
        <v>284762</v>
      </c>
      <c r="E40" s="4"/>
      <c r="F40" s="22">
        <v>3</v>
      </c>
      <c r="G40" s="4">
        <f t="shared" si="4"/>
        <v>854286</v>
      </c>
      <c r="H40" s="6"/>
      <c r="I40" s="6"/>
      <c r="J40" s="22">
        <v>1.35</v>
      </c>
      <c r="K40" s="4">
        <f t="shared" si="5"/>
        <v>384428.7</v>
      </c>
      <c r="M40" s="3">
        <v>1.25</v>
      </c>
      <c r="N40" s="4">
        <f t="shared" si="6"/>
        <v>587321.625</v>
      </c>
    </row>
    <row r="41" spans="1:14" x14ac:dyDescent="0.25">
      <c r="A41" s="6"/>
      <c r="B41" s="6" t="s">
        <v>87</v>
      </c>
      <c r="C41" s="6"/>
      <c r="D41" s="21">
        <v>150000</v>
      </c>
      <c r="E41" s="21"/>
      <c r="F41" s="22">
        <v>3</v>
      </c>
      <c r="G41" s="4">
        <f t="shared" si="4"/>
        <v>450000</v>
      </c>
      <c r="H41" s="6"/>
      <c r="I41" s="6"/>
      <c r="J41" s="22">
        <v>1.5</v>
      </c>
      <c r="K41" s="4">
        <f t="shared" si="5"/>
        <v>225000</v>
      </c>
      <c r="M41" s="3">
        <v>0.75</v>
      </c>
      <c r="N41" s="4">
        <f t="shared" si="6"/>
        <v>168750</v>
      </c>
    </row>
    <row r="42" spans="1:14" x14ac:dyDescent="0.25">
      <c r="A42" s="6"/>
      <c r="B42" s="6" t="s">
        <v>88</v>
      </c>
      <c r="C42" s="6"/>
      <c r="D42" s="4">
        <v>12440</v>
      </c>
      <c r="E42" s="4"/>
      <c r="F42" s="22">
        <v>2</v>
      </c>
      <c r="G42" s="4">
        <f t="shared" si="4"/>
        <v>24880</v>
      </c>
      <c r="H42" s="6"/>
      <c r="I42" s="6"/>
      <c r="J42" s="22">
        <v>1.35</v>
      </c>
      <c r="K42" s="4">
        <f t="shared" si="5"/>
        <v>16794</v>
      </c>
      <c r="M42" s="3">
        <v>1.25</v>
      </c>
      <c r="N42" s="4">
        <f t="shared" si="6"/>
        <v>10107.5</v>
      </c>
    </row>
    <row r="43" spans="1:14" x14ac:dyDescent="0.25">
      <c r="A43" s="6"/>
      <c r="B43" s="6" t="s">
        <v>89</v>
      </c>
      <c r="C43" s="6"/>
      <c r="D43" s="4">
        <f>2*718000</f>
        <v>1436000</v>
      </c>
      <c r="E43" s="4"/>
      <c r="F43" s="22">
        <v>2</v>
      </c>
      <c r="G43" s="4">
        <f t="shared" si="4"/>
        <v>2872000</v>
      </c>
      <c r="H43" s="6"/>
      <c r="I43" s="6" t="s">
        <v>27</v>
      </c>
      <c r="J43" s="22">
        <v>1.5</v>
      </c>
      <c r="K43" s="4">
        <f t="shared" si="5"/>
        <v>2154000</v>
      </c>
      <c r="M43" s="3">
        <v>1.1000000000000001</v>
      </c>
      <c r="N43" s="4">
        <f t="shared" si="6"/>
        <v>789800.00000000012</v>
      </c>
    </row>
    <row r="44" spans="1:14" x14ac:dyDescent="0.25">
      <c r="A44" s="6"/>
      <c r="B44" s="6" t="s">
        <v>90</v>
      </c>
      <c r="C44" s="6"/>
      <c r="D44" s="4">
        <v>580022</v>
      </c>
      <c r="E44" s="4"/>
      <c r="F44" s="22">
        <v>2</v>
      </c>
      <c r="G44" s="4">
        <f t="shared" si="4"/>
        <v>1160044</v>
      </c>
      <c r="H44" s="6"/>
      <c r="I44" s="6" t="s">
        <v>27</v>
      </c>
      <c r="J44" s="22">
        <v>1.45</v>
      </c>
      <c r="K44" s="4">
        <f t="shared" si="5"/>
        <v>841031.9</v>
      </c>
      <c r="M44" s="3">
        <v>1.25</v>
      </c>
      <c r="N44" s="4">
        <f t="shared" si="6"/>
        <v>398765.125</v>
      </c>
    </row>
    <row r="45" spans="1:14" x14ac:dyDescent="0.25">
      <c r="A45" s="6"/>
      <c r="B45" s="6" t="s">
        <v>91</v>
      </c>
      <c r="C45" s="6"/>
      <c r="D45" s="4">
        <v>70253</v>
      </c>
      <c r="E45" s="4"/>
      <c r="F45" s="22">
        <v>2</v>
      </c>
      <c r="G45" s="4">
        <f t="shared" si="4"/>
        <v>140506</v>
      </c>
      <c r="H45" s="6"/>
      <c r="I45" s="6"/>
      <c r="J45" s="22">
        <v>1.35</v>
      </c>
      <c r="K45" s="4">
        <f t="shared" si="5"/>
        <v>94841.55</v>
      </c>
      <c r="M45" s="3">
        <v>1.25</v>
      </c>
      <c r="N45" s="4">
        <f t="shared" si="6"/>
        <v>57080.5625</v>
      </c>
    </row>
    <row r="46" spans="1:14" x14ac:dyDescent="0.25">
      <c r="A46" s="6"/>
      <c r="B46" s="6" t="s">
        <v>92</v>
      </c>
      <c r="C46" s="6"/>
      <c r="D46" s="4">
        <v>69753</v>
      </c>
      <c r="E46" s="4"/>
      <c r="F46" s="22">
        <v>2</v>
      </c>
      <c r="G46" s="4">
        <f t="shared" si="4"/>
        <v>139506</v>
      </c>
      <c r="H46" s="6"/>
      <c r="I46" s="6"/>
      <c r="J46" s="22">
        <v>1.35</v>
      </c>
      <c r="K46" s="4">
        <f t="shared" si="5"/>
        <v>94166.55</v>
      </c>
      <c r="M46" s="3">
        <v>1.25</v>
      </c>
      <c r="N46" s="4">
        <f t="shared" si="6"/>
        <v>56674.3125</v>
      </c>
    </row>
    <row r="47" spans="1:14" x14ac:dyDescent="0.25">
      <c r="A47" s="6"/>
      <c r="B47" s="6" t="s">
        <v>93</v>
      </c>
      <c r="C47" s="6"/>
      <c r="D47" s="4">
        <v>123756</v>
      </c>
      <c r="E47" s="4"/>
      <c r="F47" s="22">
        <v>1.8</v>
      </c>
      <c r="G47" s="4">
        <f t="shared" si="4"/>
        <v>222760.80000000002</v>
      </c>
      <c r="H47" s="6"/>
      <c r="I47" s="6"/>
      <c r="J47" s="22">
        <v>1.5</v>
      </c>
      <c r="K47" s="4">
        <f t="shared" si="5"/>
        <v>185634</v>
      </c>
      <c r="M47" s="3">
        <v>1.25</v>
      </c>
      <c r="N47" s="4">
        <f t="shared" si="6"/>
        <v>46408.500000000022</v>
      </c>
    </row>
    <row r="48" spans="1:14" x14ac:dyDescent="0.25">
      <c r="A48" s="6"/>
      <c r="B48" s="6" t="s">
        <v>103</v>
      </c>
      <c r="C48" s="6"/>
      <c r="D48" s="4">
        <v>840032</v>
      </c>
      <c r="E48" s="4"/>
      <c r="F48" s="22">
        <v>1.8</v>
      </c>
      <c r="G48" s="4">
        <f t="shared" si="4"/>
        <v>1512057.6</v>
      </c>
      <c r="H48" s="6"/>
      <c r="I48" s="6" t="s">
        <v>27</v>
      </c>
      <c r="J48" s="22">
        <v>1.5</v>
      </c>
      <c r="K48" s="4">
        <f t="shared" si="5"/>
        <v>1260048</v>
      </c>
      <c r="M48" s="3">
        <v>1.1499999999999999</v>
      </c>
      <c r="N48" s="4">
        <f t="shared" si="6"/>
        <v>289811.0400000001</v>
      </c>
    </row>
    <row r="49" spans="1:14" x14ac:dyDescent="0.25">
      <c r="A49" s="6"/>
      <c r="B49" s="6" t="s">
        <v>94</v>
      </c>
      <c r="C49" s="6"/>
      <c r="D49" s="4">
        <v>233300</v>
      </c>
      <c r="E49" s="4"/>
      <c r="F49" s="22">
        <v>2</v>
      </c>
      <c r="G49" s="4">
        <f t="shared" si="4"/>
        <v>466600</v>
      </c>
      <c r="H49" s="6"/>
      <c r="I49" s="6"/>
      <c r="J49" s="22">
        <v>1.4</v>
      </c>
      <c r="K49" s="4">
        <f t="shared" si="5"/>
        <v>326620</v>
      </c>
      <c r="M49" s="3">
        <v>1.25</v>
      </c>
      <c r="N49" s="4">
        <f t="shared" si="6"/>
        <v>174975</v>
      </c>
    </row>
    <row r="50" spans="1:14" x14ac:dyDescent="0.25">
      <c r="A50" s="6"/>
      <c r="B50" s="6" t="s">
        <v>122</v>
      </c>
      <c r="C50" s="6"/>
      <c r="D50" s="4">
        <v>33032</v>
      </c>
      <c r="E50" s="4"/>
      <c r="F50" s="22">
        <v>2</v>
      </c>
      <c r="G50" s="4">
        <f t="shared" si="4"/>
        <v>66064</v>
      </c>
      <c r="H50" s="6"/>
      <c r="I50" s="6" t="s">
        <v>27</v>
      </c>
      <c r="J50" s="22">
        <v>1.4</v>
      </c>
      <c r="K50" s="4">
        <f t="shared" si="5"/>
        <v>46244.799999999996</v>
      </c>
      <c r="M50" s="3">
        <v>1.1499999999999999</v>
      </c>
      <c r="N50" s="4">
        <f t="shared" si="6"/>
        <v>22792.080000000002</v>
      </c>
    </row>
    <row r="51" spans="1:14" x14ac:dyDescent="0.25">
      <c r="A51" s="6"/>
      <c r="B51" s="6" t="s">
        <v>95</v>
      </c>
      <c r="C51" s="6"/>
      <c r="D51" s="4">
        <v>203700</v>
      </c>
      <c r="E51" s="4"/>
      <c r="F51" s="22">
        <v>3.25</v>
      </c>
      <c r="G51" s="4">
        <f t="shared" si="4"/>
        <v>662025</v>
      </c>
      <c r="H51" s="6"/>
      <c r="I51" s="6"/>
      <c r="J51" s="22">
        <v>1.5</v>
      </c>
      <c r="K51" s="4">
        <f t="shared" si="5"/>
        <v>305550</v>
      </c>
      <c r="M51" s="3">
        <v>1.1499999999999999</v>
      </c>
      <c r="N51" s="4">
        <f t="shared" si="6"/>
        <v>409946.24999999994</v>
      </c>
    </row>
    <row r="52" spans="1:14" x14ac:dyDescent="0.25">
      <c r="A52" s="6"/>
      <c r="B52" s="6" t="s">
        <v>96</v>
      </c>
      <c r="C52" s="6"/>
      <c r="D52" s="4">
        <v>20779</v>
      </c>
      <c r="E52" s="4"/>
      <c r="F52" s="22">
        <v>3</v>
      </c>
      <c r="G52" s="4">
        <f t="shared" si="4"/>
        <v>62337</v>
      </c>
      <c r="H52" s="6"/>
      <c r="I52" s="6"/>
      <c r="J52" s="22">
        <v>1.25</v>
      </c>
      <c r="K52" s="4">
        <f t="shared" si="5"/>
        <v>25973.75</v>
      </c>
      <c r="M52" s="3">
        <v>1.1000000000000001</v>
      </c>
      <c r="N52" s="4">
        <f t="shared" si="6"/>
        <v>39999.575000000004</v>
      </c>
    </row>
    <row r="53" spans="1:14" x14ac:dyDescent="0.25">
      <c r="A53" s="6"/>
      <c r="B53" s="6" t="s">
        <v>97</v>
      </c>
      <c r="C53" s="6"/>
      <c r="D53" s="4">
        <v>73293</v>
      </c>
      <c r="E53" s="4"/>
      <c r="F53" s="22">
        <v>2.75</v>
      </c>
      <c r="G53" s="4">
        <f t="shared" si="4"/>
        <v>201555.75</v>
      </c>
      <c r="H53" s="6"/>
      <c r="I53" s="6" t="s">
        <v>27</v>
      </c>
      <c r="J53" s="22">
        <v>1.5</v>
      </c>
      <c r="K53" s="4">
        <f t="shared" si="5"/>
        <v>109939.5</v>
      </c>
      <c r="M53" s="3">
        <v>1.25</v>
      </c>
      <c r="N53" s="4">
        <f t="shared" si="6"/>
        <v>114520.3125</v>
      </c>
    </row>
    <row r="54" spans="1:14" x14ac:dyDescent="0.25">
      <c r="A54" s="6"/>
      <c r="B54" s="6" t="s">
        <v>56</v>
      </c>
      <c r="C54" s="6"/>
      <c r="D54" s="4">
        <v>461600</v>
      </c>
      <c r="E54" s="4"/>
      <c r="F54" s="22">
        <v>0</v>
      </c>
      <c r="G54" s="4">
        <f t="shared" si="4"/>
        <v>0</v>
      </c>
      <c r="H54" s="6"/>
      <c r="I54" s="6" t="s">
        <v>27</v>
      </c>
      <c r="J54" s="22">
        <v>0</v>
      </c>
      <c r="K54" s="4">
        <f t="shared" si="5"/>
        <v>0</v>
      </c>
      <c r="M54" s="3">
        <v>1</v>
      </c>
      <c r="N54" s="4">
        <f t="shared" si="6"/>
        <v>0</v>
      </c>
    </row>
    <row r="55" spans="1:14" x14ac:dyDescent="0.25">
      <c r="A55" s="6"/>
      <c r="B55" s="6" t="s">
        <v>98</v>
      </c>
      <c r="C55" s="6"/>
      <c r="D55" s="4">
        <v>47500</v>
      </c>
      <c r="E55" s="4"/>
      <c r="F55" s="22">
        <v>9</v>
      </c>
      <c r="G55" s="4">
        <f t="shared" si="4"/>
        <v>427500</v>
      </c>
      <c r="H55" s="6"/>
      <c r="I55" s="6"/>
      <c r="J55" s="22">
        <v>1.45</v>
      </c>
      <c r="K55" s="4">
        <f t="shared" si="5"/>
        <v>68875</v>
      </c>
      <c r="M55" s="3">
        <v>1.1000000000000001</v>
      </c>
      <c r="N55" s="4">
        <f t="shared" si="6"/>
        <v>394487.50000000006</v>
      </c>
    </row>
    <row r="56" spans="1:14" ht="13.8" thickBot="1" x14ac:dyDescent="0.3">
      <c r="A56" s="6"/>
      <c r="B56" s="6" t="s">
        <v>99</v>
      </c>
      <c r="C56" s="6"/>
      <c r="D56" s="4">
        <v>201233</v>
      </c>
      <c r="E56" s="4"/>
      <c r="F56" s="22">
        <v>7.5</v>
      </c>
      <c r="G56" s="4">
        <f t="shared" si="4"/>
        <v>1509247.5</v>
      </c>
      <c r="H56" s="6"/>
      <c r="I56" s="6"/>
      <c r="J56" s="22">
        <v>1.35</v>
      </c>
      <c r="K56" s="4">
        <f t="shared" si="5"/>
        <v>271664.55000000005</v>
      </c>
      <c r="M56" s="3">
        <v>1.1000000000000001</v>
      </c>
      <c r="N56" s="4">
        <f t="shared" si="6"/>
        <v>1361341.2450000001</v>
      </c>
    </row>
    <row r="57" spans="1:14" ht="13.8" thickBot="1" x14ac:dyDescent="0.3">
      <c r="A57" s="6"/>
      <c r="B57" s="6" t="s">
        <v>37</v>
      </c>
      <c r="C57" s="6"/>
      <c r="D57" s="4">
        <v>634000</v>
      </c>
      <c r="E57" s="4"/>
      <c r="F57" s="22">
        <v>3.25</v>
      </c>
      <c r="G57" s="17">
        <v>1000000</v>
      </c>
      <c r="H57" s="6"/>
      <c r="I57" s="6"/>
      <c r="J57" s="22">
        <v>0</v>
      </c>
      <c r="K57" s="17">
        <f t="shared" si="5"/>
        <v>0</v>
      </c>
      <c r="L57" t="s">
        <v>157</v>
      </c>
      <c r="M57" s="3">
        <v>1.05</v>
      </c>
      <c r="N57" s="4">
        <f t="shared" si="6"/>
        <v>1050000</v>
      </c>
    </row>
    <row r="58" spans="1:14" x14ac:dyDescent="0.25">
      <c r="A58" s="6"/>
      <c r="B58" s="6" t="s">
        <v>123</v>
      </c>
      <c r="C58" s="6"/>
      <c r="D58" s="4">
        <v>260400</v>
      </c>
      <c r="E58" s="4"/>
      <c r="F58" s="22">
        <v>0</v>
      </c>
      <c r="G58" s="4">
        <f t="shared" si="4"/>
        <v>0</v>
      </c>
      <c r="H58" s="6"/>
      <c r="I58" s="6"/>
      <c r="J58" s="22">
        <v>0</v>
      </c>
      <c r="K58" s="4">
        <f t="shared" si="5"/>
        <v>0</v>
      </c>
      <c r="M58" s="3">
        <v>0</v>
      </c>
      <c r="N58" s="4">
        <f t="shared" si="6"/>
        <v>0</v>
      </c>
    </row>
    <row r="59" spans="1:14" x14ac:dyDescent="0.25">
      <c r="A59" s="6"/>
      <c r="B59" s="6" t="s">
        <v>100</v>
      </c>
      <c r="C59" s="6"/>
      <c r="D59" s="4">
        <v>5092500</v>
      </c>
      <c r="E59" s="4"/>
      <c r="F59" s="22">
        <v>0</v>
      </c>
      <c r="G59" s="4">
        <f t="shared" si="4"/>
        <v>0</v>
      </c>
      <c r="H59" s="6"/>
      <c r="I59" s="6" t="s">
        <v>27</v>
      </c>
      <c r="J59" s="22">
        <v>0</v>
      </c>
      <c r="K59" s="4">
        <f t="shared" si="5"/>
        <v>0</v>
      </c>
      <c r="M59" s="3">
        <v>0</v>
      </c>
      <c r="N59" s="4">
        <f t="shared" si="6"/>
        <v>0</v>
      </c>
    </row>
    <row r="60" spans="1:14" x14ac:dyDescent="0.25">
      <c r="A60" s="6"/>
      <c r="B60" s="6" t="s">
        <v>101</v>
      </c>
      <c r="C60" s="6"/>
      <c r="D60" s="21">
        <v>530000</v>
      </c>
      <c r="E60" s="21"/>
      <c r="F60" s="22">
        <v>4</v>
      </c>
      <c r="G60" s="4">
        <f t="shared" si="4"/>
        <v>2120000</v>
      </c>
      <c r="H60" s="6"/>
      <c r="I60" s="6" t="s">
        <v>27</v>
      </c>
      <c r="J60" s="22">
        <v>4</v>
      </c>
      <c r="K60" s="4">
        <f t="shared" si="5"/>
        <v>2120000</v>
      </c>
      <c r="M60" s="3">
        <v>0</v>
      </c>
      <c r="N60" s="4">
        <f t="shared" si="6"/>
        <v>0</v>
      </c>
    </row>
    <row r="61" spans="1:14" ht="13.8" thickBot="1" x14ac:dyDescent="0.3">
      <c r="A61" s="6"/>
      <c r="B61" s="6" t="s">
        <v>124</v>
      </c>
      <c r="C61" s="6"/>
      <c r="D61" s="4">
        <v>84000</v>
      </c>
      <c r="E61" s="4"/>
      <c r="F61" s="22">
        <v>2</v>
      </c>
      <c r="G61" s="4">
        <f t="shared" si="4"/>
        <v>168000</v>
      </c>
      <c r="H61" s="6"/>
      <c r="I61" s="6"/>
      <c r="J61" s="22">
        <v>2</v>
      </c>
      <c r="K61" s="4">
        <f t="shared" si="5"/>
        <v>168000</v>
      </c>
      <c r="M61" s="3">
        <v>0</v>
      </c>
      <c r="N61" s="4">
        <f t="shared" si="6"/>
        <v>0</v>
      </c>
    </row>
    <row r="62" spans="1:14" ht="13.8" thickBot="1" x14ac:dyDescent="0.3">
      <c r="A62" s="6"/>
      <c r="B62" s="6" t="s">
        <v>129</v>
      </c>
      <c r="C62" s="6"/>
      <c r="D62" s="4">
        <v>3714000</v>
      </c>
      <c r="E62" s="4"/>
      <c r="F62" s="22">
        <v>1.5</v>
      </c>
      <c r="G62" s="17">
        <f>K62</f>
        <v>4600000</v>
      </c>
      <c r="H62" s="6"/>
      <c r="I62" s="6" t="s">
        <v>27</v>
      </c>
      <c r="J62" s="22">
        <v>1.5</v>
      </c>
      <c r="K62" s="17">
        <f>5*920000</f>
        <v>4600000</v>
      </c>
      <c r="L62" t="s">
        <v>156</v>
      </c>
      <c r="M62" s="3">
        <v>0</v>
      </c>
      <c r="N62" s="4">
        <f t="shared" si="6"/>
        <v>0</v>
      </c>
    </row>
    <row r="63" spans="1:14" x14ac:dyDescent="0.25">
      <c r="A63" s="6"/>
      <c r="B63" s="6" t="s">
        <v>125</v>
      </c>
      <c r="C63" s="6"/>
      <c r="D63" s="21">
        <v>313200</v>
      </c>
      <c r="E63" s="21"/>
      <c r="F63" s="22">
        <v>2</v>
      </c>
      <c r="G63" s="4">
        <f t="shared" si="4"/>
        <v>626400</v>
      </c>
      <c r="H63" s="6"/>
      <c r="I63" s="6" t="s">
        <v>27</v>
      </c>
      <c r="J63" s="22">
        <v>1.75</v>
      </c>
      <c r="K63" s="4">
        <f t="shared" si="5"/>
        <v>548100</v>
      </c>
      <c r="M63" s="3">
        <v>1.25</v>
      </c>
      <c r="N63" s="4">
        <f t="shared" si="6"/>
        <v>97875</v>
      </c>
    </row>
    <row r="64" spans="1:14" x14ac:dyDescent="0.25">
      <c r="A64" s="6"/>
      <c r="B64" s="6" t="s">
        <v>126</v>
      </c>
      <c r="C64" s="6"/>
      <c r="D64" s="4">
        <v>36600</v>
      </c>
      <c r="E64" s="4"/>
      <c r="F64" s="22">
        <v>2.25</v>
      </c>
      <c r="G64" s="4">
        <f t="shared" si="4"/>
        <v>82350</v>
      </c>
      <c r="H64" s="6"/>
      <c r="I64" s="6"/>
      <c r="J64" s="22">
        <v>2.25</v>
      </c>
      <c r="K64" s="4">
        <f t="shared" si="5"/>
        <v>82350</v>
      </c>
      <c r="M64" s="3">
        <v>0</v>
      </c>
      <c r="N64" s="4">
        <f t="shared" si="6"/>
        <v>0</v>
      </c>
    </row>
    <row r="65" spans="1:14" ht="13.8" thickBot="1" x14ac:dyDescent="0.3">
      <c r="A65" s="6"/>
      <c r="B65" s="6" t="s">
        <v>127</v>
      </c>
      <c r="C65" s="6"/>
      <c r="D65" s="4">
        <v>182375</v>
      </c>
      <c r="E65" s="4"/>
      <c r="F65" s="22">
        <v>3</v>
      </c>
      <c r="G65" s="4">
        <f t="shared" si="4"/>
        <v>547125</v>
      </c>
      <c r="H65" s="6"/>
      <c r="I65" s="6" t="s">
        <v>27</v>
      </c>
      <c r="J65" s="22">
        <v>2</v>
      </c>
      <c r="K65" s="4">
        <f t="shared" si="5"/>
        <v>364750</v>
      </c>
      <c r="M65" s="3">
        <v>1.25</v>
      </c>
      <c r="N65" s="4">
        <f t="shared" si="6"/>
        <v>227968.75</v>
      </c>
    </row>
    <row r="66" spans="1:14" ht="13.8" thickBot="1" x14ac:dyDescent="0.3">
      <c r="A66" s="6"/>
      <c r="B66" s="6" t="s">
        <v>145</v>
      </c>
      <c r="C66" s="6"/>
      <c r="D66" s="4">
        <v>0</v>
      </c>
      <c r="E66" s="4"/>
      <c r="F66" s="22">
        <v>0</v>
      </c>
      <c r="G66" s="17">
        <v>2250000</v>
      </c>
      <c r="H66" s="6"/>
      <c r="I66" s="6"/>
      <c r="J66" s="22">
        <v>0</v>
      </c>
      <c r="K66" s="17">
        <v>2250000</v>
      </c>
      <c r="M66" s="3">
        <v>0</v>
      </c>
      <c r="N66" s="4">
        <f t="shared" si="6"/>
        <v>0</v>
      </c>
    </row>
    <row r="67" spans="1:14" x14ac:dyDescent="0.25">
      <c r="A67" s="6"/>
      <c r="B67" s="6" t="s">
        <v>102</v>
      </c>
      <c r="C67" s="6"/>
      <c r="D67" s="4">
        <v>355000</v>
      </c>
      <c r="E67" s="4"/>
      <c r="F67" s="22">
        <v>1.5</v>
      </c>
      <c r="G67" s="4">
        <f>D67*F67</f>
        <v>532500</v>
      </c>
      <c r="H67" s="6"/>
      <c r="I67" s="6"/>
      <c r="J67" s="22">
        <v>1.5</v>
      </c>
      <c r="K67" s="4">
        <f>D67*J67</f>
        <v>532500</v>
      </c>
      <c r="M67" s="3">
        <v>0</v>
      </c>
      <c r="N67" s="4">
        <f t="shared" si="6"/>
        <v>0</v>
      </c>
    </row>
    <row r="68" spans="1:14" ht="15" x14ac:dyDescent="0.4">
      <c r="A68" s="6"/>
      <c r="B68" s="6" t="s">
        <v>5</v>
      </c>
      <c r="C68" s="6"/>
      <c r="D68" s="8">
        <v>141636</v>
      </c>
      <c r="E68" s="8"/>
      <c r="F68" s="22">
        <v>4</v>
      </c>
      <c r="G68" s="8">
        <f>D68*F68</f>
        <v>566544</v>
      </c>
      <c r="H68" s="6"/>
      <c r="I68" s="6"/>
      <c r="J68" s="22">
        <v>4</v>
      </c>
      <c r="K68" s="8">
        <f>D68*J68</f>
        <v>566544</v>
      </c>
      <c r="M68" s="3">
        <v>0</v>
      </c>
      <c r="N68" s="8">
        <f t="shared" si="6"/>
        <v>0</v>
      </c>
    </row>
    <row r="69" spans="1:14" x14ac:dyDescent="0.25">
      <c r="A69" s="6"/>
      <c r="B69" s="6"/>
      <c r="C69" s="6"/>
      <c r="D69" s="4">
        <f>SUM(D39:D68)</f>
        <v>16447666</v>
      </c>
      <c r="E69" s="4"/>
      <c r="F69" s="4"/>
      <c r="G69" s="4">
        <f>SUM(G39:G68)</f>
        <v>24051788.649999999</v>
      </c>
      <c r="H69" s="6"/>
      <c r="I69" s="6"/>
      <c r="J69" s="4"/>
      <c r="K69" s="4">
        <f>SUM(K39:K68)</f>
        <v>18036806.300000001</v>
      </c>
      <c r="N69" s="4">
        <f>SUM(N39:N68)</f>
        <v>6790811.8775000004</v>
      </c>
    </row>
    <row r="70" spans="1:14" x14ac:dyDescent="0.25">
      <c r="A70" s="6"/>
      <c r="B70" s="6"/>
      <c r="C70" s="6"/>
      <c r="D70" s="4"/>
      <c r="E70" s="4"/>
      <c r="F70" s="4"/>
      <c r="G70" s="4"/>
      <c r="H70" s="6"/>
      <c r="I70" s="6"/>
      <c r="J70" s="4"/>
      <c r="K70" s="4"/>
      <c r="N70" s="4"/>
    </row>
    <row r="71" spans="1:14" x14ac:dyDescent="0.25">
      <c r="A71" s="14" t="s">
        <v>27</v>
      </c>
      <c r="B71" s="14" t="s">
        <v>104</v>
      </c>
      <c r="C71" s="6"/>
      <c r="D71" s="4"/>
      <c r="E71" s="4"/>
      <c r="F71" s="4"/>
      <c r="G71" s="4"/>
      <c r="H71" s="6"/>
      <c r="I71" s="6"/>
      <c r="J71" s="4"/>
      <c r="K71" s="4"/>
      <c r="N71" s="4"/>
    </row>
    <row r="72" spans="1:14" ht="15" x14ac:dyDescent="0.4">
      <c r="A72" s="6"/>
      <c r="B72" s="6" t="s">
        <v>104</v>
      </c>
      <c r="C72" s="6"/>
      <c r="D72" s="8">
        <v>2802357</v>
      </c>
      <c r="E72" s="8"/>
      <c r="F72" s="22">
        <v>3.25</v>
      </c>
      <c r="G72" s="8">
        <f>D72*F72</f>
        <v>9107660.25</v>
      </c>
      <c r="H72" s="6"/>
      <c r="I72" s="6"/>
      <c r="J72" s="22">
        <v>1.8</v>
      </c>
      <c r="K72" s="8">
        <f>D72*J72</f>
        <v>5044242.6000000006</v>
      </c>
      <c r="M72" s="3">
        <v>1.25</v>
      </c>
      <c r="N72" s="8">
        <f>M72*(G72-K72)</f>
        <v>5079272.0624999991</v>
      </c>
    </row>
    <row r="73" spans="1:14" x14ac:dyDescent="0.25">
      <c r="A73" s="6"/>
      <c r="B73" s="6"/>
      <c r="C73" s="6"/>
      <c r="D73" s="4">
        <f>D72</f>
        <v>2802357</v>
      </c>
      <c r="E73" s="4"/>
      <c r="F73" s="4"/>
      <c r="G73" s="4">
        <f>G72</f>
        <v>9107660.25</v>
      </c>
      <c r="H73" s="6"/>
      <c r="I73" s="6"/>
      <c r="J73" s="4"/>
      <c r="K73" s="4">
        <f>K72</f>
        <v>5044242.6000000006</v>
      </c>
      <c r="N73" s="4">
        <f>N72</f>
        <v>5079272.0624999991</v>
      </c>
    </row>
    <row r="74" spans="1:14" x14ac:dyDescent="0.25">
      <c r="A74" s="6"/>
      <c r="B74" s="6"/>
      <c r="C74" s="6"/>
      <c r="D74" s="4"/>
      <c r="E74" s="4"/>
      <c r="F74" s="4"/>
      <c r="G74" s="4"/>
      <c r="H74" s="6"/>
      <c r="I74" s="6"/>
      <c r="J74" s="4"/>
      <c r="K74" s="4"/>
      <c r="N74" s="4"/>
    </row>
    <row r="75" spans="1:14" x14ac:dyDescent="0.25">
      <c r="A75" s="6"/>
      <c r="B75" s="14" t="s">
        <v>105</v>
      </c>
      <c r="C75" s="6"/>
      <c r="D75" s="4">
        <f>D36+D69+D73</f>
        <v>106463523</v>
      </c>
      <c r="E75" s="4"/>
      <c r="F75" s="4"/>
      <c r="G75" s="4">
        <f>G36+G69+G73</f>
        <v>189299448.90000001</v>
      </c>
      <c r="H75" s="6"/>
      <c r="I75" s="6"/>
      <c r="J75" s="4"/>
      <c r="K75" s="4">
        <f>K36+K69+K73</f>
        <v>154421048.90000001</v>
      </c>
      <c r="N75" s="4">
        <f>N36+N69+N73</f>
        <v>39150083.939999998</v>
      </c>
    </row>
    <row r="76" spans="1:14" x14ac:dyDescent="0.25">
      <c r="A76" s="6"/>
      <c r="B76" s="6"/>
      <c r="C76" s="6"/>
      <c r="D76" s="4"/>
      <c r="E76" s="4"/>
      <c r="F76" s="4"/>
      <c r="G76" s="4"/>
      <c r="H76" s="6"/>
      <c r="I76" s="6"/>
      <c r="J76" s="4"/>
      <c r="K76" s="4"/>
      <c r="N76" s="4"/>
    </row>
    <row r="77" spans="1:14" x14ac:dyDescent="0.25">
      <c r="A77" s="14" t="s">
        <v>6</v>
      </c>
      <c r="B77" s="6"/>
      <c r="C77" s="6"/>
      <c r="D77" s="4"/>
      <c r="E77" s="4"/>
      <c r="F77" s="4"/>
      <c r="G77" s="4"/>
      <c r="H77" s="6"/>
      <c r="I77" s="6"/>
      <c r="J77" s="4"/>
      <c r="K77" s="4"/>
      <c r="N77" s="4"/>
    </row>
    <row r="78" spans="1:14" x14ac:dyDescent="0.25">
      <c r="A78" s="6"/>
      <c r="B78" s="6" t="s">
        <v>7</v>
      </c>
      <c r="C78" s="6"/>
      <c r="D78" s="4">
        <v>404846</v>
      </c>
      <c r="E78" s="4"/>
      <c r="F78" s="22">
        <v>2.75</v>
      </c>
      <c r="G78" s="4">
        <f t="shared" ref="G78:G91" si="7">D78*F78</f>
        <v>1113326.5</v>
      </c>
      <c r="H78" s="6"/>
      <c r="I78" s="6"/>
      <c r="J78" s="22">
        <v>2.25</v>
      </c>
      <c r="K78" s="4">
        <f t="shared" ref="K78:K91" si="8">D78*J78</f>
        <v>910903.5</v>
      </c>
      <c r="M78" s="3">
        <v>1.2</v>
      </c>
      <c r="N78" s="4">
        <f t="shared" ref="N78:N91" si="9">M78*(G78-K78)</f>
        <v>242907.59999999998</v>
      </c>
    </row>
    <row r="79" spans="1:14" x14ac:dyDescent="0.25">
      <c r="A79" s="6"/>
      <c r="B79" s="6" t="s">
        <v>8</v>
      </c>
      <c r="C79" s="6"/>
      <c r="D79" s="4">
        <v>469736</v>
      </c>
      <c r="E79" s="4"/>
      <c r="F79" s="22">
        <v>2</v>
      </c>
      <c r="G79" s="4">
        <f t="shared" si="7"/>
        <v>939472</v>
      </c>
      <c r="H79" s="6"/>
      <c r="I79" s="6"/>
      <c r="J79" s="22">
        <v>1.4</v>
      </c>
      <c r="K79" s="4">
        <f t="shared" si="8"/>
        <v>657630.39999999991</v>
      </c>
      <c r="M79" s="3">
        <v>1.2</v>
      </c>
      <c r="N79" s="4">
        <f t="shared" si="9"/>
        <v>338209.9200000001</v>
      </c>
    </row>
    <row r="80" spans="1:14" x14ac:dyDescent="0.25">
      <c r="A80" s="6"/>
      <c r="B80" s="6" t="s">
        <v>9</v>
      </c>
      <c r="C80" s="6"/>
      <c r="D80" s="4">
        <v>317869</v>
      </c>
      <c r="E80" s="4"/>
      <c r="F80" s="22">
        <v>4</v>
      </c>
      <c r="G80" s="4">
        <f t="shared" si="7"/>
        <v>1271476</v>
      </c>
      <c r="H80" s="6"/>
      <c r="I80" s="6"/>
      <c r="J80" s="22">
        <v>1.4</v>
      </c>
      <c r="K80" s="4">
        <f t="shared" si="8"/>
        <v>445016.6</v>
      </c>
      <c r="M80" s="3">
        <v>1.2</v>
      </c>
      <c r="N80" s="4">
        <f t="shared" si="9"/>
        <v>991751.28</v>
      </c>
    </row>
    <row r="81" spans="1:14" x14ac:dyDescent="0.25">
      <c r="A81" s="6"/>
      <c r="B81" s="6" t="s">
        <v>10</v>
      </c>
      <c r="C81" s="6"/>
      <c r="D81" s="4">
        <v>752981</v>
      </c>
      <c r="E81" s="4"/>
      <c r="F81" s="22">
        <v>3.25</v>
      </c>
      <c r="G81" s="4">
        <f t="shared" si="7"/>
        <v>2447188.25</v>
      </c>
      <c r="H81" s="6"/>
      <c r="I81" s="6"/>
      <c r="J81" s="22">
        <v>1.5</v>
      </c>
      <c r="K81" s="4">
        <f t="shared" si="8"/>
        <v>1129471.5</v>
      </c>
      <c r="M81" s="3">
        <v>1.2</v>
      </c>
      <c r="N81" s="4">
        <f t="shared" si="9"/>
        <v>1581260.0999999999</v>
      </c>
    </row>
    <row r="82" spans="1:14" x14ac:dyDescent="0.25">
      <c r="A82" s="6"/>
      <c r="B82" s="6" t="s">
        <v>11</v>
      </c>
      <c r="C82" s="6"/>
      <c r="D82" s="4">
        <v>41482</v>
      </c>
      <c r="E82" s="4"/>
      <c r="F82" s="22">
        <v>2.5</v>
      </c>
      <c r="G82" s="4">
        <f t="shared" si="7"/>
        <v>103705</v>
      </c>
      <c r="H82" s="6"/>
      <c r="I82" s="6"/>
      <c r="J82" s="22">
        <v>1.4</v>
      </c>
      <c r="K82" s="4">
        <f t="shared" si="8"/>
        <v>58074.799999999996</v>
      </c>
      <c r="M82" s="3">
        <v>1.2</v>
      </c>
      <c r="N82" s="4">
        <f t="shared" si="9"/>
        <v>54756.240000000005</v>
      </c>
    </row>
    <row r="83" spans="1:14" x14ac:dyDescent="0.25">
      <c r="A83" s="6"/>
      <c r="B83" s="6" t="s">
        <v>12</v>
      </c>
      <c r="C83" s="6"/>
      <c r="D83" s="4">
        <v>44805</v>
      </c>
      <c r="E83" s="4"/>
      <c r="F83" s="22">
        <v>6</v>
      </c>
      <c r="G83" s="4">
        <f t="shared" si="7"/>
        <v>268830</v>
      </c>
      <c r="H83" s="6"/>
      <c r="I83" s="6"/>
      <c r="J83" s="22">
        <v>1.4</v>
      </c>
      <c r="K83" s="4">
        <f t="shared" si="8"/>
        <v>62726.999999999993</v>
      </c>
      <c r="M83" s="3">
        <v>1.2</v>
      </c>
      <c r="N83" s="4">
        <f t="shared" si="9"/>
        <v>247323.59999999998</v>
      </c>
    </row>
    <row r="84" spans="1:14" x14ac:dyDescent="0.25">
      <c r="A84" s="6"/>
      <c r="B84" s="6" t="s">
        <v>13</v>
      </c>
      <c r="C84" s="6"/>
      <c r="D84" s="4">
        <v>2724</v>
      </c>
      <c r="E84" s="4"/>
      <c r="F84" s="22">
        <v>6</v>
      </c>
      <c r="G84" s="4">
        <f t="shared" si="7"/>
        <v>16344</v>
      </c>
      <c r="H84" s="6"/>
      <c r="I84" s="6"/>
      <c r="J84" s="22">
        <v>1.4</v>
      </c>
      <c r="K84" s="4">
        <f t="shared" si="8"/>
        <v>3813.6</v>
      </c>
      <c r="M84" s="3">
        <v>1.2</v>
      </c>
      <c r="N84" s="4">
        <f t="shared" si="9"/>
        <v>15036.48</v>
      </c>
    </row>
    <row r="85" spans="1:14" x14ac:dyDescent="0.25">
      <c r="A85" s="6"/>
      <c r="B85" s="6" t="s">
        <v>14</v>
      </c>
      <c r="C85" s="6"/>
      <c r="D85" s="4">
        <v>105033</v>
      </c>
      <c r="E85" s="4"/>
      <c r="F85" s="22">
        <v>3</v>
      </c>
      <c r="G85" s="4">
        <f t="shared" si="7"/>
        <v>315099</v>
      </c>
      <c r="H85" s="6"/>
      <c r="I85" s="6"/>
      <c r="J85" s="22">
        <v>1.5</v>
      </c>
      <c r="K85" s="4">
        <f t="shared" si="8"/>
        <v>157549.5</v>
      </c>
      <c r="M85" s="3">
        <v>1.2</v>
      </c>
      <c r="N85" s="4">
        <f t="shared" si="9"/>
        <v>189059.4</v>
      </c>
    </row>
    <row r="86" spans="1:14" x14ac:dyDescent="0.25">
      <c r="A86" s="6"/>
      <c r="B86" s="6" t="s">
        <v>15</v>
      </c>
      <c r="C86" s="6"/>
      <c r="D86" s="4">
        <v>795979</v>
      </c>
      <c r="E86" s="4"/>
      <c r="F86" s="22">
        <v>5</v>
      </c>
      <c r="G86" s="4">
        <f t="shared" si="7"/>
        <v>3979895</v>
      </c>
      <c r="H86" s="6"/>
      <c r="I86" s="6"/>
      <c r="J86" s="22">
        <v>1.35</v>
      </c>
      <c r="K86" s="4">
        <f t="shared" si="8"/>
        <v>1074571.6500000001</v>
      </c>
      <c r="M86" s="3">
        <v>1.2</v>
      </c>
      <c r="N86" s="4">
        <f t="shared" si="9"/>
        <v>3486388.0199999996</v>
      </c>
    </row>
    <row r="87" spans="1:14" x14ac:dyDescent="0.25">
      <c r="A87" s="6"/>
      <c r="B87" s="6" t="s">
        <v>26</v>
      </c>
      <c r="C87" s="6"/>
      <c r="D87" s="4">
        <v>804952</v>
      </c>
      <c r="E87" s="4"/>
      <c r="F87" s="22">
        <v>3</v>
      </c>
      <c r="G87" s="4">
        <f t="shared" si="7"/>
        <v>2414856</v>
      </c>
      <c r="H87" s="6"/>
      <c r="I87" s="6"/>
      <c r="J87" s="22">
        <v>1.35</v>
      </c>
      <c r="K87" s="4">
        <f t="shared" si="8"/>
        <v>1086685.2000000002</v>
      </c>
      <c r="M87" s="3">
        <v>1.2</v>
      </c>
      <c r="N87" s="4">
        <f t="shared" si="9"/>
        <v>1593804.9599999997</v>
      </c>
    </row>
    <row r="88" spans="1:14" x14ac:dyDescent="0.25">
      <c r="A88" s="6"/>
      <c r="B88" s="6" t="s">
        <v>16</v>
      </c>
      <c r="C88" s="6"/>
      <c r="D88" s="4">
        <v>155089</v>
      </c>
      <c r="E88" s="4"/>
      <c r="F88" s="22">
        <v>4</v>
      </c>
      <c r="G88" s="4">
        <f t="shared" si="7"/>
        <v>620356</v>
      </c>
      <c r="H88" s="6"/>
      <c r="I88" s="6"/>
      <c r="J88" s="22">
        <v>1.3</v>
      </c>
      <c r="K88" s="4">
        <f t="shared" si="8"/>
        <v>201615.7</v>
      </c>
      <c r="M88" s="3">
        <v>1.2</v>
      </c>
      <c r="N88" s="4">
        <f t="shared" si="9"/>
        <v>502488.36</v>
      </c>
    </row>
    <row r="89" spans="1:14" x14ac:dyDescent="0.25">
      <c r="A89" s="6"/>
      <c r="B89" s="6" t="s">
        <v>17</v>
      </c>
      <c r="C89" s="6"/>
      <c r="D89" s="4">
        <v>164407</v>
      </c>
      <c r="E89" s="4"/>
      <c r="F89" s="22">
        <v>6</v>
      </c>
      <c r="G89" s="4">
        <f t="shared" si="7"/>
        <v>986442</v>
      </c>
      <c r="H89" s="6"/>
      <c r="I89" s="6"/>
      <c r="J89" s="22">
        <v>1.25</v>
      </c>
      <c r="K89" s="4">
        <f t="shared" si="8"/>
        <v>205508.75</v>
      </c>
      <c r="M89" s="3">
        <v>1.2</v>
      </c>
      <c r="N89" s="4">
        <f t="shared" si="9"/>
        <v>937119.9</v>
      </c>
    </row>
    <row r="90" spans="1:14" x14ac:dyDescent="0.25">
      <c r="A90" s="6"/>
      <c r="B90" s="6" t="s">
        <v>18</v>
      </c>
      <c r="C90" s="6"/>
      <c r="D90" s="4">
        <v>20209</v>
      </c>
      <c r="E90" s="4"/>
      <c r="F90" s="22">
        <v>3.25</v>
      </c>
      <c r="G90" s="4">
        <f t="shared" si="7"/>
        <v>65679.25</v>
      </c>
      <c r="H90" s="6"/>
      <c r="I90" s="6"/>
      <c r="J90" s="22">
        <v>1.3</v>
      </c>
      <c r="K90" s="4">
        <f t="shared" si="8"/>
        <v>26271.7</v>
      </c>
      <c r="M90" s="3">
        <v>1.2</v>
      </c>
      <c r="N90" s="4">
        <f t="shared" si="9"/>
        <v>47289.060000000005</v>
      </c>
    </row>
    <row r="91" spans="1:14" ht="15" x14ac:dyDescent="0.4">
      <c r="A91" s="6"/>
      <c r="B91" s="6" t="s">
        <v>19</v>
      </c>
      <c r="C91" s="6"/>
      <c r="D91" s="8">
        <v>672551</v>
      </c>
      <c r="E91" s="8"/>
      <c r="F91" s="22">
        <v>5</v>
      </c>
      <c r="G91" s="8">
        <f t="shared" si="7"/>
        <v>3362755</v>
      </c>
      <c r="H91" s="6"/>
      <c r="I91" s="6" t="s">
        <v>27</v>
      </c>
      <c r="J91" s="22">
        <v>1.35</v>
      </c>
      <c r="K91" s="8">
        <f t="shared" si="8"/>
        <v>907943.85000000009</v>
      </c>
      <c r="M91" s="3">
        <v>1.2</v>
      </c>
      <c r="N91" s="8">
        <f t="shared" si="9"/>
        <v>2945773.38</v>
      </c>
    </row>
    <row r="92" spans="1:14" x14ac:dyDescent="0.25">
      <c r="A92" s="6"/>
      <c r="B92" s="6"/>
      <c r="C92" s="6"/>
      <c r="D92" s="4">
        <f>SUM(D78:D91)</f>
        <v>4752663</v>
      </c>
      <c r="E92" s="4"/>
      <c r="F92" s="4"/>
      <c r="G92" s="4">
        <f>SUM(G78:G91)</f>
        <v>17905424</v>
      </c>
      <c r="H92" s="6"/>
      <c r="I92" s="6"/>
      <c r="J92" s="4"/>
      <c r="K92" s="4">
        <f>SUM(K78:K91)</f>
        <v>6927783.75</v>
      </c>
      <c r="N92" s="4">
        <f>SUM(N78:N91)</f>
        <v>13173168.300000001</v>
      </c>
    </row>
    <row r="93" spans="1:14" x14ac:dyDescent="0.25">
      <c r="A93" s="6"/>
      <c r="B93" s="6"/>
      <c r="C93" s="6"/>
      <c r="D93" s="4"/>
      <c r="E93" s="4"/>
      <c r="F93" s="4"/>
      <c r="G93" s="4"/>
      <c r="H93" s="6"/>
      <c r="I93" s="6"/>
      <c r="J93" s="4"/>
      <c r="K93" s="4"/>
      <c r="N93" s="4"/>
    </row>
    <row r="94" spans="1:14" x14ac:dyDescent="0.25">
      <c r="A94" s="14" t="s">
        <v>106</v>
      </c>
      <c r="B94" s="6"/>
      <c r="C94" s="6"/>
      <c r="D94" s="4" t="s">
        <v>27</v>
      </c>
      <c r="E94" s="4"/>
      <c r="F94" s="4"/>
      <c r="G94" s="4" t="s">
        <v>27</v>
      </c>
      <c r="H94" s="6"/>
      <c r="I94" s="6"/>
      <c r="J94" s="4"/>
      <c r="K94" s="4" t="s">
        <v>27</v>
      </c>
      <c r="N94" s="4" t="s">
        <v>27</v>
      </c>
    </row>
    <row r="95" spans="1:14" x14ac:dyDescent="0.25">
      <c r="A95" s="6"/>
      <c r="B95" s="6" t="s">
        <v>2</v>
      </c>
      <c r="C95" s="6"/>
      <c r="D95" s="4">
        <v>632940</v>
      </c>
      <c r="E95" s="4"/>
      <c r="F95" s="22">
        <v>1.75</v>
      </c>
      <c r="G95" s="4">
        <f>D95*F95</f>
        <v>1107645</v>
      </c>
      <c r="H95" s="6"/>
      <c r="I95" s="6"/>
      <c r="J95" s="22">
        <v>1.2</v>
      </c>
      <c r="K95" s="4">
        <f>D95*J95</f>
        <v>759528</v>
      </c>
      <c r="M95" s="3">
        <v>1.2</v>
      </c>
      <c r="N95" s="4">
        <f>M95*(G95-K95)</f>
        <v>417740.39999999997</v>
      </c>
    </row>
    <row r="96" spans="1:14" x14ac:dyDescent="0.25">
      <c r="A96" s="6"/>
      <c r="B96" s="6" t="s">
        <v>107</v>
      </c>
      <c r="C96" s="6"/>
      <c r="D96" s="4">
        <v>10000</v>
      </c>
      <c r="E96" s="4"/>
      <c r="F96" s="22">
        <v>1.75</v>
      </c>
      <c r="G96" s="4">
        <f>D96*F96</f>
        <v>17500</v>
      </c>
      <c r="H96" s="6"/>
      <c r="I96" s="6"/>
      <c r="J96" s="22">
        <v>1.25</v>
      </c>
      <c r="K96" s="4">
        <f>D96*J96</f>
        <v>12500</v>
      </c>
      <c r="M96" s="3">
        <v>1.2</v>
      </c>
      <c r="N96" s="4">
        <f>M96*(G96-K96)</f>
        <v>6000</v>
      </c>
    </row>
    <row r="97" spans="1:14" x14ac:dyDescent="0.25">
      <c r="A97" s="6"/>
      <c r="B97" s="6" t="s">
        <v>108</v>
      </c>
      <c r="C97" s="6"/>
      <c r="D97" s="4">
        <v>85000</v>
      </c>
      <c r="E97" s="4"/>
      <c r="F97" s="22">
        <v>2.25</v>
      </c>
      <c r="G97" s="4">
        <f>D97*F97</f>
        <v>191250</v>
      </c>
      <c r="H97" s="6"/>
      <c r="I97" s="6"/>
      <c r="J97" s="22">
        <v>1.45</v>
      </c>
      <c r="K97" s="4">
        <f>D97*J97</f>
        <v>123250</v>
      </c>
      <c r="M97" s="3">
        <v>1.1000000000000001</v>
      </c>
      <c r="N97" s="4">
        <f>M97*(G97-K97)</f>
        <v>74800</v>
      </c>
    </row>
    <row r="98" spans="1:14" x14ac:dyDescent="0.25">
      <c r="A98" s="6"/>
      <c r="B98" s="6" t="s">
        <v>109</v>
      </c>
      <c r="C98" s="6"/>
      <c r="D98" s="4">
        <v>28000</v>
      </c>
      <c r="E98" s="4"/>
      <c r="F98" s="22">
        <v>1.75</v>
      </c>
      <c r="G98" s="4">
        <f>D98*F98</f>
        <v>49000</v>
      </c>
      <c r="H98" s="6"/>
      <c r="I98" s="6"/>
      <c r="J98" s="22">
        <v>1.45</v>
      </c>
      <c r="K98" s="4">
        <f>D98*J98</f>
        <v>40600</v>
      </c>
      <c r="M98" s="3">
        <v>1.25</v>
      </c>
      <c r="N98" s="4">
        <f>M98*(G98-K98)</f>
        <v>10500</v>
      </c>
    </row>
    <row r="99" spans="1:14" ht="15" x14ac:dyDescent="0.4">
      <c r="A99" s="6"/>
      <c r="B99" s="6" t="s">
        <v>110</v>
      </c>
      <c r="C99" s="6"/>
      <c r="D99" s="8">
        <v>82976</v>
      </c>
      <c r="E99" s="8"/>
      <c r="F99" s="22">
        <v>2</v>
      </c>
      <c r="G99" s="8">
        <f>D99*F99</f>
        <v>165952</v>
      </c>
      <c r="H99" s="6"/>
      <c r="I99" s="6"/>
      <c r="J99" s="22">
        <v>1.35</v>
      </c>
      <c r="K99" s="8">
        <f>D99*J99</f>
        <v>112017.60000000001</v>
      </c>
      <c r="M99" s="3">
        <v>1.25</v>
      </c>
      <c r="N99" s="8">
        <f>M99*(G99-K99)</f>
        <v>67418</v>
      </c>
    </row>
    <row r="100" spans="1:14" x14ac:dyDescent="0.25">
      <c r="A100" s="6"/>
      <c r="B100" s="6"/>
      <c r="C100" s="6"/>
      <c r="D100" s="4">
        <f>SUM(D95:D99)</f>
        <v>838916</v>
      </c>
      <c r="E100" s="4"/>
      <c r="F100" s="4"/>
      <c r="G100" s="4">
        <f>SUM(G95:G99)</f>
        <v>1531347</v>
      </c>
      <c r="H100" s="6"/>
      <c r="I100" s="6"/>
      <c r="J100" s="4"/>
      <c r="K100" s="4">
        <f>SUM(K95:K99)</f>
        <v>1047895.6</v>
      </c>
      <c r="N100" s="4">
        <f>SUM(N95:N99)</f>
        <v>576458.39999999991</v>
      </c>
    </row>
    <row r="101" spans="1:14" x14ac:dyDescent="0.25">
      <c r="A101" s="6"/>
      <c r="B101" s="6"/>
      <c r="C101" s="6"/>
      <c r="D101" s="4"/>
      <c r="E101" s="4"/>
      <c r="F101" s="4"/>
      <c r="G101" s="4"/>
      <c r="H101" s="6"/>
      <c r="I101" s="6"/>
      <c r="J101" s="4"/>
      <c r="K101" s="4"/>
      <c r="N101" s="4"/>
    </row>
    <row r="102" spans="1:14" x14ac:dyDescent="0.25">
      <c r="A102" s="14" t="s">
        <v>111</v>
      </c>
      <c r="B102" s="6"/>
      <c r="C102" s="6"/>
      <c r="D102" s="4" t="s">
        <v>27</v>
      </c>
      <c r="E102" s="4"/>
      <c r="F102" s="4"/>
      <c r="G102" s="4" t="s">
        <v>27</v>
      </c>
      <c r="H102" s="6"/>
      <c r="I102" s="6"/>
      <c r="J102" s="4"/>
      <c r="K102" s="4" t="s">
        <v>27</v>
      </c>
      <c r="N102" s="4" t="s">
        <v>27</v>
      </c>
    </row>
    <row r="103" spans="1:14" ht="15" x14ac:dyDescent="0.4">
      <c r="A103" s="6"/>
      <c r="B103" s="6" t="s">
        <v>112</v>
      </c>
      <c r="C103" s="6"/>
      <c r="D103" s="8">
        <v>25000</v>
      </c>
      <c r="E103" s="8"/>
      <c r="F103" s="22">
        <v>4</v>
      </c>
      <c r="G103" s="8">
        <f>D103*F103</f>
        <v>100000</v>
      </c>
      <c r="H103" s="6"/>
      <c r="I103" s="6"/>
      <c r="J103" s="22">
        <v>1.75</v>
      </c>
      <c r="K103" s="8">
        <f>D103*J103</f>
        <v>43750</v>
      </c>
      <c r="M103" s="3">
        <v>1.1000000000000001</v>
      </c>
      <c r="N103" s="8">
        <f>M103*(G103-K103)</f>
        <v>61875.000000000007</v>
      </c>
    </row>
    <row r="104" spans="1:14" x14ac:dyDescent="0.25">
      <c r="A104" s="6"/>
      <c r="B104" s="6"/>
      <c r="C104" s="6"/>
      <c r="D104" s="4">
        <f>D103</f>
        <v>25000</v>
      </c>
      <c r="E104" s="4"/>
      <c r="F104" s="4"/>
      <c r="G104" s="4">
        <f>G103</f>
        <v>100000</v>
      </c>
      <c r="H104" s="6"/>
      <c r="I104" s="6"/>
      <c r="J104" s="4"/>
      <c r="K104" s="4">
        <f>K103</f>
        <v>43750</v>
      </c>
      <c r="N104" s="4">
        <f>N103</f>
        <v>61875.000000000007</v>
      </c>
    </row>
    <row r="105" spans="1:14" x14ac:dyDescent="0.25">
      <c r="A105" s="6"/>
      <c r="B105" s="6"/>
      <c r="C105" s="23"/>
      <c r="D105" s="21"/>
      <c r="E105" s="21"/>
      <c r="F105" s="21"/>
      <c r="G105" s="4"/>
      <c r="H105" s="6"/>
      <c r="I105" s="6"/>
      <c r="J105" s="21"/>
      <c r="K105" s="4"/>
      <c r="N105" s="4"/>
    </row>
    <row r="106" spans="1:14" x14ac:dyDescent="0.25">
      <c r="A106" s="14" t="s">
        <v>141</v>
      </c>
      <c r="B106" s="6"/>
      <c r="C106" s="23"/>
      <c r="D106" s="21" t="s">
        <v>27</v>
      </c>
      <c r="E106" s="21"/>
      <c r="F106" s="21"/>
      <c r="G106" s="4" t="s">
        <v>27</v>
      </c>
      <c r="H106" s="6"/>
      <c r="I106" s="6"/>
      <c r="J106" s="21"/>
      <c r="K106" s="4" t="s">
        <v>27</v>
      </c>
      <c r="N106" s="4" t="s">
        <v>27</v>
      </c>
    </row>
    <row r="107" spans="1:14" x14ac:dyDescent="0.25">
      <c r="A107" s="6"/>
      <c r="B107" s="6" t="s">
        <v>133</v>
      </c>
      <c r="C107" s="23"/>
      <c r="D107" s="21">
        <v>73000</v>
      </c>
      <c r="E107" s="21"/>
      <c r="F107" s="24">
        <v>0</v>
      </c>
      <c r="G107" s="4">
        <f>D107*F107</f>
        <v>0</v>
      </c>
      <c r="H107" s="6"/>
      <c r="I107" s="6"/>
      <c r="J107" s="24">
        <v>0</v>
      </c>
      <c r="K107" s="4">
        <f>D107*J107</f>
        <v>0</v>
      </c>
      <c r="M107" s="3">
        <v>0</v>
      </c>
      <c r="N107" s="4">
        <f t="shared" ref="N107:N115" si="10">M107*(G107-K107)</f>
        <v>0</v>
      </c>
    </row>
    <row r="108" spans="1:14" x14ac:dyDescent="0.25">
      <c r="A108" s="6"/>
      <c r="B108" s="6" t="s">
        <v>134</v>
      </c>
      <c r="C108" s="23"/>
      <c r="D108" s="21">
        <v>200000</v>
      </c>
      <c r="E108" s="21"/>
      <c r="F108" s="24">
        <v>0</v>
      </c>
      <c r="G108" s="4">
        <f>D108*F108</f>
        <v>0</v>
      </c>
      <c r="H108" s="6"/>
      <c r="I108" s="6"/>
      <c r="J108" s="24">
        <v>0</v>
      </c>
      <c r="K108" s="4">
        <f>D108*J108</f>
        <v>0</v>
      </c>
      <c r="M108" s="3">
        <v>0</v>
      </c>
      <c r="N108" s="4">
        <f t="shared" si="10"/>
        <v>0</v>
      </c>
    </row>
    <row r="109" spans="1:14" x14ac:dyDescent="0.25">
      <c r="A109" s="6"/>
      <c r="B109" s="6" t="s">
        <v>135</v>
      </c>
      <c r="C109" s="23"/>
      <c r="D109" s="21">
        <f>200000-20000</f>
        <v>180000</v>
      </c>
      <c r="E109" s="21"/>
      <c r="F109" s="24">
        <v>0</v>
      </c>
      <c r="G109" s="4">
        <f>D109*F109</f>
        <v>0</v>
      </c>
      <c r="H109" s="6"/>
      <c r="I109" s="6"/>
      <c r="J109" s="24">
        <v>0</v>
      </c>
      <c r="K109" s="4">
        <f>D109*J109</f>
        <v>0</v>
      </c>
      <c r="M109" s="3">
        <v>0</v>
      </c>
      <c r="N109" s="4">
        <f t="shared" si="10"/>
        <v>0</v>
      </c>
    </row>
    <row r="110" spans="1:14" ht="13.8" thickBot="1" x14ac:dyDescent="0.3">
      <c r="A110" s="6"/>
      <c r="B110" s="6" t="s">
        <v>137</v>
      </c>
      <c r="C110" s="23"/>
      <c r="D110" s="21">
        <f>180000-23000</f>
        <v>157000</v>
      </c>
      <c r="E110" s="21"/>
      <c r="F110" s="24">
        <v>1.2</v>
      </c>
      <c r="G110" s="4">
        <f>D110*F110</f>
        <v>188400</v>
      </c>
      <c r="H110" s="6"/>
      <c r="I110" s="6"/>
      <c r="J110" s="24">
        <v>1.1000000000000001</v>
      </c>
      <c r="K110" s="4">
        <f>D110*J110</f>
        <v>172700</v>
      </c>
      <c r="M110" s="3">
        <v>1.25</v>
      </c>
      <c r="N110" s="4">
        <f t="shared" si="10"/>
        <v>19625</v>
      </c>
    </row>
    <row r="111" spans="1:14" ht="13.8" thickBot="1" x14ac:dyDescent="0.3">
      <c r="A111" s="6"/>
      <c r="B111" s="6" t="s">
        <v>148</v>
      </c>
      <c r="C111" s="23"/>
      <c r="D111" s="21">
        <v>0</v>
      </c>
      <c r="E111" s="21"/>
      <c r="F111" s="24">
        <v>0</v>
      </c>
      <c r="G111" s="17">
        <f>10*1.5*500000</f>
        <v>7500000</v>
      </c>
      <c r="H111" s="6"/>
      <c r="I111" s="6" t="s">
        <v>149</v>
      </c>
      <c r="J111" s="24">
        <v>0</v>
      </c>
      <c r="K111" s="17">
        <f>10*1.5*500000</f>
        <v>7500000</v>
      </c>
      <c r="L111" s="6" t="s">
        <v>149</v>
      </c>
      <c r="M111" s="3">
        <v>0</v>
      </c>
      <c r="N111" s="4">
        <f t="shared" si="10"/>
        <v>0</v>
      </c>
    </row>
    <row r="112" spans="1:14" ht="13.8" thickBot="1" x14ac:dyDescent="0.3">
      <c r="A112" s="6"/>
      <c r="B112" s="6" t="s">
        <v>150</v>
      </c>
      <c r="C112" s="23"/>
      <c r="D112" s="21">
        <v>0</v>
      </c>
      <c r="E112" s="21"/>
      <c r="F112" s="24">
        <v>0</v>
      </c>
      <c r="G112" s="17">
        <v>1500000</v>
      </c>
      <c r="H112" s="6"/>
      <c r="I112" s="6"/>
      <c r="J112" s="24">
        <v>0</v>
      </c>
      <c r="K112" s="17">
        <v>1500000</v>
      </c>
      <c r="M112" s="3">
        <v>0</v>
      </c>
      <c r="N112" s="4">
        <f t="shared" si="10"/>
        <v>0</v>
      </c>
    </row>
    <row r="113" spans="1:14" ht="13.8" thickBot="1" x14ac:dyDescent="0.3">
      <c r="A113" s="6"/>
      <c r="B113" s="6" t="s">
        <v>151</v>
      </c>
      <c r="C113" s="23"/>
      <c r="D113" s="21">
        <v>0</v>
      </c>
      <c r="E113" s="21"/>
      <c r="F113" s="24">
        <v>0</v>
      </c>
      <c r="G113" s="17">
        <f>400000+1000000</f>
        <v>1400000</v>
      </c>
      <c r="H113" s="6"/>
      <c r="I113" s="6" t="s">
        <v>152</v>
      </c>
      <c r="J113" s="24">
        <v>0</v>
      </c>
      <c r="K113" s="17">
        <f>400000+1000000</f>
        <v>1400000</v>
      </c>
      <c r="M113" s="3">
        <v>0</v>
      </c>
      <c r="N113" s="4">
        <f t="shared" si="10"/>
        <v>0</v>
      </c>
    </row>
    <row r="114" spans="1:14" ht="13.8" thickBot="1" x14ac:dyDescent="0.3">
      <c r="A114" s="6"/>
      <c r="B114" s="6" t="s">
        <v>155</v>
      </c>
      <c r="C114" s="23"/>
      <c r="D114" s="21">
        <v>0</v>
      </c>
      <c r="E114" s="21"/>
      <c r="F114" s="24">
        <v>0</v>
      </c>
      <c r="G114" s="17">
        <v>600000</v>
      </c>
      <c r="H114" s="6"/>
      <c r="I114" s="6" t="s">
        <v>27</v>
      </c>
      <c r="J114" s="24">
        <v>0</v>
      </c>
      <c r="K114" s="17">
        <v>600000</v>
      </c>
      <c r="M114" s="3">
        <v>0</v>
      </c>
      <c r="N114" s="4">
        <f t="shared" si="10"/>
        <v>0</v>
      </c>
    </row>
    <row r="115" spans="1:14" ht="15" x14ac:dyDescent="0.4">
      <c r="A115" s="6"/>
      <c r="B115" s="6" t="s">
        <v>136</v>
      </c>
      <c r="C115" s="23"/>
      <c r="D115" s="25">
        <v>258000</v>
      </c>
      <c r="E115" s="25"/>
      <c r="F115" s="24">
        <v>0</v>
      </c>
      <c r="G115" s="8">
        <f>D115*F115</f>
        <v>0</v>
      </c>
      <c r="H115" s="6"/>
      <c r="I115" s="6" t="s">
        <v>27</v>
      </c>
      <c r="J115" s="24">
        <v>0</v>
      </c>
      <c r="K115" s="8">
        <f>H115*J115</f>
        <v>0</v>
      </c>
      <c r="M115" s="3">
        <v>0</v>
      </c>
      <c r="N115" s="8">
        <f t="shared" si="10"/>
        <v>0</v>
      </c>
    </row>
    <row r="116" spans="1:14" x14ac:dyDescent="0.25">
      <c r="A116" s="6"/>
      <c r="B116" s="6"/>
      <c r="C116" s="23"/>
      <c r="D116" s="21">
        <f>SUM(D107:D115)</f>
        <v>868000</v>
      </c>
      <c r="E116" s="21"/>
      <c r="F116" s="21"/>
      <c r="G116" s="4">
        <f>SUM(G107:G115)</f>
        <v>11188400</v>
      </c>
      <c r="H116" s="6"/>
      <c r="I116" s="6"/>
      <c r="J116" s="21"/>
      <c r="K116" s="4">
        <f>SUM(K107:K115)</f>
        <v>11172700</v>
      </c>
      <c r="N116" s="4">
        <f>SUM(N107:N115)</f>
        <v>19625</v>
      </c>
    </row>
    <row r="117" spans="1:14" x14ac:dyDescent="0.25">
      <c r="A117" s="6"/>
      <c r="B117" s="6"/>
      <c r="C117" s="23"/>
      <c r="D117" s="21"/>
      <c r="E117" s="21"/>
      <c r="F117" s="21"/>
      <c r="G117" s="4"/>
      <c r="H117" s="6"/>
      <c r="I117" s="6"/>
      <c r="J117" s="21"/>
      <c r="K117" s="4"/>
      <c r="N117" s="4"/>
    </row>
    <row r="118" spans="1:14" x14ac:dyDescent="0.25">
      <c r="A118" s="6"/>
      <c r="B118" s="6"/>
      <c r="C118" s="6"/>
      <c r="D118" s="4"/>
      <c r="E118" s="4"/>
      <c r="F118" s="4"/>
      <c r="G118" s="4"/>
      <c r="H118" s="6"/>
      <c r="I118" s="6"/>
      <c r="J118" s="4"/>
      <c r="K118" s="4"/>
      <c r="N118" s="4"/>
    </row>
    <row r="119" spans="1:14" x14ac:dyDescent="0.25">
      <c r="A119" s="14" t="s">
        <v>20</v>
      </c>
      <c r="B119" s="6"/>
      <c r="C119" s="6"/>
      <c r="D119" s="4">
        <f>D13+D22+D26+D75+D92+D100+D104+D116</f>
        <v>117119771</v>
      </c>
      <c r="E119" s="4"/>
      <c r="F119" s="4"/>
      <c r="G119" s="4">
        <f>G13+G22+G26+G75+G92+G100+G104+G116</f>
        <v>226842363.30000001</v>
      </c>
      <c r="H119" s="6"/>
      <c r="I119" s="6"/>
      <c r="J119" s="4"/>
      <c r="K119" s="4">
        <f>K13+K22+K26+K75+K92+K100+K104+K116</f>
        <v>178829377.34999999</v>
      </c>
      <c r="N119" s="4">
        <f>N13+N22+N26+N75+N92+N100+N104+N116</f>
        <v>57701911.239999987</v>
      </c>
    </row>
    <row r="120" spans="1:14" x14ac:dyDescent="0.25">
      <c r="A120" s="6"/>
      <c r="B120" s="6"/>
      <c r="C120" s="6"/>
      <c r="D120" s="4"/>
      <c r="E120" s="4"/>
      <c r="F120" s="4"/>
      <c r="G120" s="4"/>
      <c r="H120" s="6"/>
      <c r="I120" s="6"/>
      <c r="J120" s="4"/>
      <c r="K120" s="4"/>
      <c r="N120" s="4"/>
    </row>
    <row r="121" spans="1:14" ht="15" x14ac:dyDescent="0.4">
      <c r="A121" s="6"/>
      <c r="B121" s="6" t="s">
        <v>21</v>
      </c>
      <c r="C121" s="10">
        <v>0.02</v>
      </c>
      <c r="D121" s="8">
        <f>$C$121*D119</f>
        <v>2342395.42</v>
      </c>
      <c r="E121" s="8"/>
      <c r="F121" s="8"/>
      <c r="G121" s="8">
        <f>$C$121*G119</f>
        <v>4536847.2660000008</v>
      </c>
      <c r="H121" s="6"/>
      <c r="I121" s="6"/>
      <c r="J121" s="8"/>
      <c r="K121" s="8">
        <f>$C$121*K119</f>
        <v>3576587.5469999998</v>
      </c>
      <c r="N121" s="8">
        <f>$C$121*N119</f>
        <v>1154038.2247999997</v>
      </c>
    </row>
    <row r="122" spans="1:14" x14ac:dyDescent="0.25">
      <c r="A122" s="6"/>
      <c r="B122" s="6"/>
      <c r="C122" s="6"/>
      <c r="D122" s="4"/>
      <c r="E122" s="4"/>
      <c r="F122" s="4"/>
      <c r="G122" s="4"/>
      <c r="H122" s="6"/>
      <c r="I122" s="6"/>
      <c r="J122" s="4"/>
      <c r="K122" s="4"/>
      <c r="N122" s="4"/>
    </row>
    <row r="123" spans="1:14" x14ac:dyDescent="0.25">
      <c r="A123" s="14" t="s">
        <v>22</v>
      </c>
      <c r="B123" s="6"/>
      <c r="C123" s="6"/>
      <c r="D123" s="4">
        <f>D119+D121</f>
        <v>119462166.42</v>
      </c>
      <c r="E123" s="21"/>
      <c r="F123" s="21"/>
      <c r="G123" s="21">
        <f>G119+G121</f>
        <v>231379210.56600001</v>
      </c>
      <c r="H123" s="6"/>
      <c r="I123" s="6"/>
      <c r="J123" s="21"/>
      <c r="K123" s="21">
        <f>K119+K121</f>
        <v>182405964.89699998</v>
      </c>
      <c r="N123" s="21">
        <f>N119+N121</f>
        <v>58855949.464799985</v>
      </c>
    </row>
    <row r="124" spans="1:14" ht="13.8" thickBot="1" x14ac:dyDescent="0.3">
      <c r="A124" s="6"/>
      <c r="B124" s="6"/>
      <c r="C124" s="6"/>
      <c r="D124" s="4" t="s">
        <v>27</v>
      </c>
      <c r="E124" s="21"/>
      <c r="F124" s="21"/>
      <c r="G124" s="21" t="s">
        <v>27</v>
      </c>
      <c r="H124" s="6"/>
      <c r="I124" s="6"/>
      <c r="J124" s="21"/>
      <c r="K124" s="21" t="s">
        <v>27</v>
      </c>
      <c r="N124" s="21" t="s">
        <v>27</v>
      </c>
    </row>
    <row r="125" spans="1:14" ht="13.8" thickBot="1" x14ac:dyDescent="0.3">
      <c r="A125" s="6"/>
      <c r="B125" s="6" t="s">
        <v>23</v>
      </c>
      <c r="C125" s="10">
        <v>1.9599999999999999E-2</v>
      </c>
      <c r="D125" s="17">
        <f>D128-(D126+D123)</f>
        <v>-29762166.420000002</v>
      </c>
      <c r="E125" s="21"/>
      <c r="F125" s="27">
        <v>0.02</v>
      </c>
      <c r="G125" s="21">
        <f>G123*F125</f>
        <v>4627584.2113200007</v>
      </c>
      <c r="H125" s="6"/>
      <c r="I125" s="6"/>
      <c r="J125" s="21"/>
      <c r="K125" s="21">
        <f>K123*F125</f>
        <v>3648119.29794</v>
      </c>
      <c r="N125" s="21">
        <f>N123*F125</f>
        <v>1177118.9892959998</v>
      </c>
    </row>
    <row r="126" spans="1:14" ht="15.6" thickBot="1" x14ac:dyDescent="0.45">
      <c r="A126" s="6"/>
      <c r="B126" s="6" t="s">
        <v>25</v>
      </c>
      <c r="C126" s="10">
        <v>5.8799999999999998E-2</v>
      </c>
      <c r="D126" s="18">
        <v>3000000</v>
      </c>
      <c r="E126" s="25"/>
      <c r="F126" s="27">
        <v>0.06</v>
      </c>
      <c r="G126" s="25">
        <f>G123*F126</f>
        <v>13882752.633960001</v>
      </c>
      <c r="H126" s="6"/>
      <c r="I126" s="6"/>
      <c r="J126" s="25"/>
      <c r="K126" s="25">
        <f>K123*F126</f>
        <v>10944357.893819999</v>
      </c>
      <c r="N126" s="25">
        <f>N123*F126</f>
        <v>3531356.967887999</v>
      </c>
    </row>
    <row r="127" spans="1:14" ht="13.8" thickBot="1" x14ac:dyDescent="0.3">
      <c r="A127" s="6"/>
      <c r="B127" s="6"/>
      <c r="C127" s="6" t="s">
        <v>27</v>
      </c>
      <c r="D127" s="6"/>
      <c r="E127" s="23"/>
      <c r="F127" s="23"/>
      <c r="G127" s="23"/>
      <c r="H127" s="6"/>
      <c r="I127" s="6"/>
      <c r="J127" s="23"/>
      <c r="K127" s="23"/>
      <c r="N127" s="23"/>
    </row>
    <row r="128" spans="1:14" ht="13.8" thickBot="1" x14ac:dyDescent="0.3">
      <c r="A128" s="14" t="s">
        <v>24</v>
      </c>
      <c r="B128" s="6"/>
      <c r="C128" s="6"/>
      <c r="D128" s="17">
        <v>92700000</v>
      </c>
      <c r="E128" s="21"/>
      <c r="F128" s="21"/>
      <c r="G128" s="21">
        <f>G123+G125+G126</f>
        <v>249889547.41128004</v>
      </c>
      <c r="H128" s="6"/>
      <c r="I128" s="6"/>
      <c r="J128" s="21"/>
      <c r="K128" s="21">
        <f>K123+K125+K126</f>
        <v>196998442.08875996</v>
      </c>
      <c r="N128" s="21">
        <f>N123+N125+N126</f>
        <v>63564425.42198398</v>
      </c>
    </row>
    <row r="129" spans="1:14" x14ac:dyDescent="0.25">
      <c r="A129" s="14" t="s">
        <v>147</v>
      </c>
      <c r="B129" s="6"/>
      <c r="C129" s="6"/>
      <c r="D129" s="19">
        <f>D128/(D6*1000)</f>
        <v>515</v>
      </c>
      <c r="E129" s="26"/>
      <c r="F129" s="26"/>
      <c r="G129" s="19">
        <f>G128/(G6*1000)</f>
        <v>724.31752872834795</v>
      </c>
      <c r="H129" s="6"/>
      <c r="I129" s="6"/>
      <c r="J129" s="26"/>
      <c r="K129" s="19">
        <f>K128/(K6*1000)</f>
        <v>729.62385958799985</v>
      </c>
      <c r="N129" s="19">
        <f>N128/(N6*1000)</f>
        <v>184.24471136806952</v>
      </c>
    </row>
    <row r="130" spans="1:14" x14ac:dyDescent="0.25">
      <c r="A130" s="6"/>
      <c r="B130" s="6"/>
      <c r="C130" s="6"/>
      <c r="D130" s="4"/>
      <c r="E130" s="4"/>
      <c r="F130" s="4"/>
      <c r="G130" s="4"/>
      <c r="H130" s="6"/>
      <c r="I130" s="6"/>
      <c r="J130" s="4"/>
      <c r="K130" s="4"/>
      <c r="N130" s="4"/>
    </row>
    <row r="131" spans="1:14" x14ac:dyDescent="0.25">
      <c r="A131" s="14" t="s">
        <v>113</v>
      </c>
      <c r="B131" s="6"/>
      <c r="C131" s="6"/>
      <c r="D131" s="10">
        <f>D126/(D123-D36)</f>
        <v>9.3027102607240147E-2</v>
      </c>
      <c r="E131" s="10"/>
      <c r="F131" s="10"/>
      <c r="G131" s="10" t="s">
        <v>27</v>
      </c>
      <c r="H131" s="6"/>
      <c r="I131" s="6"/>
      <c r="J131" s="10"/>
      <c r="K131" s="10" t="s">
        <v>27</v>
      </c>
      <c r="N131" s="10" t="s">
        <v>27</v>
      </c>
    </row>
    <row r="132" spans="1:14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N132" s="6"/>
    </row>
    <row r="133" spans="1:14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N133" s="6"/>
    </row>
    <row r="134" spans="1:14" x14ac:dyDescent="0.25">
      <c r="A134" s="6"/>
      <c r="B134" s="6"/>
      <c r="C134" s="6"/>
      <c r="D134" s="20">
        <f>D128</f>
        <v>92700000</v>
      </c>
      <c r="E134" s="20"/>
      <c r="F134" s="20"/>
      <c r="G134" s="20">
        <f>G128</f>
        <v>249889547.41128004</v>
      </c>
      <c r="H134" s="6"/>
      <c r="I134" s="6"/>
      <c r="J134" s="20"/>
      <c r="K134" s="20">
        <f>K128</f>
        <v>196998442.08875996</v>
      </c>
      <c r="N134" s="20">
        <f>N128</f>
        <v>63564425.42198398</v>
      </c>
    </row>
    <row r="135" spans="1:14" x14ac:dyDescent="0.25">
      <c r="A135" s="6"/>
      <c r="B135" s="6"/>
      <c r="C135" s="6"/>
      <c r="D135" s="20" t="s">
        <v>27</v>
      </c>
      <c r="E135" s="20"/>
      <c r="F135" s="20"/>
      <c r="G135" s="20" t="s">
        <v>27</v>
      </c>
      <c r="H135" s="6"/>
      <c r="I135" s="6"/>
      <c r="J135" s="20"/>
      <c r="K135" s="20" t="s">
        <v>27</v>
      </c>
      <c r="N135" s="20" t="s">
        <v>27</v>
      </c>
    </row>
    <row r="136" spans="1:14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14" t="s">
        <v>159</v>
      </c>
      <c r="N136" s="20">
        <f>K134+N134</f>
        <v>260562867.51074395</v>
      </c>
    </row>
    <row r="137" spans="1:14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N137" s="6"/>
    </row>
    <row r="138" spans="1:14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N138" s="6"/>
    </row>
    <row r="139" spans="1:14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N139" s="6"/>
    </row>
    <row r="140" spans="1:14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N140" s="6"/>
    </row>
    <row r="141" spans="1:14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N141" s="6"/>
    </row>
    <row r="142" spans="1:14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N142" s="6"/>
    </row>
    <row r="143" spans="1:14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N143" s="6"/>
    </row>
    <row r="144" spans="1:14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N144" s="6"/>
    </row>
    <row r="145" spans="1:14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N145" s="6"/>
    </row>
    <row r="146" spans="1:14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N146" s="6"/>
    </row>
    <row r="147" spans="1:14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N147" s="6"/>
    </row>
    <row r="148" spans="1:14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N148" s="6"/>
    </row>
    <row r="149" spans="1:14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N149" s="6"/>
    </row>
    <row r="150" spans="1:14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N150" s="6"/>
    </row>
    <row r="151" spans="1:14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N151" s="6"/>
    </row>
    <row r="152" spans="1:14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N152" s="6"/>
    </row>
    <row r="153" spans="1:1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N153" s="6"/>
    </row>
    <row r="154" spans="1:1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N154" s="6"/>
    </row>
    <row r="155" spans="1:1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N155" s="6"/>
    </row>
    <row r="156" spans="1:1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N156" s="6"/>
    </row>
  </sheetData>
  <pageMargins left="0.75" right="0.75" top="1" bottom="1" header="0.5" footer="0.5"/>
  <pageSetup scale="54" fitToHeight="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8"/>
  <sheetViews>
    <sheetView tabSelected="1" zoomScale="75" workbookViewId="0">
      <selection activeCell="I5" sqref="I5"/>
    </sheetView>
  </sheetViews>
  <sheetFormatPr defaultRowHeight="13.2" x14ac:dyDescent="0.25"/>
  <cols>
    <col min="1" max="1" width="26.109375" customWidth="1"/>
    <col min="2" max="2" width="5.44140625" customWidth="1"/>
    <col min="3" max="3" width="5.6640625" customWidth="1"/>
    <col min="4" max="4" width="14.88671875" bestFit="1" customWidth="1"/>
    <col min="9" max="9" width="14.88671875" bestFit="1" customWidth="1"/>
  </cols>
  <sheetData>
    <row r="1" spans="1:10" x14ac:dyDescent="0.25">
      <c r="H1" t="s">
        <v>30</v>
      </c>
    </row>
    <row r="3" spans="1:10" x14ac:dyDescent="0.25">
      <c r="I3" t="s">
        <v>160</v>
      </c>
    </row>
    <row r="4" spans="1:10" x14ac:dyDescent="0.25">
      <c r="H4" t="s">
        <v>74</v>
      </c>
      <c r="I4">
        <v>6</v>
      </c>
    </row>
    <row r="5" spans="1:10" x14ac:dyDescent="0.25">
      <c r="H5" t="s">
        <v>59</v>
      </c>
    </row>
    <row r="6" spans="1:10" x14ac:dyDescent="0.25">
      <c r="A6" t="s">
        <v>32</v>
      </c>
      <c r="D6" s="1">
        <v>13500000</v>
      </c>
      <c r="H6" t="s">
        <v>30</v>
      </c>
      <c r="I6" s="7">
        <f>IF(H6=$H$1,D6*$I$4,0)</f>
        <v>81000000</v>
      </c>
    </row>
    <row r="7" spans="1:10" x14ac:dyDescent="0.25">
      <c r="A7" t="s">
        <v>33</v>
      </c>
      <c r="D7" s="1">
        <v>310000</v>
      </c>
      <c r="H7" t="s">
        <v>30</v>
      </c>
      <c r="I7" s="7">
        <f t="shared" ref="I7:I19" si="0">IF(H7=$H$1,D7*$I$4,0)</f>
        <v>1860000</v>
      </c>
    </row>
    <row r="8" spans="1:10" x14ac:dyDescent="0.25">
      <c r="A8" t="s">
        <v>34</v>
      </c>
      <c r="D8" s="1">
        <v>450000</v>
      </c>
      <c r="H8" t="s">
        <v>30</v>
      </c>
      <c r="I8" s="7">
        <f t="shared" si="0"/>
        <v>2700000</v>
      </c>
    </row>
    <row r="9" spans="1:10" x14ac:dyDescent="0.25">
      <c r="A9" t="s">
        <v>35</v>
      </c>
      <c r="D9" s="1">
        <v>62000</v>
      </c>
      <c r="F9" t="s">
        <v>27</v>
      </c>
      <c r="H9" t="s">
        <v>29</v>
      </c>
      <c r="I9" s="7">
        <f t="shared" si="0"/>
        <v>0</v>
      </c>
      <c r="J9" t="s">
        <v>130</v>
      </c>
    </row>
    <row r="10" spans="1:10" x14ac:dyDescent="0.25">
      <c r="A10" t="s">
        <v>36</v>
      </c>
      <c r="D10" s="1">
        <v>950000</v>
      </c>
      <c r="H10" t="s">
        <v>29</v>
      </c>
      <c r="I10" s="7">
        <f t="shared" si="0"/>
        <v>0</v>
      </c>
    </row>
    <row r="11" spans="1:10" x14ac:dyDescent="0.25">
      <c r="A11" t="s">
        <v>37</v>
      </c>
      <c r="D11" s="1">
        <v>150000</v>
      </c>
      <c r="H11" t="s">
        <v>29</v>
      </c>
      <c r="I11" s="7">
        <f t="shared" si="0"/>
        <v>0</v>
      </c>
    </row>
    <row r="12" spans="1:10" x14ac:dyDescent="0.25">
      <c r="A12" t="s">
        <v>60</v>
      </c>
      <c r="D12" s="1">
        <v>57000</v>
      </c>
      <c r="H12" t="s">
        <v>30</v>
      </c>
      <c r="I12" s="7">
        <f t="shared" si="0"/>
        <v>342000</v>
      </c>
    </row>
    <row r="13" spans="1:10" x14ac:dyDescent="0.25">
      <c r="A13" t="s">
        <v>61</v>
      </c>
      <c r="D13" s="1">
        <v>23000</v>
      </c>
      <c r="H13" t="s">
        <v>30</v>
      </c>
      <c r="I13" s="7">
        <f t="shared" ref="I13:I18" si="1">IF(H13=$H$1,D13*$I$4,0)</f>
        <v>138000</v>
      </c>
    </row>
    <row r="14" spans="1:10" x14ac:dyDescent="0.25">
      <c r="A14" t="s">
        <v>75</v>
      </c>
      <c r="D14" s="1">
        <f>944000/4</f>
        <v>236000</v>
      </c>
      <c r="H14" t="s">
        <v>29</v>
      </c>
      <c r="I14" s="7">
        <f t="shared" si="1"/>
        <v>0</v>
      </c>
      <c r="J14" t="s">
        <v>76</v>
      </c>
    </row>
    <row r="15" spans="1:10" x14ac:dyDescent="0.25">
      <c r="A15" t="s">
        <v>28</v>
      </c>
      <c r="D15" s="1">
        <f>1120000/4</f>
        <v>280000</v>
      </c>
      <c r="H15" t="s">
        <v>29</v>
      </c>
      <c r="I15" s="7">
        <f t="shared" si="1"/>
        <v>0</v>
      </c>
      <c r="J15" t="s">
        <v>77</v>
      </c>
    </row>
    <row r="16" spans="1:10" x14ac:dyDescent="0.25">
      <c r="A16" t="s">
        <v>78</v>
      </c>
      <c r="D16" s="1">
        <f>988000/4</f>
        <v>247000</v>
      </c>
      <c r="H16" t="s">
        <v>29</v>
      </c>
      <c r="I16" s="7">
        <f t="shared" si="1"/>
        <v>0</v>
      </c>
      <c r="J16" t="s">
        <v>79</v>
      </c>
    </row>
    <row r="17" spans="1:10" x14ac:dyDescent="0.25">
      <c r="A17" t="s">
        <v>80</v>
      </c>
      <c r="D17" s="1">
        <f>192000/4</f>
        <v>48000</v>
      </c>
      <c r="H17" t="s">
        <v>29</v>
      </c>
      <c r="I17" s="7">
        <f t="shared" si="1"/>
        <v>0</v>
      </c>
      <c r="J17" t="s">
        <v>81</v>
      </c>
    </row>
    <row r="18" spans="1:10" x14ac:dyDescent="0.25">
      <c r="A18" t="s">
        <v>82</v>
      </c>
      <c r="D18" s="1">
        <f>74000/4</f>
        <v>18500</v>
      </c>
      <c r="H18" t="s">
        <v>29</v>
      </c>
      <c r="I18" s="7">
        <f t="shared" si="1"/>
        <v>0</v>
      </c>
    </row>
    <row r="19" spans="1:10" ht="15" x14ac:dyDescent="0.4">
      <c r="A19" t="s">
        <v>83</v>
      </c>
      <c r="D19" s="1">
        <v>150000</v>
      </c>
      <c r="H19" t="s">
        <v>29</v>
      </c>
      <c r="I19" s="9">
        <f t="shared" si="0"/>
        <v>0</v>
      </c>
    </row>
    <row r="20" spans="1:10" x14ac:dyDescent="0.25">
      <c r="D20" s="1"/>
    </row>
    <row r="21" spans="1:10" x14ac:dyDescent="0.25">
      <c r="D21" s="1">
        <f>SUM(D6:D20)</f>
        <v>16481500</v>
      </c>
      <c r="I21" s="1">
        <f>SUM(I6:I20)</f>
        <v>86040000</v>
      </c>
    </row>
    <row r="22" spans="1:10" x14ac:dyDescent="0.25">
      <c r="D22" s="1"/>
      <c r="I22" s="1">
        <f>I21/I4</f>
        <v>14340000</v>
      </c>
    </row>
    <row r="23" spans="1:10" x14ac:dyDescent="0.25">
      <c r="D23" s="1"/>
    </row>
    <row r="24" spans="1:10" x14ac:dyDescent="0.25">
      <c r="A24" s="2" t="s">
        <v>38</v>
      </c>
      <c r="D24" s="1"/>
    </row>
    <row r="25" spans="1:10" x14ac:dyDescent="0.25">
      <c r="A25" s="5" t="s">
        <v>28</v>
      </c>
      <c r="D25" s="1">
        <v>280000</v>
      </c>
    </row>
    <row r="26" spans="1:10" x14ac:dyDescent="0.25">
      <c r="A26" s="5" t="s">
        <v>57</v>
      </c>
      <c r="D26" s="1">
        <v>198000</v>
      </c>
    </row>
    <row r="27" spans="1:10" x14ac:dyDescent="0.25">
      <c r="A27" s="5" t="s">
        <v>58</v>
      </c>
      <c r="D27" s="1">
        <v>233000</v>
      </c>
    </row>
    <row r="28" spans="1:10" x14ac:dyDescent="0.25">
      <c r="A28" s="5" t="s">
        <v>36</v>
      </c>
      <c r="D28" s="1">
        <v>950000</v>
      </c>
    </row>
    <row r="29" spans="1:10" x14ac:dyDescent="0.25">
      <c r="A29" t="s">
        <v>32</v>
      </c>
      <c r="D29" s="1">
        <v>13500000</v>
      </c>
    </row>
    <row r="30" spans="1:10" x14ac:dyDescent="0.25">
      <c r="A30" t="s">
        <v>33</v>
      </c>
      <c r="D30" s="1">
        <v>310000</v>
      </c>
    </row>
    <row r="31" spans="1:10" x14ac:dyDescent="0.25">
      <c r="A31" t="s">
        <v>34</v>
      </c>
      <c r="D31" s="1">
        <v>450000</v>
      </c>
    </row>
    <row r="32" spans="1:10" x14ac:dyDescent="0.25">
      <c r="A32" t="s">
        <v>35</v>
      </c>
      <c r="D32" s="1">
        <v>62000</v>
      </c>
    </row>
    <row r="33" spans="1:4" x14ac:dyDescent="0.25">
      <c r="A33" t="s">
        <v>36</v>
      </c>
      <c r="D33" s="1">
        <v>950000</v>
      </c>
    </row>
    <row r="34" spans="1:4" x14ac:dyDescent="0.25">
      <c r="A34" t="s">
        <v>37</v>
      </c>
      <c r="D34" s="1">
        <v>150000</v>
      </c>
    </row>
    <row r="35" spans="1:4" x14ac:dyDescent="0.25">
      <c r="D35" s="1"/>
    </row>
    <row r="36" spans="1:4" x14ac:dyDescent="0.25">
      <c r="A36" t="s">
        <v>131</v>
      </c>
      <c r="D36" s="1">
        <f>907536/4</f>
        <v>226884</v>
      </c>
    </row>
    <row r="37" spans="1:4" x14ac:dyDescent="0.25">
      <c r="A37" t="s">
        <v>62</v>
      </c>
      <c r="D37" s="1">
        <v>206258</v>
      </c>
    </row>
    <row r="38" spans="1:4" x14ac:dyDescent="0.25">
      <c r="A38" t="s">
        <v>39</v>
      </c>
      <c r="D38" s="1">
        <v>68753</v>
      </c>
    </row>
    <row r="39" spans="1:4" x14ac:dyDescent="0.25">
      <c r="A39" t="s">
        <v>40</v>
      </c>
      <c r="D39" s="1">
        <v>34376</v>
      </c>
    </row>
    <row r="40" spans="1:4" x14ac:dyDescent="0.25">
      <c r="A40" t="s">
        <v>41</v>
      </c>
      <c r="D40" s="1">
        <v>34376</v>
      </c>
    </row>
    <row r="41" spans="1:4" x14ac:dyDescent="0.25">
      <c r="A41" t="s">
        <v>42</v>
      </c>
      <c r="D41" s="1">
        <v>41252</v>
      </c>
    </row>
    <row r="42" spans="1:4" x14ac:dyDescent="0.25">
      <c r="A42" t="s">
        <v>43</v>
      </c>
      <c r="D42" s="1">
        <v>34376</v>
      </c>
    </row>
    <row r="43" spans="1:4" x14ac:dyDescent="0.25">
      <c r="D43" s="1"/>
    </row>
    <row r="44" spans="1:4" x14ac:dyDescent="0.25">
      <c r="A44" t="s">
        <v>44</v>
      </c>
      <c r="D44" s="1">
        <v>56377</v>
      </c>
    </row>
    <row r="45" spans="1:4" x14ac:dyDescent="0.25">
      <c r="D45" s="1"/>
    </row>
    <row r="46" spans="1:4" x14ac:dyDescent="0.25">
      <c r="A46" t="s">
        <v>45</v>
      </c>
      <c r="B46">
        <v>2</v>
      </c>
      <c r="C46" s="3">
        <v>0.5</v>
      </c>
      <c r="D46" s="1">
        <v>154006</v>
      </c>
    </row>
    <row r="47" spans="1:4" x14ac:dyDescent="0.25">
      <c r="A47" t="s">
        <v>46</v>
      </c>
      <c r="D47" s="1">
        <v>137506</v>
      </c>
    </row>
    <row r="48" spans="1:4" x14ac:dyDescent="0.25">
      <c r="A48" t="s">
        <v>47</v>
      </c>
      <c r="D48" s="1">
        <v>495020</v>
      </c>
    </row>
    <row r="49" spans="1:4" x14ac:dyDescent="0.25">
      <c r="A49" t="s">
        <v>48</v>
      </c>
      <c r="D49" s="1">
        <v>61878</v>
      </c>
    </row>
    <row r="50" spans="1:4" x14ac:dyDescent="0.25">
      <c r="A50" t="s">
        <v>49</v>
      </c>
      <c r="D50" s="1">
        <v>36164</v>
      </c>
    </row>
    <row r="51" spans="1:4" x14ac:dyDescent="0.25">
      <c r="D51" s="1"/>
    </row>
    <row r="52" spans="1:4" x14ac:dyDescent="0.25">
      <c r="A52" t="s">
        <v>50</v>
      </c>
      <c r="D52" s="1">
        <v>99334</v>
      </c>
    </row>
    <row r="53" spans="1:4" x14ac:dyDescent="0.25">
      <c r="A53" t="s">
        <v>51</v>
      </c>
      <c r="D53" s="1">
        <v>199383</v>
      </c>
    </row>
    <row r="54" spans="1:4" x14ac:dyDescent="0.25">
      <c r="D54" s="1"/>
    </row>
    <row r="55" spans="1:4" x14ac:dyDescent="0.25">
      <c r="A55" t="s">
        <v>52</v>
      </c>
      <c r="D55" s="1">
        <v>44002</v>
      </c>
    </row>
    <row r="56" spans="1:4" x14ac:dyDescent="0.25">
      <c r="D56" s="1"/>
    </row>
    <row r="57" spans="1:4" x14ac:dyDescent="0.25">
      <c r="A57" t="s">
        <v>53</v>
      </c>
      <c r="D57" s="1">
        <v>90794</v>
      </c>
    </row>
    <row r="58" spans="1:4" x14ac:dyDescent="0.25">
      <c r="D58" s="1"/>
    </row>
    <row r="59" spans="1:4" x14ac:dyDescent="0.25">
      <c r="A59" t="s">
        <v>54</v>
      </c>
      <c r="D59" s="1">
        <v>165007</v>
      </c>
    </row>
    <row r="60" spans="1:4" x14ac:dyDescent="0.25">
      <c r="D60" s="1"/>
    </row>
    <row r="61" spans="1:4" x14ac:dyDescent="0.25">
      <c r="A61" t="s">
        <v>55</v>
      </c>
      <c r="D61" s="1">
        <v>226884</v>
      </c>
    </row>
    <row r="62" spans="1:4" x14ac:dyDescent="0.25">
      <c r="D62" s="1"/>
    </row>
    <row r="63" spans="1:4" x14ac:dyDescent="0.25">
      <c r="D63" s="1"/>
    </row>
    <row r="64" spans="1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pageMargins left="0.75" right="0.75" top="1" bottom="1" header="0.5" footer="0.5"/>
  <pageSetup scale="64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C7" sqref="C7"/>
    </sheetView>
  </sheetViews>
  <sheetFormatPr defaultRowHeight="13.2" x14ac:dyDescent="0.25"/>
  <cols>
    <col min="1" max="1" width="17.44140625" customWidth="1"/>
    <col min="3" max="3" width="10.33203125" bestFit="1" customWidth="1"/>
  </cols>
  <sheetData>
    <row r="3" spans="1:3" x14ac:dyDescent="0.25">
      <c r="A3" t="s">
        <v>114</v>
      </c>
      <c r="B3" t="s">
        <v>115</v>
      </c>
      <c r="C3" s="12">
        <v>47500</v>
      </c>
    </row>
    <row r="4" spans="1:3" x14ac:dyDescent="0.25">
      <c r="A4" t="s">
        <v>116</v>
      </c>
      <c r="C4" s="11">
        <v>0.9</v>
      </c>
    </row>
    <row r="5" spans="1:3" x14ac:dyDescent="0.25">
      <c r="A5" t="s">
        <v>117</v>
      </c>
      <c r="B5" t="s">
        <v>118</v>
      </c>
      <c r="C5" s="12">
        <f>C3/C4</f>
        <v>52777.777777777774</v>
      </c>
    </row>
    <row r="6" spans="1:3" x14ac:dyDescent="0.25">
      <c r="A6" t="s">
        <v>119</v>
      </c>
      <c r="B6" t="s">
        <v>120</v>
      </c>
      <c r="C6" s="12">
        <v>13800</v>
      </c>
    </row>
    <row r="7" spans="1:3" x14ac:dyDescent="0.25">
      <c r="B7" t="s">
        <v>121</v>
      </c>
      <c r="C7" s="12">
        <f>C5*1000/(C6*3^0.5)</f>
        <v>2208.062623712337</v>
      </c>
    </row>
    <row r="8" spans="1:3" x14ac:dyDescent="0.25">
      <c r="C8" s="12"/>
    </row>
    <row r="9" spans="1:3" x14ac:dyDescent="0.25">
      <c r="C9" s="12"/>
    </row>
    <row r="10" spans="1:3" x14ac:dyDescent="0.25">
      <c r="C10" s="12"/>
    </row>
    <row r="11" spans="1:3" x14ac:dyDescent="0.25">
      <c r="C11" s="12"/>
    </row>
    <row r="12" spans="1:3" x14ac:dyDescent="0.25">
      <c r="C12" s="12"/>
    </row>
    <row r="13" spans="1:3" x14ac:dyDescent="0.25">
      <c r="C13" s="12"/>
    </row>
    <row r="14" spans="1:3" x14ac:dyDescent="0.25">
      <c r="C14" s="12"/>
    </row>
    <row r="15" spans="1:3" x14ac:dyDescent="0.25">
      <c r="C15" s="1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Homestead</vt:lpstr>
      <vt:lpstr>CTGprice</vt:lpstr>
      <vt:lpstr>calcs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2000-05-02T14:23:02Z</cp:lastPrinted>
  <dcterms:created xsi:type="dcterms:W3CDTF">2000-02-15T01:20:36Z</dcterms:created>
  <dcterms:modified xsi:type="dcterms:W3CDTF">2023-09-10T11:55:59Z</dcterms:modified>
</cp:coreProperties>
</file>