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2736" windowWidth="15336" windowHeight="2748" tabRatio="811" firstSheet="2" activeTab="2"/>
  </bookViews>
  <sheets>
    <sheet name="Notes" sheetId="23" r:id="rId1"/>
    <sheet name="Tracking Sheet" sheetId="16" r:id="rId2"/>
    <sheet name="Assumptions" sheetId="2" r:id="rId3"/>
    <sheet name="Cost Details" sheetId="28" r:id="rId4"/>
    <sheet name="Price_Technical Assumption" sheetId="3" r:id="rId5"/>
    <sheet name="Fuel Oil Curve" sheetId="27" r:id="rId6"/>
    <sheet name="IS" sheetId="4" r:id="rId7"/>
    <sheet name="BS" sheetId="19" state="hidden" r:id="rId8"/>
    <sheet name="Returns Analysis" sheetId="25" r:id="rId9"/>
    <sheet name="Debt" sheetId="6" r:id="rId10"/>
    <sheet name="Depreciation" sheetId="7" r:id="rId11"/>
    <sheet name="Taxes" sheetId="8" r:id="rId12"/>
    <sheet name="IDC" sheetId="18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7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6">IS!$A$2:$Q$45</definedName>
    <definedName name="_xlnm.Print_Area" localSheetId="11">Taxes!$A$2:$AF$41</definedName>
    <definedName name="_xlnm.Print_Titles" localSheetId="7">BS!$A:$A</definedName>
    <definedName name="_xlnm.Print_Titles" localSheetId="9">Debt!$A:$A</definedName>
    <definedName name="_xlnm.Print_Titles" localSheetId="10">Depreciation!$A:$A</definedName>
    <definedName name="_xlnm.Print_Titles" localSheetId="6">IS!$A:$A</definedName>
    <definedName name="_xlnm.Print_Titles" localSheetId="4">'Price_Technical Assumption'!$A:$B</definedName>
    <definedName name="_xlnm.Print_Titles" localSheetId="8">'Returns Analysis'!$A:$A</definedName>
    <definedName name="_xlnm.Print_Titles" localSheetId="11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calcMode="manual" fullCalcOnLoad="1" iterate="1"/>
</workbook>
</file>

<file path=xl/calcChain.xml><?xml version="1.0" encoding="utf-8"?>
<calcChain xmlns="http://schemas.openxmlformats.org/spreadsheetml/2006/main">
  <c r="B11" i="2" l="1"/>
  <c r="C11" i="2"/>
  <c r="D11" i="2"/>
  <c r="I11" i="2"/>
  <c r="B12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C23" i="2"/>
  <c r="D23" i="2"/>
  <c r="O23" i="2"/>
  <c r="B24" i="2"/>
  <c r="C24" i="2"/>
  <c r="D24" i="2"/>
  <c r="O24" i="2"/>
  <c r="B25" i="2"/>
  <c r="C25" i="2"/>
  <c r="D25" i="2"/>
  <c r="O25" i="2"/>
  <c r="B26" i="2"/>
  <c r="C26" i="2"/>
  <c r="D26" i="2"/>
  <c r="N26" i="2"/>
  <c r="O26" i="2"/>
  <c r="B27" i="2"/>
  <c r="D27" i="2"/>
  <c r="B28" i="2"/>
  <c r="D28" i="2"/>
  <c r="B29" i="2"/>
  <c r="C29" i="2"/>
  <c r="D29" i="2"/>
  <c r="N29" i="2"/>
  <c r="O29" i="2"/>
  <c r="B30" i="2"/>
  <c r="C30" i="2"/>
  <c r="D30" i="2"/>
  <c r="N30" i="2"/>
  <c r="O30" i="2"/>
  <c r="B31" i="2"/>
  <c r="C31" i="2"/>
  <c r="D31" i="2"/>
  <c r="N31" i="2"/>
  <c r="O31" i="2"/>
  <c r="B32" i="2"/>
  <c r="D32" i="2"/>
  <c r="G32" i="2"/>
  <c r="N32" i="2"/>
  <c r="O32" i="2"/>
  <c r="B33" i="2"/>
  <c r="C33" i="2"/>
  <c r="D33" i="2"/>
  <c r="N33" i="2"/>
  <c r="O33" i="2"/>
  <c r="B34" i="2"/>
  <c r="C34" i="2"/>
  <c r="D34" i="2"/>
  <c r="G35" i="2"/>
  <c r="H35" i="2"/>
  <c r="B38" i="2"/>
  <c r="C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H47" i="2"/>
  <c r="B48" i="2"/>
  <c r="C48" i="2"/>
  <c r="D48" i="2"/>
  <c r="G48" i="2"/>
  <c r="H48" i="2"/>
  <c r="B49" i="2"/>
  <c r="C49" i="2"/>
  <c r="D49" i="2"/>
  <c r="B50" i="2"/>
  <c r="C50" i="2"/>
  <c r="D50" i="2"/>
  <c r="B51" i="2"/>
  <c r="C51" i="2"/>
  <c r="D51" i="2"/>
  <c r="B52" i="2"/>
  <c r="C52" i="2"/>
  <c r="D52" i="2"/>
  <c r="B55" i="2"/>
  <c r="D55" i="2"/>
  <c r="B56" i="2"/>
  <c r="D56" i="2"/>
  <c r="B57" i="2"/>
  <c r="D57" i="2"/>
  <c r="H57" i="2"/>
  <c r="B58" i="2"/>
  <c r="C58" i="2"/>
  <c r="D58" i="2"/>
  <c r="B60" i="2"/>
  <c r="C60" i="2"/>
  <c r="D60" i="2"/>
  <c r="H60" i="2"/>
  <c r="H62" i="2"/>
  <c r="C66" i="2"/>
  <c r="H66" i="2"/>
  <c r="H68" i="2"/>
  <c r="C69" i="2"/>
  <c r="D69" i="2"/>
  <c r="C72" i="2"/>
  <c r="A73" i="2"/>
  <c r="C73" i="2"/>
  <c r="A74" i="2"/>
  <c r="C74" i="2"/>
  <c r="A75" i="2"/>
  <c r="C75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D12" i="28"/>
  <c r="D21" i="28"/>
  <c r="D34" i="28"/>
  <c r="D67" i="28"/>
  <c r="D86" i="28"/>
  <c r="D94" i="28"/>
  <c r="D108" i="28"/>
  <c r="D111" i="28"/>
  <c r="D115" i="28"/>
  <c r="D119" i="28"/>
  <c r="D121" i="28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G4" i="27"/>
  <c r="G5" i="27"/>
  <c r="G6" i="27"/>
  <c r="G7" i="27"/>
  <c r="G8" i="27"/>
  <c r="G9" i="27"/>
  <c r="G10" i="27"/>
  <c r="G11" i="27"/>
  <c r="G12" i="27"/>
  <c r="G13" i="27"/>
  <c r="G14" i="27"/>
  <c r="D15" i="27"/>
  <c r="G15" i="27"/>
  <c r="G16" i="27"/>
  <c r="G17" i="27"/>
  <c r="G18" i="27"/>
  <c r="G19" i="27"/>
  <c r="D27" i="27"/>
  <c r="D39" i="27"/>
  <c r="D51" i="27"/>
  <c r="D63" i="27"/>
  <c r="D75" i="27"/>
  <c r="D87" i="27"/>
  <c r="D99" i="27"/>
  <c r="D111" i="27"/>
  <c r="D123" i="27"/>
  <c r="D135" i="27"/>
  <c r="D147" i="27"/>
  <c r="D159" i="27"/>
  <c r="D171" i="27"/>
  <c r="D183" i="27"/>
  <c r="D195" i="27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W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W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brogers:</t>
        </r>
        <r>
          <rPr>
            <sz val="8"/>
            <color indexed="81"/>
            <rFont val="Tahoma"/>
          </rPr>
          <t xml:space="preserve">
This is an estimate, please check with Engineers for specific project
H.R. from Bruce Golden</t>
        </r>
      </text>
    </comment>
    <comment ref="H15" authorId="0" shapeId="0">
      <text>
        <r>
          <rPr>
            <b/>
            <sz val="8"/>
            <color indexed="81"/>
            <rFont val="Tahoma"/>
          </rPr>
          <t>brogers:</t>
        </r>
        <r>
          <rPr>
            <sz val="8"/>
            <color indexed="81"/>
            <rFont val="Tahoma"/>
          </rPr>
          <t xml:space="preserve">
This is an estimate, please check with Engineers for specific project
H.R. given by Bruce Golden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C27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4 SCR's for a 4 on 1 or 5 SCR's for a 5 on 1 configuration
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C4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7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2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<sst xmlns="http://schemas.openxmlformats.org/spreadsheetml/2006/main" count="669" uniqueCount="537">
  <si>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</si>
  <si>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</si>
  <si>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</si>
  <si>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</si>
  <si>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</si>
  <si>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</si>
  <si>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</si>
  <si>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</si>
  <si>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</si>
  <si>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</si>
  <si>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</si>
  <si>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</si>
  <si>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</si>
  <si>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</si>
  <si>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</si>
  <si>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</si>
  <si>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</si>
  <si>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</si>
  <si>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</si>
  <si>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</si>
  <si>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</si>
  <si>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</si>
  <si>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</si>
  <si>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</si>
  <si>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</si>
  <si>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</si>
  <si>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</si>
  <si>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</si>
  <si>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</si>
  <si>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</si>
  <si>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</si>
  <si>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</si>
  <si>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</si>
  <si>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</si>
  <si>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</si>
  <si>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</si>
  <si>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</si>
  <si>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</si>
  <si>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</si>
  <si>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</si>
  <si>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</si>
  <si>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</si>
  <si>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</si>
  <si>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</si>
  <si>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</si>
  <si>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</si>
  <si>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</si>
  <si>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</si>
  <si>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</si>
  <si>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</si>
  <si>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</si>
  <si>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</si>
  <si>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</si>
  <si>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</si>
  <si>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</si>
  <si>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</si>
  <si>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</si>
  <si>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</si>
  <si>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</si>
  <si>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</si>
  <si>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</si>
  <si>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</si>
  <si>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</si>
  <si>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</si>
  <si>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</si>
  <si>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</si>
  <si>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</si>
  <si>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</si>
  <si>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</si>
  <si>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</si>
  <si>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</si>
  <si>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</si>
  <si>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</si>
  <si>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</si>
  <si>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</si>
  <si>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</si>
  <si>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</si>
  <si>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</si>
  <si>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</si>
  <si>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</si>
  <si>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</si>
  <si>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</si>
  <si>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</si>
  <si>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</si>
  <si>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</si>
  <si>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</si>
  <si>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</si>
  <si>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</si>
  <si>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</si>
  <si>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</si>
  <si>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</si>
  <si>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</si>
  <si>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</si>
  <si>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</si>
  <si>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</si>
  <si>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</si>
  <si>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</si>
  <si>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</si>
  <si>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</si>
  <si>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</si>
  <si>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</si>
  <si>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</si>
  <si>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</si>
  <si>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</si>
  <si>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</si>
  <si>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</si>
  <si>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</si>
  <si>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</si>
  <si>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SCR</t>
  </si>
  <si>
    <t xml:space="preserve">  Dual Fuel 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</si>
  <si>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</si>
  <si>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</si>
  <si>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</si>
  <si>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</si>
  <si>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</si>
  <si>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</si>
  <si>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</si>
  <si>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</si>
  <si>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</si>
  <si>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</si>
  <si>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</si>
  <si>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</si>
  <si>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</si>
  <si>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</si>
  <si>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</si>
  <si>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</si>
  <si>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</si>
  <si>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</si>
  <si>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</si>
  <si>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</si>
  <si>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</si>
  <si>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</si>
  <si>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</si>
  <si>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</si>
  <si>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</si>
  <si>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</si>
  <si>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</si>
  <si>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</si>
  <si>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</si>
  <si>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</si>
  <si>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</si>
  <si>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</si>
  <si>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</si>
  <si>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</si>
  <si>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</si>
  <si>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</si>
  <si>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</si>
  <si>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</si>
  <si>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</si>
  <si>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</si>
  <si>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</si>
  <si>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</si>
  <si>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</si>
  <si>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</si>
  <si>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</si>
  <si>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</si>
  <si>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</si>
  <si>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</si>
  <si>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</si>
  <si>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</si>
  <si>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</si>
  <si>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</si>
  <si>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</si>
  <si>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</si>
  <si>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</si>
  <si>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</si>
  <si>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</si>
  <si>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</si>
  <si>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</si>
  <si>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</si>
  <si>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</si>
  <si>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</si>
  <si>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Overhead &amp; Fees - Nepco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</si>
  <si>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</si>
  <si>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</si>
  <si>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</si>
  <si>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</si>
  <si>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</si>
  <si>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</si>
  <si>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</si>
  <si>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</si>
  <si>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</si>
  <si>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</si>
  <si>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</si>
  <si>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</si>
  <si>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</si>
  <si>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</si>
  <si>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</si>
  <si>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</si>
  <si>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</si>
  <si>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</si>
  <si>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</si>
  <si>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</si>
  <si>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</si>
  <si>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</si>
  <si>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</si>
  <si>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</si>
  <si>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</si>
  <si>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</si>
  <si>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</si>
  <si>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</si>
  <si>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</si>
  <si>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</si>
  <si>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</si>
  <si>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</si>
  <si>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</si>
  <si>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</si>
  <si>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</si>
  <si>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</si>
  <si>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</si>
  <si>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</si>
  <si>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</si>
  <si>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</si>
  <si>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</si>
  <si>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</si>
  <si>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</si>
  <si>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</si>
  <si>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</si>
  <si>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</si>
  <si>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</si>
  <si>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</si>
  <si>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</si>
  <si>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</si>
  <si>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</si>
  <si>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</si>
  <si>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</si>
  <si>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</si>
  <si>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</si>
  <si>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</si>
  <si>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</si>
  <si>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</si>
  <si>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</si>
  <si>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</si>
  <si>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</si>
  <si>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</si>
  <si>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</si>
  <si>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</si>
  <si>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</si>
  <si>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</si>
  <si>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</si>
  <si>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</si>
  <si>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</si>
  <si>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</si>
  <si>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</si>
  <si>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</si>
  <si>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</si>
  <si>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</si>
  <si>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</si>
  <si>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</si>
  <si>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</si>
  <si>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</si>
  <si>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</si>
  <si>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</si>
  <si>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</si>
  <si>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</si>
  <si>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</si>
  <si>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</si>
  <si>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</si>
  <si>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</si>
  <si>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</si>
  <si>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</si>
  <si>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</si>
  <si>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</si>
  <si>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</si>
  <si>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</si>
  <si>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</si>
  <si>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</si>
  <si>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</si>
  <si>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</si>
  <si>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</si>
  <si>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</si>
  <si>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</si>
  <si>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</si>
  <si>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</si>
  <si>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</si>
  <si>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</si>
  <si>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</si>
  <si>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</si>
  <si>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</si>
  <si>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</si>
  <si>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</si>
  <si>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</si>
  <si>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</si>
  <si>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</si>
  <si>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</si>
  <si>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</si>
  <si>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</si>
  <si>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</si>
  <si>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</si>
  <si>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</si>
  <si>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</si>
  <si>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</si>
  <si>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</si>
  <si>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</si>
  <si>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</si>
  <si>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</si>
  <si>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</si>
  <si>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</si>
  <si>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</si>
  <si>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</si>
  <si>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</si>
  <si>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</si>
  <si>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</si>
  <si>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</si>
  <si>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</si>
  <si>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</si>
  <si>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</si>
  <si>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</si>
  <si>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</si>
  <si>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</si>
  <si>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</si>
  <si>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</si>
  <si>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</si>
  <si>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</si>
  <si>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</si>
  <si>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</si>
  <si>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</si>
  <si>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</si>
  <si>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</si>
  <si>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</si>
  <si>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</si>
  <si>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</si>
  <si>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</si>
  <si>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</si>
  <si>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</si>
  <si>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</si>
  <si>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</si>
  <si>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</si>
  <si>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</si>
  <si>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</si>
  <si>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</si>
  <si>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</si>
  <si>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</si>
  <si>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</si>
  <si>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</si>
  <si>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</si>
  <si>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</si>
  <si>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</si>
  <si>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</si>
  <si>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</si>
  <si>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</si>
  <si>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</si>
  <si>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</si>
  <si>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</si>
  <si>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</si>
  <si>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</si>
  <si>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</si>
  <si>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</si>
  <si>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</si>
  <si>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</si>
  <si>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</si>
  <si>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</si>
  <si>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</si>
  <si>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</si>
  <si>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</si>
  <si>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</si>
  <si>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</si>
  <si>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</si>
  <si>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</si>
  <si>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</si>
  <si>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</si>
  <si>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</si>
  <si>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</si>
  <si>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</si>
  <si>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</si>
  <si>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</si>
  <si>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</si>
  <si>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</si>
  <si>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</si>
  <si>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</si>
  <si>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</si>
  <si>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</si>
  <si>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</si>
  <si>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</si>
  <si>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</si>
  <si>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</si>
  <si>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</si>
  <si>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</si>
  <si>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</si>
  <si>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</si>
  <si>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</si>
  <si>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</si>
  <si>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</si>
  <si>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</si>
  <si>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</si>
  <si>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</si>
  <si>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</si>
  <si>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</si>
  <si>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</si>
  <si>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</si>
  <si>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</si>
  <si>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</si>
  <si>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</si>
  <si>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</si>
  <si>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</si>
  <si>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</si>
  <si>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</si>
  <si>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</si>
  <si>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</si>
  <si>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</si>
  <si>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</si>
  <si>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</si>
  <si>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</si>
  <si>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</si>
  <si>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</si>
  <si>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</si>
  <si>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</si>
  <si>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</si>
  <si>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</si>
  <si>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</si>
  <si>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</si>
  <si>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</si>
  <si>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</si>
  <si>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</si>
  <si>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</si>
  <si>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</si>
  <si>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</si>
  <si>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</si>
  <si>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t>Debt Service Reserve Fee</t>
  </si>
  <si>
    <t>*Rough Estimate by Bruce Golden. Please double-check for deal specific</t>
  </si>
  <si>
    <t>Net Generation (MWh)</t>
  </si>
  <si>
    <t>ESC.</t>
  </si>
  <si>
    <t>Residual Value (at year 20)</t>
  </si>
  <si>
    <t xml:space="preserve">  Financing Fee (All-in Fees)</t>
  </si>
  <si>
    <t>O&amp;M Fees plus capital exp.</t>
  </si>
  <si>
    <t xml:space="preserve">  Insurance</t>
  </si>
  <si>
    <t>Price</t>
  </si>
  <si>
    <t xml:space="preserve">  EE&amp;CC Program Management</t>
  </si>
  <si>
    <t>Target</t>
  </si>
  <si>
    <t>20 Yrs After-Tax Cashflow with Zero Residual Value</t>
  </si>
  <si>
    <t>PROJECT NAME: Homestead, Florida</t>
  </si>
  <si>
    <t>$/Mmbtu</t>
  </si>
  <si>
    <t>Oil</t>
  </si>
  <si>
    <t>Index (Fuel Oil # 2 Curve)</t>
  </si>
  <si>
    <t>Avg. Annual</t>
  </si>
  <si>
    <t>FL</t>
  </si>
  <si>
    <t>STG + HRSG</t>
  </si>
  <si>
    <t xml:space="preserve">  CTG Freight</t>
  </si>
  <si>
    <t xml:space="preserve">  Home Office</t>
  </si>
  <si>
    <t xml:space="preserve">  Salaried Staff</t>
  </si>
  <si>
    <t xml:space="preserve">  Hourly Staff</t>
  </si>
  <si>
    <t xml:space="preserve">  Equipment Costs</t>
  </si>
  <si>
    <t>MW's</t>
  </si>
  <si>
    <t xml:space="preserve">  Small Tools</t>
  </si>
  <si>
    <t xml:space="preserve">  Temp Facilities</t>
  </si>
  <si>
    <t xml:space="preserve">  GC Other</t>
  </si>
  <si>
    <t xml:space="preserve">  Per Diems</t>
  </si>
  <si>
    <t xml:space="preserve">  Tax/Bond</t>
  </si>
  <si>
    <t xml:space="preserve">  Engr. Labor</t>
  </si>
  <si>
    <t xml:space="preserve">  Major Equipment</t>
  </si>
  <si>
    <t>Engineering:</t>
  </si>
  <si>
    <t>Procurement:</t>
  </si>
  <si>
    <t>Indirect Costs:</t>
  </si>
  <si>
    <t>Project Management:</t>
  </si>
  <si>
    <t xml:space="preserve">  CTG's</t>
  </si>
  <si>
    <t xml:space="preserve">  Inlet air heating</t>
  </si>
  <si>
    <t xml:space="preserve">  Duel Fuel</t>
  </si>
  <si>
    <t xml:space="preserve">  HRSG's</t>
  </si>
  <si>
    <t xml:space="preserve">  STG - 75 MW</t>
  </si>
  <si>
    <t>Engineered Equipment</t>
  </si>
  <si>
    <t xml:space="preserve">  Buildings</t>
  </si>
  <si>
    <t xml:space="preserve">  Valves and specials</t>
  </si>
  <si>
    <t xml:space="preserve">  Bus Duct</t>
  </si>
  <si>
    <t xml:space="preserve">  Dry Transformers</t>
  </si>
  <si>
    <t xml:space="preserve">  Step-up transformers</t>
  </si>
  <si>
    <t xml:space="preserve">  Power Dist. Xformers</t>
  </si>
  <si>
    <t xml:space="preserve">  600V MCC</t>
  </si>
  <si>
    <t xml:space="preserve">  600V swgr</t>
  </si>
  <si>
    <t xml:space="preserve">  5kV swgr</t>
  </si>
  <si>
    <t xml:space="preserve">  15kV swgr</t>
  </si>
  <si>
    <t xml:space="preserve">  Control Panel</t>
  </si>
  <si>
    <t xml:space="preserve">  HV Device</t>
  </si>
  <si>
    <t xml:space="preserve">  DCS</t>
  </si>
  <si>
    <t xml:space="preserve">  UPS</t>
  </si>
  <si>
    <t xml:space="preserve">  Fld. Mntd Instr.</t>
  </si>
  <si>
    <t xml:space="preserve">  CEMS</t>
  </si>
  <si>
    <t xml:space="preserve">  Control Valves</t>
  </si>
  <si>
    <t>(000's)</t>
  </si>
  <si>
    <t xml:space="preserve">  Pumps</t>
  </si>
  <si>
    <t xml:space="preserve">  Cooling Tower</t>
  </si>
  <si>
    <t xml:space="preserve">  Fin Fan Coolers</t>
  </si>
  <si>
    <t xml:space="preserve">  APC equipment</t>
  </si>
  <si>
    <t xml:space="preserve">  Fuel Gas Filter</t>
  </si>
  <si>
    <t xml:space="preserve">  Chillers</t>
  </si>
  <si>
    <t xml:space="preserve">  Water Treatment</t>
  </si>
  <si>
    <t xml:space="preserve">  Oil/Water Seperator</t>
  </si>
  <si>
    <t xml:space="preserve">  Vender Reps</t>
  </si>
  <si>
    <t xml:space="preserve">  Tank Farm/Oil Filter</t>
  </si>
  <si>
    <t xml:space="preserve">  FLD/shop vessels</t>
  </si>
  <si>
    <t xml:space="preserve">  Other</t>
  </si>
  <si>
    <t xml:space="preserve">  Bulk Material</t>
  </si>
  <si>
    <t>Construction</t>
  </si>
  <si>
    <t xml:space="preserve">  site</t>
  </si>
  <si>
    <t xml:space="preserve">  u/g electrical</t>
  </si>
  <si>
    <t xml:space="preserve">  u/g piping</t>
  </si>
  <si>
    <t xml:space="preserve">  concrete</t>
  </si>
  <si>
    <t xml:space="preserve">  grout</t>
  </si>
  <si>
    <t xml:space="preserve">  steel</t>
  </si>
  <si>
    <t xml:space="preserve">  architectual</t>
  </si>
  <si>
    <t xml:space="preserve">  buildings</t>
  </si>
  <si>
    <t xml:space="preserve">  a/g piping</t>
  </si>
  <si>
    <t xml:space="preserve">  a/g eletrical</t>
  </si>
  <si>
    <t xml:space="preserve">  instrumentation</t>
  </si>
  <si>
    <t xml:space="preserve">  painting</t>
  </si>
  <si>
    <t xml:space="preserve">  mech. Equipment</t>
  </si>
  <si>
    <t>Startup</t>
  </si>
  <si>
    <t xml:space="preserve">  insulation</t>
  </si>
  <si>
    <t xml:space="preserve">  startup</t>
  </si>
  <si>
    <t xml:space="preserve">  oper training</t>
  </si>
  <si>
    <t xml:space="preserve">  initial fill/spares</t>
  </si>
  <si>
    <t xml:space="preserve">  manuels</t>
  </si>
  <si>
    <t xml:space="preserve">  startup support</t>
  </si>
  <si>
    <t>Warranty</t>
  </si>
  <si>
    <t>Owner Adds</t>
  </si>
  <si>
    <t xml:space="preserve">  sales and Used Tax</t>
  </si>
  <si>
    <t xml:space="preserve">  SCR air attemperation</t>
  </si>
  <si>
    <t xml:space="preserve">  Remote control</t>
  </si>
  <si>
    <t xml:space="preserve">  ENA Remote Monitoring</t>
  </si>
  <si>
    <t xml:space="preserve">  Switchyard</t>
  </si>
  <si>
    <t xml:space="preserve">  Transmission lines</t>
  </si>
  <si>
    <t xml:space="preserve">  Gas Line</t>
  </si>
  <si>
    <t xml:space="preserve">  Admin Buildings</t>
  </si>
  <si>
    <t xml:space="preserve">  Builders Risk</t>
  </si>
  <si>
    <t>Subtotal Costs</t>
  </si>
  <si>
    <t xml:space="preserve">  Fixed G&amp;A</t>
  </si>
  <si>
    <t>Total Costs</t>
  </si>
  <si>
    <t xml:space="preserve">  Margin</t>
  </si>
  <si>
    <t>Total EPC</t>
  </si>
  <si>
    <t>Combined Cycle</t>
  </si>
  <si>
    <t xml:space="preserve">  Project Management</t>
  </si>
  <si>
    <t xml:space="preserve">  Indirect Costs</t>
  </si>
  <si>
    <t xml:space="preserve">  Engineering Labor</t>
  </si>
  <si>
    <t xml:space="preserve">  Engineered Equipment</t>
  </si>
  <si>
    <t xml:space="preserve">  Construction</t>
  </si>
  <si>
    <t xml:space="preserve">  Startup</t>
  </si>
  <si>
    <t xml:space="preserve">  Owner's Adder (With Switchyard, T-lines, Gas Lines)</t>
  </si>
  <si>
    <t xml:space="preserve">  Nepco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</si>
</sst>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3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  <font>
      <u val="singleAccounting"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68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38" fontId="106" fillId="8" borderId="0" xfId="0" applyNumberFormat="1" applyFont="1" applyFill="1"/>
    <xf numFmtId="9" fontId="109" fillId="0" borderId="9" xfId="2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2" fontId="0" fillId="0" borderId="0" xfId="0" applyNumberFormat="1"/>
    <xf numFmtId="0" fontId="111" fillId="0" borderId="0" xfId="0" applyFont="1" applyAlignment="1">
      <alignment horizontal="center"/>
    </xf>
    <xf numFmtId="10" fontId="22" fillId="0" borderId="9" xfId="20" applyNumberFormat="1" applyFont="1" applyBorder="1" applyAlignment="1">
      <alignment horizontal="center"/>
    </xf>
    <xf numFmtId="0" fontId="102" fillId="11" borderId="7" xfId="0" applyFont="1" applyFill="1" applyBorder="1"/>
    <xf numFmtId="9" fontId="0" fillId="11" borderId="6" xfId="20" applyFont="1" applyFill="1" applyBorder="1"/>
    <xf numFmtId="187" fontId="102" fillId="0" borderId="0" xfId="0" applyNumberFormat="1" applyFont="1" applyBorder="1"/>
    <xf numFmtId="187" fontId="102" fillId="11" borderId="0" xfId="0" applyNumberFormat="1" applyFont="1" applyFill="1" applyBorder="1"/>
    <xf numFmtId="187" fontId="102" fillId="0" borderId="9" xfId="0" applyNumberFormat="1" applyFont="1" applyBorder="1"/>
    <xf numFmtId="0" fontId="9" fillId="0" borderId="0" xfId="0" applyFont="1" applyBorder="1" applyAlignment="1">
      <alignment horizontal="right"/>
    </xf>
    <xf numFmtId="322" fontId="0" fillId="0" borderId="0" xfId="0" applyNumberFormat="1"/>
    <xf numFmtId="0" fontId="102" fillId="0" borderId="0" xfId="0" applyFont="1"/>
    <xf numFmtId="44" fontId="0" fillId="0" borderId="0" xfId="4" applyFont="1"/>
    <xf numFmtId="166" fontId="9" fillId="0" borderId="0" xfId="3" applyNumberFormat="1" applyFont="1" applyBorder="1"/>
    <xf numFmtId="44" fontId="0" fillId="0" borderId="4" xfId="4" applyFont="1" applyBorder="1"/>
    <xf numFmtId="0" fontId="0" fillId="0" borderId="0" xfId="0" applyAlignment="1">
      <alignment horizontal="right"/>
    </xf>
    <xf numFmtId="44" fontId="102" fillId="0" borderId="0" xfId="4" applyFont="1"/>
    <xf numFmtId="44" fontId="102" fillId="0" borderId="0" xfId="0" applyNumberFormat="1" applyFont="1"/>
    <xf numFmtId="44" fontId="112" fillId="0" borderId="0" xfId="4" applyFont="1"/>
    <xf numFmtId="0" fontId="111" fillId="0" borderId="0" xfId="0" applyFont="1"/>
    <xf numFmtId="44" fontId="111" fillId="0" borderId="0" xfId="4" applyFont="1"/>
    <xf numFmtId="44" fontId="102" fillId="0" borderId="0" xfId="4" applyFont="1" applyAlignment="1"/>
    <xf numFmtId="165" fontId="22" fillId="8" borderId="0" xfId="4" applyNumberFormat="1" applyFont="1" applyFill="1" applyAlignment="1"/>
    <xf numFmtId="165" fontId="22" fillId="8" borderId="0" xfId="4" applyNumberFormat="1" applyFont="1" applyFill="1" applyBorder="1" applyAlignment="1">
      <alignment horizontal="center"/>
    </xf>
    <xf numFmtId="165" fontId="22" fillId="0" borderId="0" xfId="4" applyNumberFormat="1" applyFont="1" applyFill="1" applyBorder="1" applyAlignment="1">
      <alignment horizontal="center"/>
    </xf>
    <xf numFmtId="165" fontId="30" fillId="8" borderId="0" xfId="4" applyNumberFormat="1" applyFont="1" applyFill="1" applyBorder="1" applyAlignment="1">
      <alignment horizontal="center"/>
    </xf>
    <xf numFmtId="165" fontId="3" fillId="0" borderId="0" xfId="4" applyNumberFormat="1" applyFont="1"/>
    <xf numFmtId="165" fontId="3" fillId="0" borderId="0" xfId="4" applyNumberFormat="1" applyFont="1" applyBorder="1"/>
    <xf numFmtId="165" fontId="22" fillId="0" borderId="0" xfId="4" applyNumberFormat="1" applyFont="1" applyBorder="1" applyAlignment="1">
      <alignment horizontal="center"/>
    </xf>
    <xf numFmtId="165" fontId="19" fillId="0" borderId="6" xfId="4" applyNumberFormat="1" applyFont="1" applyFill="1" applyBorder="1" applyAlignment="1">
      <alignment horizontal="center"/>
    </xf>
    <xf numFmtId="165" fontId="109" fillId="8" borderId="0" xfId="4" applyNumberFormat="1" applyFont="1" applyFill="1" applyBorder="1" applyAlignment="1">
      <alignment horizontal="center"/>
    </xf>
    <xf numFmtId="165" fontId="109" fillId="8" borderId="0" xfId="4" applyNumberFormat="1" applyFont="1" applyFill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" dropStyle="combo" dx="26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6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6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6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2362200</xdr:colOff>
          <xdr:row>28</xdr:row>
          <xdr:rowOff>0</xdr:rowOff>
        </xdr:from>
        <xdr:to>
          <xdr:col>13</xdr:col>
          <xdr:colOff>30480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198120</xdr:rowOff>
        </xdr:from>
        <xdr:to>
          <xdr:col>7</xdr:col>
          <xdr:colOff>1226820</xdr:colOff>
          <xdr:row>58</xdr:row>
          <xdr:rowOff>7620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7620</xdr:rowOff>
        </xdr:from>
        <xdr:to>
          <xdr:col>9</xdr:col>
          <xdr:colOff>0</xdr:colOff>
          <xdr:row>60</xdr:row>
          <xdr:rowOff>30480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182880</xdr:rowOff>
        </xdr:from>
        <xdr:to>
          <xdr:col>6</xdr:col>
          <xdr:colOff>1226820</xdr:colOff>
          <xdr:row>27</xdr:row>
          <xdr:rowOff>198120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350520</xdr:colOff>
          <xdr:row>15</xdr:row>
          <xdr:rowOff>30480</xdr:rowOff>
        </xdr:from>
        <xdr:to>
          <xdr:col>0</xdr:col>
          <xdr:colOff>1988820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ColWidth="9.109375" defaultRowHeight="13.2"/>
  <cols>
    <col min="1" max="1" width="16.5546875" style="12" bestFit="1" customWidth="1"/>
    <col min="2" max="11" width="9.109375" style="12"/>
    <col min="12" max="12" width="11.5546875" style="12" bestFit="1" customWidth="1"/>
    <col min="13" max="14" width="9.109375" style="12"/>
    <col min="15" max="15" width="11.5546875" style="12" bestFit="1" customWidth="1"/>
    <col min="16" max="16384" width="9.109375" style="12"/>
  </cols>
  <sheetData>
    <row r="2" spans="1:18" ht="17.399999999999999">
      <c r="A2" s="170" t="s">
        <v>160</v>
      </c>
      <c r="C2" s="5"/>
    </row>
    <row r="3" spans="1:18" s="46" customFormat="1" ht="15.6"/>
    <row r="4" spans="1:18" s="46" customFormat="1" ht="18">
      <c r="A4" s="471">
        <v>1</v>
      </c>
      <c r="B4" s="207" t="s">
        <v>391</v>
      </c>
      <c r="C4" s="471"/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  <c r="P4" s="471"/>
      <c r="Q4" s="471"/>
    </row>
    <row r="5" spans="1:18" s="46" customFormat="1" ht="18">
      <c r="B5" s="207" t="s">
        <v>392</v>
      </c>
      <c r="C5" s="471"/>
      <c r="D5" s="471"/>
      <c r="E5" s="471"/>
      <c r="F5" s="471"/>
      <c r="G5" s="471"/>
      <c r="H5" s="471"/>
      <c r="I5" s="471"/>
      <c r="J5" s="471"/>
      <c r="K5" s="471"/>
      <c r="L5" s="471"/>
      <c r="M5" s="471"/>
      <c r="N5" s="471"/>
      <c r="O5" s="471"/>
      <c r="P5" s="471"/>
      <c r="Q5" s="471"/>
    </row>
    <row r="6" spans="1:18" s="46" customFormat="1" ht="15.6">
      <c r="A6" s="12">
        <v>2</v>
      </c>
      <c r="B6" s="53" t="s">
        <v>303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6">
      <c r="A7" s="12">
        <v>3</v>
      </c>
      <c r="B7" s="53" t="s">
        <v>304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6">
      <c r="A8" s="12">
        <v>4</v>
      </c>
      <c r="B8" s="12" t="s">
        <v>311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6">
      <c r="A9" s="12">
        <v>5</v>
      </c>
      <c r="B9" s="12" t="s">
        <v>403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6"/>
    <row r="12" spans="1:18" s="46" customFormat="1" ht="17.399999999999999">
      <c r="A12" s="170" t="s">
        <v>198</v>
      </c>
    </row>
    <row r="13" spans="1:18" s="46" customFormat="1" ht="15.6">
      <c r="A13" s="472"/>
      <c r="B13" s="12"/>
      <c r="C13" s="12"/>
      <c r="D13" s="12"/>
      <c r="E13" s="12"/>
      <c r="F13" s="12"/>
      <c r="G13" s="12"/>
      <c r="H13" s="12"/>
      <c r="I13" s="473" t="s">
        <v>199</v>
      </c>
      <c r="J13" s="12"/>
      <c r="K13" s="12"/>
      <c r="L13" s="12"/>
      <c r="M13" s="12"/>
      <c r="N13" s="12"/>
      <c r="O13" s="473"/>
      <c r="P13" s="12"/>
    </row>
    <row r="14" spans="1:18" s="46" customFormat="1" ht="15.6">
      <c r="A14" s="12">
        <v>1</v>
      </c>
      <c r="B14" s="12" t="s">
        <v>364</v>
      </c>
      <c r="C14" s="12"/>
      <c r="D14" s="12"/>
      <c r="E14" s="12"/>
      <c r="F14" s="12"/>
      <c r="G14" s="12"/>
      <c r="H14" s="12"/>
      <c r="I14" s="12" t="s">
        <v>200</v>
      </c>
      <c r="J14" s="12"/>
      <c r="K14" s="12"/>
      <c r="L14" s="12"/>
      <c r="M14" s="12"/>
      <c r="N14" s="12"/>
      <c r="O14" s="474"/>
      <c r="P14" s="12"/>
    </row>
    <row r="15" spans="1:18" s="46" customFormat="1" ht="15.6">
      <c r="A15" s="12"/>
      <c r="B15" s="12" t="s">
        <v>265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4"/>
      <c r="P15" s="12"/>
    </row>
    <row r="16" spans="1:18" s="46" customFormat="1" ht="15.6">
      <c r="A16" s="12">
        <v>2</v>
      </c>
      <c r="B16" s="12" t="s">
        <v>226</v>
      </c>
      <c r="C16" s="12"/>
      <c r="D16" s="12"/>
      <c r="E16" s="12"/>
      <c r="F16" s="12"/>
      <c r="G16" s="12"/>
      <c r="H16" s="12"/>
      <c r="I16" s="12" t="s">
        <v>200</v>
      </c>
      <c r="J16" s="12"/>
      <c r="K16" s="12"/>
      <c r="L16" s="12"/>
      <c r="M16" s="12"/>
      <c r="N16" s="12"/>
      <c r="O16" s="474"/>
      <c r="P16" s="12"/>
    </row>
    <row r="17" spans="1:16" s="46" customFormat="1" ht="15.6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359</v>
      </c>
      <c r="J17" s="12"/>
      <c r="K17" s="12"/>
      <c r="L17" s="12"/>
      <c r="M17" s="12"/>
      <c r="N17" s="12"/>
      <c r="O17" s="474"/>
      <c r="P17" s="12"/>
    </row>
    <row r="18" spans="1:16" s="46" customFormat="1" ht="15.6">
      <c r="A18" s="12">
        <v>4</v>
      </c>
      <c r="B18" s="12" t="s">
        <v>251</v>
      </c>
      <c r="C18" s="12"/>
      <c r="D18" s="12"/>
      <c r="E18" s="12"/>
      <c r="F18" s="12"/>
      <c r="G18" s="12"/>
      <c r="H18" s="12"/>
      <c r="I18" s="12" t="s">
        <v>410</v>
      </c>
      <c r="J18" s="12"/>
      <c r="K18" s="12"/>
      <c r="L18" s="12"/>
      <c r="M18" s="12"/>
      <c r="N18" s="12"/>
      <c r="O18" s="12"/>
      <c r="P18" s="12"/>
    </row>
    <row r="19" spans="1:16" s="46" customFormat="1" ht="15.6">
      <c r="A19" s="12">
        <v>5</v>
      </c>
      <c r="B19" s="12" t="s">
        <v>305</v>
      </c>
      <c r="C19" s="12"/>
      <c r="D19" s="12"/>
      <c r="E19" s="12"/>
      <c r="F19" s="12"/>
      <c r="G19" s="12"/>
      <c r="H19" s="12"/>
      <c r="I19" s="12" t="s">
        <v>275</v>
      </c>
      <c r="J19" s="12"/>
      <c r="K19" s="12"/>
      <c r="L19" s="12"/>
      <c r="M19" s="12"/>
      <c r="N19" s="12"/>
      <c r="O19" s="474"/>
      <c r="P19" s="12"/>
    </row>
    <row r="20" spans="1:16" s="46" customFormat="1" ht="15.6">
      <c r="A20" s="12">
        <v>6</v>
      </c>
      <c r="B20" s="12" t="s">
        <v>325</v>
      </c>
      <c r="C20" s="12"/>
      <c r="D20" s="12"/>
      <c r="E20" s="12"/>
      <c r="F20" s="12"/>
      <c r="G20" s="12"/>
      <c r="H20" s="12"/>
      <c r="I20" s="12" t="s">
        <v>326</v>
      </c>
      <c r="J20" s="12"/>
      <c r="K20" s="12"/>
      <c r="L20" s="12"/>
      <c r="M20" s="12"/>
      <c r="N20" s="12"/>
      <c r="O20" s="12"/>
      <c r="P20" s="12"/>
    </row>
    <row r="21" spans="1:16" s="46" customFormat="1" ht="15.6">
      <c r="A21" s="12">
        <v>7</v>
      </c>
      <c r="B21" s="12" t="s">
        <v>357</v>
      </c>
      <c r="C21" s="12"/>
      <c r="D21" s="12"/>
      <c r="E21" s="12"/>
      <c r="F21" s="12"/>
      <c r="G21" s="12"/>
      <c r="H21" s="12"/>
      <c r="I21" s="12" t="s">
        <v>275</v>
      </c>
      <c r="J21" s="12"/>
      <c r="K21" s="12"/>
      <c r="L21" s="12"/>
      <c r="M21" s="12"/>
      <c r="N21" s="12"/>
      <c r="O21" s="474"/>
      <c r="P21" s="12"/>
    </row>
    <row r="22" spans="1:16" s="46" customFormat="1" ht="15.6">
      <c r="A22" s="12">
        <v>8</v>
      </c>
      <c r="B22" s="12" t="s">
        <v>360</v>
      </c>
      <c r="C22" s="12"/>
      <c r="D22" s="12"/>
      <c r="E22" s="12"/>
      <c r="F22" s="12"/>
      <c r="G22" s="12"/>
      <c r="H22" s="12"/>
      <c r="I22" s="12" t="s">
        <v>361</v>
      </c>
      <c r="J22" s="12"/>
      <c r="K22" s="12"/>
      <c r="L22" s="12"/>
      <c r="M22" s="12"/>
      <c r="N22" s="12"/>
      <c r="O22" s="12"/>
      <c r="P22" s="12"/>
    </row>
    <row r="23" spans="1:16" s="46" customFormat="1" ht="15.6">
      <c r="A23" s="12">
        <v>9</v>
      </c>
      <c r="B23" s="12" t="s">
        <v>400</v>
      </c>
      <c r="C23" s="12"/>
      <c r="D23" s="12"/>
      <c r="E23" s="12"/>
      <c r="F23" s="12"/>
      <c r="G23" s="12"/>
      <c r="H23" s="12"/>
      <c r="I23" s="12" t="s">
        <v>275</v>
      </c>
      <c r="J23" s="12"/>
      <c r="K23" s="12"/>
      <c r="L23" s="12"/>
      <c r="M23" s="12"/>
      <c r="N23" s="12"/>
      <c r="O23" s="12"/>
      <c r="P23" s="12"/>
    </row>
    <row r="24" spans="1:16" s="46" customFormat="1" ht="15.6"/>
    <row r="25" spans="1:16" s="46" customFormat="1" ht="15.6"/>
    <row r="26" spans="1:16" s="46" customFormat="1" ht="15.6"/>
    <row r="27" spans="1:16" s="46" customFormat="1" ht="17.399999999999999">
      <c r="A27" s="170" t="s">
        <v>268</v>
      </c>
    </row>
    <row r="28" spans="1:16" s="46" customFormat="1" ht="17.399999999999999">
      <c r="A28" s="280"/>
    </row>
    <row r="29" spans="1:16" s="46" customFormat="1" ht="15.6">
      <c r="A29" s="12"/>
      <c r="B29" s="475" t="s">
        <v>293</v>
      </c>
      <c r="C29" s="12"/>
      <c r="D29" s="12"/>
      <c r="E29" s="475" t="s">
        <v>292</v>
      </c>
      <c r="F29" s="475"/>
      <c r="G29" s="475"/>
      <c r="H29" s="475" t="s">
        <v>294</v>
      </c>
      <c r="I29" s="12"/>
      <c r="J29" s="12"/>
    </row>
    <row r="30" spans="1:16" s="46" customFormat="1" ht="15.6">
      <c r="A30" s="12"/>
      <c r="B30" s="12" t="s">
        <v>366</v>
      </c>
      <c r="C30" s="12"/>
      <c r="D30" s="12"/>
      <c r="E30" s="12" t="s">
        <v>277</v>
      </c>
      <c r="F30" s="12"/>
      <c r="G30" s="12"/>
      <c r="H30" s="12" t="s">
        <v>289</v>
      </c>
      <c r="I30" s="12"/>
      <c r="J30" s="12"/>
    </row>
    <row r="31" spans="1:16" s="46" customFormat="1" ht="15.6">
      <c r="A31" s="12"/>
      <c r="B31" s="12"/>
      <c r="C31" s="12"/>
      <c r="D31" s="12"/>
      <c r="E31" s="12" t="s">
        <v>278</v>
      </c>
      <c r="F31" s="12"/>
      <c r="G31" s="12"/>
      <c r="H31" s="12" t="s">
        <v>290</v>
      </c>
      <c r="I31" s="12"/>
      <c r="J31" s="12"/>
    </row>
    <row r="32" spans="1:16" s="46" customFormat="1" ht="15.6">
      <c r="A32" s="12"/>
      <c r="B32" s="12" t="s">
        <v>367</v>
      </c>
      <c r="C32" s="12"/>
      <c r="D32" s="12"/>
      <c r="E32" s="12" t="s">
        <v>279</v>
      </c>
      <c r="F32" s="12"/>
      <c r="G32" s="12"/>
      <c r="H32" s="12" t="s">
        <v>291</v>
      </c>
      <c r="I32" s="12"/>
      <c r="J32" s="12"/>
    </row>
    <row r="33" spans="1:10" s="46" customFormat="1" ht="15.6">
      <c r="A33" s="12"/>
      <c r="B33" s="12" t="s">
        <v>273</v>
      </c>
      <c r="C33" s="12"/>
      <c r="D33" s="12"/>
      <c r="E33" s="12" t="s">
        <v>274</v>
      </c>
      <c r="F33" s="12"/>
      <c r="G33" s="12"/>
      <c r="H33" s="12" t="s">
        <v>286</v>
      </c>
      <c r="I33" s="12"/>
      <c r="J33" s="12"/>
    </row>
    <row r="34" spans="1:10" s="46" customFormat="1" ht="15.6">
      <c r="A34" s="12"/>
      <c r="B34" s="12"/>
      <c r="C34" s="12"/>
      <c r="D34" s="12"/>
      <c r="E34" s="12" t="s">
        <v>275</v>
      </c>
      <c r="F34" s="12"/>
      <c r="G34" s="12"/>
      <c r="H34" s="12" t="s">
        <v>287</v>
      </c>
      <c r="I34" s="12"/>
      <c r="J34" s="12"/>
    </row>
    <row r="35" spans="1:10" s="46" customFormat="1" ht="15.6">
      <c r="A35" s="12"/>
      <c r="B35" s="12"/>
      <c r="C35" s="12"/>
      <c r="D35" s="12"/>
      <c r="E35" s="12" t="s">
        <v>276</v>
      </c>
      <c r="F35" s="12"/>
      <c r="G35" s="12"/>
      <c r="H35" s="12" t="s">
        <v>288</v>
      </c>
      <c r="I35" s="12"/>
      <c r="J35" s="12"/>
    </row>
    <row r="36" spans="1:10" s="46" customFormat="1" ht="15.6">
      <c r="A36" s="12"/>
      <c r="B36" s="12" t="s">
        <v>271</v>
      </c>
      <c r="C36" s="12"/>
      <c r="D36" s="12"/>
      <c r="E36" s="12" t="s">
        <v>272</v>
      </c>
      <c r="F36" s="12"/>
      <c r="G36" s="12"/>
      <c r="H36" s="12" t="s">
        <v>285</v>
      </c>
      <c r="I36" s="12"/>
      <c r="J36" s="12"/>
    </row>
    <row r="37" spans="1:10" s="46" customFormat="1" ht="15.6">
      <c r="A37" s="12"/>
      <c r="B37" s="12" t="s">
        <v>325</v>
      </c>
      <c r="C37" s="12"/>
      <c r="D37" s="12"/>
      <c r="E37" s="12" t="s">
        <v>326</v>
      </c>
      <c r="F37" s="12"/>
      <c r="G37" s="12"/>
      <c r="H37" s="12" t="s">
        <v>323</v>
      </c>
      <c r="I37" s="12"/>
      <c r="J37" s="12"/>
    </row>
    <row r="38" spans="1:10" s="46" customFormat="1" ht="15.6">
      <c r="A38" s="12"/>
      <c r="B38" s="12" t="s">
        <v>269</v>
      </c>
      <c r="C38" s="12"/>
      <c r="D38" s="12"/>
      <c r="E38" s="12" t="s">
        <v>270</v>
      </c>
      <c r="F38" s="12"/>
      <c r="G38" s="12"/>
      <c r="H38" s="12" t="s">
        <v>324</v>
      </c>
      <c r="I38" s="12"/>
      <c r="J38" s="12"/>
    </row>
    <row r="39" spans="1:10" s="46" customFormat="1" ht="15.6">
      <c r="A39" s="12"/>
      <c r="B39" s="12" t="s">
        <v>405</v>
      </c>
      <c r="C39" s="12"/>
      <c r="D39" s="12"/>
      <c r="E39" s="12" t="s">
        <v>389</v>
      </c>
      <c r="F39" s="12"/>
      <c r="G39" s="12"/>
      <c r="H39" s="12" t="s">
        <v>390</v>
      </c>
      <c r="I39" s="12"/>
      <c r="J39" s="12"/>
    </row>
    <row r="40" spans="1:10" s="46" customFormat="1" ht="15.6">
      <c r="A40" s="12"/>
      <c r="B40" s="12"/>
      <c r="C40" s="12"/>
      <c r="D40" s="12"/>
      <c r="E40" s="12" t="s">
        <v>414</v>
      </c>
      <c r="F40" s="12"/>
      <c r="G40" s="12"/>
      <c r="H40" s="12" t="s">
        <v>415</v>
      </c>
      <c r="I40" s="12"/>
      <c r="J40" s="12"/>
    </row>
    <row r="41" spans="1:10" s="46" customFormat="1" ht="15.6">
      <c r="A41" s="12"/>
      <c r="B41" s="12"/>
      <c r="C41" s="12"/>
      <c r="D41" s="12"/>
      <c r="E41" s="12" t="s">
        <v>200</v>
      </c>
      <c r="F41" s="12"/>
      <c r="G41" s="12"/>
      <c r="H41" s="12" t="s">
        <v>284</v>
      </c>
      <c r="I41" s="12"/>
      <c r="J41" s="12"/>
    </row>
    <row r="42" spans="1:10" s="46" customFormat="1" ht="15.6">
      <c r="A42" s="12"/>
      <c r="B42" s="12" t="s">
        <v>362</v>
      </c>
      <c r="C42" s="12"/>
      <c r="D42" s="12"/>
      <c r="E42" s="12" t="s">
        <v>387</v>
      </c>
      <c r="F42" s="12"/>
      <c r="G42" s="12"/>
      <c r="H42" s="12" t="s">
        <v>388</v>
      </c>
      <c r="I42" s="12"/>
      <c r="J42" s="12"/>
    </row>
    <row r="43" spans="1:10" s="46" customFormat="1" ht="15.6">
      <c r="A43" s="12"/>
      <c r="B43" s="12"/>
      <c r="C43" s="12"/>
      <c r="D43" s="12"/>
      <c r="E43" s="12" t="s">
        <v>361</v>
      </c>
      <c r="F43" s="12"/>
      <c r="G43" s="12"/>
      <c r="H43" s="12" t="s">
        <v>363</v>
      </c>
      <c r="I43" s="12"/>
      <c r="J43" s="12"/>
    </row>
    <row r="44" spans="1:10" s="46" customFormat="1" ht="15.6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6"/>
    <row r="46" spans="1:10" s="46" customFormat="1" ht="15.6"/>
    <row r="47" spans="1:10" s="46" customFormat="1" ht="15.6"/>
    <row r="48" spans="1:10" s="46" customFormat="1" ht="15.6"/>
    <row r="49" s="46" customFormat="1" ht="15.6"/>
    <row r="50" s="46" customFormat="1" ht="15.6"/>
    <row r="51" s="46" customFormat="1" ht="15.6"/>
    <row r="52" s="46" customFormat="1" ht="15.6"/>
    <row r="53" s="46" customFormat="1" ht="15.6"/>
    <row r="54" s="46" customFormat="1" ht="15.6"/>
    <row r="55" s="46" customFormat="1" ht="15.6"/>
    <row r="56" s="46" customFormat="1" ht="15.6"/>
    <row r="57" s="46" customFormat="1" ht="15.6"/>
    <row r="58" s="46" customFormat="1" ht="15.6"/>
    <row r="59" s="46" customFormat="1" ht="15.6"/>
    <row r="60" s="46" customFormat="1" ht="15.6"/>
    <row r="61" s="46" customFormat="1" ht="15.6"/>
    <row r="62" s="46" customFormat="1" ht="15.6"/>
    <row r="63" s="46" customFormat="1" ht="15.6"/>
    <row r="64" s="46" customFormat="1" ht="15.6"/>
    <row r="65" s="46" customFormat="1" ht="15.6"/>
    <row r="66" s="46" customFormat="1" ht="15.6"/>
    <row r="67" s="46" customFormat="1" ht="15.6"/>
    <row r="68" s="46" customFormat="1" ht="15.6"/>
    <row r="69" s="46" customFormat="1" ht="15.6"/>
    <row r="70" s="46" customFormat="1" ht="15.6"/>
    <row r="71" s="46" customFormat="1" ht="15.6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19" sqref="B19"/>
    </sheetView>
  </sheetViews>
  <sheetFormatPr defaultColWidth="9.109375" defaultRowHeight="13.2"/>
  <cols>
    <col min="1" max="1" width="36" style="12" customWidth="1"/>
    <col min="2" max="26" width="14.5546875" style="12" customWidth="1"/>
    <col min="27" max="28" width="14.5546875" style="6" customWidth="1"/>
    <col min="29" max="37" width="14.5546875" style="12" customWidth="1"/>
    <col min="38" max="42" width="14.44140625" style="12" customWidth="1"/>
    <col min="43" max="16384" width="9.109375" style="12"/>
  </cols>
  <sheetData>
    <row r="2" spans="1:40" ht="17.399999999999999">
      <c r="A2" s="178" t="str">
        <f>Assumptions!A3</f>
        <v>PROJECT NAME: Homestead, Florida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7.399999999999999">
      <c r="A4" s="60" t="s">
        <v>93</v>
      </c>
      <c r="B4" s="519" t="s">
        <v>401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6"/>
      <c r="AB5" s="6"/>
      <c r="AG5"/>
    </row>
    <row r="6" spans="1:40" s="141" customFormat="1" ht="13.8">
      <c r="A6" s="47"/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/>
    </row>
    <row r="7" spans="1:40" ht="13.8" thickBot="1">
      <c r="A7" s="122" t="s">
        <v>39</v>
      </c>
      <c r="B7" s="214">
        <f>IS!C7</f>
        <v>2001</v>
      </c>
      <c r="C7" s="214">
        <f>B7+1</f>
        <v>2002</v>
      </c>
      <c r="D7" s="214">
        <f t="shared" ref="D7:AF7" si="0">C7+1</f>
        <v>2003</v>
      </c>
      <c r="E7" s="214">
        <f t="shared" si="0"/>
        <v>2004</v>
      </c>
      <c r="F7" s="214">
        <f t="shared" si="0"/>
        <v>2005</v>
      </c>
      <c r="G7" s="214">
        <f t="shared" si="0"/>
        <v>2006</v>
      </c>
      <c r="H7" s="214">
        <f t="shared" si="0"/>
        <v>2007</v>
      </c>
      <c r="I7" s="214">
        <f t="shared" si="0"/>
        <v>2008</v>
      </c>
      <c r="J7" s="214">
        <f t="shared" si="0"/>
        <v>2009</v>
      </c>
      <c r="K7" s="214">
        <f t="shared" si="0"/>
        <v>2010</v>
      </c>
      <c r="L7" s="214">
        <f t="shared" si="0"/>
        <v>2011</v>
      </c>
      <c r="M7" s="214">
        <f t="shared" si="0"/>
        <v>2012</v>
      </c>
      <c r="N7" s="214">
        <f t="shared" si="0"/>
        <v>2013</v>
      </c>
      <c r="O7" s="214">
        <f t="shared" si="0"/>
        <v>2014</v>
      </c>
      <c r="P7" s="214">
        <f t="shared" si="0"/>
        <v>2015</v>
      </c>
      <c r="Q7" s="214">
        <f t="shared" si="0"/>
        <v>2016</v>
      </c>
      <c r="R7" s="214">
        <f t="shared" si="0"/>
        <v>2017</v>
      </c>
      <c r="S7" s="214">
        <f t="shared" si="0"/>
        <v>2018</v>
      </c>
      <c r="T7" s="214">
        <f t="shared" si="0"/>
        <v>2019</v>
      </c>
      <c r="U7" s="214">
        <f t="shared" si="0"/>
        <v>2020</v>
      </c>
      <c r="V7" s="214">
        <f t="shared" si="0"/>
        <v>2021</v>
      </c>
      <c r="W7" s="214">
        <f t="shared" si="0"/>
        <v>2022</v>
      </c>
      <c r="X7" s="214">
        <f t="shared" si="0"/>
        <v>2023</v>
      </c>
      <c r="Y7" s="214">
        <f t="shared" si="0"/>
        <v>2024</v>
      </c>
      <c r="Z7" s="214">
        <f t="shared" si="0"/>
        <v>2025</v>
      </c>
      <c r="AA7" s="214">
        <f t="shared" si="0"/>
        <v>2026</v>
      </c>
      <c r="AB7" s="214">
        <f t="shared" si="0"/>
        <v>2027</v>
      </c>
      <c r="AC7" s="214">
        <f t="shared" si="0"/>
        <v>2028</v>
      </c>
      <c r="AD7" s="214">
        <f t="shared" si="0"/>
        <v>2029</v>
      </c>
      <c r="AE7" s="214">
        <f t="shared" si="0"/>
        <v>2030</v>
      </c>
      <c r="AF7" s="214">
        <f t="shared" si="0"/>
        <v>2031</v>
      </c>
      <c r="AG7"/>
      <c r="AH7" s="11"/>
    </row>
    <row r="8" spans="1:40" s="50" customFormat="1">
      <c r="A8" s="395"/>
      <c r="B8" s="394">
        <f>IS!C8</f>
        <v>37256</v>
      </c>
      <c r="C8" s="394">
        <f>IS!D8</f>
        <v>37621</v>
      </c>
      <c r="D8" s="394">
        <f>IS!E8</f>
        <v>37986</v>
      </c>
      <c r="E8" s="394">
        <f>IS!F8</f>
        <v>38352</v>
      </c>
      <c r="F8" s="394">
        <f>IS!G8</f>
        <v>38717</v>
      </c>
      <c r="G8" s="394">
        <f>IS!H8</f>
        <v>39082</v>
      </c>
      <c r="H8" s="394">
        <f>IS!I8</f>
        <v>39447</v>
      </c>
      <c r="I8" s="394">
        <f>IS!J8</f>
        <v>39813</v>
      </c>
      <c r="J8" s="394">
        <f>IS!K8</f>
        <v>40178</v>
      </c>
      <c r="K8" s="394">
        <f>IS!L8</f>
        <v>40543</v>
      </c>
      <c r="L8" s="394">
        <f>IS!M8</f>
        <v>40908</v>
      </c>
      <c r="M8" s="394">
        <f>IS!N8</f>
        <v>41274</v>
      </c>
      <c r="N8" s="394">
        <f>IS!O8</f>
        <v>41639</v>
      </c>
      <c r="O8" s="394">
        <f>IS!P8</f>
        <v>42004</v>
      </c>
      <c r="P8" s="394">
        <f>IS!Q8</f>
        <v>42369</v>
      </c>
      <c r="Q8" s="394">
        <f>IS!R8</f>
        <v>42735</v>
      </c>
      <c r="R8" s="394">
        <f>IS!S8</f>
        <v>43100</v>
      </c>
      <c r="S8" s="394">
        <f>IS!T8</f>
        <v>43465</v>
      </c>
      <c r="T8" s="394">
        <f>IS!U8</f>
        <v>43830</v>
      </c>
      <c r="U8" s="394">
        <f>IS!V8</f>
        <v>44196</v>
      </c>
      <c r="V8" s="394">
        <f>IS!W8</f>
        <v>44561</v>
      </c>
      <c r="W8" s="394">
        <f>IS!X8</f>
        <v>44926</v>
      </c>
      <c r="X8" s="394">
        <f>IS!Y8</f>
        <v>45291</v>
      </c>
      <c r="Y8" s="394">
        <f>IS!Z8</f>
        <v>45657</v>
      </c>
      <c r="Z8" s="394">
        <f>IS!AA8</f>
        <v>46022</v>
      </c>
      <c r="AA8" s="394">
        <f>IS!AB8</f>
        <v>46387</v>
      </c>
      <c r="AB8" s="394">
        <f>IS!AC8</f>
        <v>46752</v>
      </c>
      <c r="AC8" s="394">
        <f>IS!AD8</f>
        <v>47118</v>
      </c>
      <c r="AD8" s="394">
        <f>IS!AE8</f>
        <v>47483</v>
      </c>
      <c r="AE8" s="394">
        <f>IS!AF8</f>
        <v>47848</v>
      </c>
      <c r="AF8" s="394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7" t="s">
        <v>383</v>
      </c>
      <c r="B11" s="388">
        <f>B29+B38</f>
        <v>10031.382295081965</v>
      </c>
      <c r="C11" s="388">
        <f t="shared" ref="C11:AF11" si="1">C29+C38</f>
        <v>24124.42526656187</v>
      </c>
      <c r="D11" s="388">
        <f t="shared" si="1"/>
        <v>24182.514410958902</v>
      </c>
      <c r="E11" s="388">
        <f t="shared" si="1"/>
        <v>24190.697699528409</v>
      </c>
      <c r="F11" s="388">
        <f t="shared" si="1"/>
        <v>24149.317936811312</v>
      </c>
      <c r="G11" s="388">
        <f t="shared" si="1"/>
        <v>24157.166611904868</v>
      </c>
      <c r="H11" s="388">
        <f t="shared" si="1"/>
        <v>24148.377144142967</v>
      </c>
      <c r="I11" s="388">
        <f t="shared" si="1"/>
        <v>24155.853851856264</v>
      </c>
      <c r="J11" s="388">
        <f t="shared" si="1"/>
        <v>24113.825359935916</v>
      </c>
      <c r="K11" s="388">
        <f t="shared" si="1"/>
        <v>24120.939871261675</v>
      </c>
      <c r="L11" s="388">
        <f t="shared" si="1"/>
        <v>24111.425868686907</v>
      </c>
      <c r="M11" s="388">
        <f t="shared" si="1"/>
        <v>24118.137750557798</v>
      </c>
      <c r="N11" s="388">
        <f t="shared" si="1"/>
        <v>24075.407053284707</v>
      </c>
      <c r="O11" s="388">
        <f t="shared" si="1"/>
        <v>24081.726882137496</v>
      </c>
      <c r="P11" s="464">
        <f t="shared" si="1"/>
        <v>24071.428619780247</v>
      </c>
      <c r="Q11" s="388">
        <f t="shared" si="1"/>
        <v>24077.312629562519</v>
      </c>
      <c r="R11" s="388">
        <f t="shared" si="1"/>
        <v>24033.8218426327</v>
      </c>
      <c r="S11" s="388">
        <f t="shared" si="1"/>
        <v>24039.281481619757</v>
      </c>
      <c r="T11" s="388">
        <f t="shared" si="1"/>
        <v>24028.13431125215</v>
      </c>
      <c r="U11" s="388">
        <f t="shared" si="1"/>
        <v>24033.122205661341</v>
      </c>
      <c r="V11" s="388">
        <f t="shared" si="1"/>
        <v>12543.872130214049</v>
      </c>
      <c r="W11" s="388">
        <f t="shared" si="1"/>
        <v>1727.9546341464347</v>
      </c>
      <c r="X11" s="388">
        <f t="shared" si="1"/>
        <v>-615.36884064361971</v>
      </c>
      <c r="Y11" s="388">
        <f t="shared" si="1"/>
        <v>-628.10588384781215</v>
      </c>
      <c r="Z11" s="388">
        <f t="shared" si="1"/>
        <v>-639.80007541430064</v>
      </c>
      <c r="AA11" s="388">
        <f t="shared" si="1"/>
        <v>-653.03433664173394</v>
      </c>
      <c r="AB11" s="388">
        <f t="shared" si="1"/>
        <v>-666.09502337456854</v>
      </c>
      <c r="AC11" s="388">
        <f t="shared" si="1"/>
        <v>-679.88200856209687</v>
      </c>
      <c r="AD11" s="388">
        <f t="shared" si="1"/>
        <v>-692.54017759886426</v>
      </c>
      <c r="AE11" s="388">
        <f t="shared" si="1"/>
        <v>-706.86536756527937</v>
      </c>
      <c r="AF11" s="464">
        <f t="shared" si="1"/>
        <v>-901.64256987922113</v>
      </c>
      <c r="AG11"/>
      <c r="AN11" s="524">
        <f>IF(MONTH(C23)=MONTH(Assumptions!G34),1,2)</f>
        <v>1</v>
      </c>
    </row>
    <row r="12" spans="1:40">
      <c r="A12" s="389" t="s">
        <v>0</v>
      </c>
      <c r="B12" s="385">
        <v>1.3</v>
      </c>
      <c r="C12" s="385">
        <v>1.3</v>
      </c>
      <c r="D12" s="385">
        <v>1.3</v>
      </c>
      <c r="E12" s="385">
        <v>1.3</v>
      </c>
      <c r="F12" s="385">
        <v>1.3</v>
      </c>
      <c r="G12" s="385">
        <v>1.3</v>
      </c>
      <c r="H12" s="385">
        <v>1.3</v>
      </c>
      <c r="I12" s="385">
        <v>1.3</v>
      </c>
      <c r="J12" s="385">
        <v>1.3</v>
      </c>
      <c r="K12" s="385">
        <v>1.3</v>
      </c>
      <c r="L12" s="385">
        <v>1.3</v>
      </c>
      <c r="M12" s="385">
        <v>1.3</v>
      </c>
      <c r="N12" s="385">
        <v>1.3</v>
      </c>
      <c r="O12" s="385">
        <v>1.3</v>
      </c>
      <c r="P12" s="390">
        <v>1.3</v>
      </c>
      <c r="Q12" s="385">
        <v>1.3</v>
      </c>
      <c r="R12" s="385">
        <v>1.3</v>
      </c>
      <c r="S12" s="385">
        <v>1.3</v>
      </c>
      <c r="T12" s="385">
        <v>1.3</v>
      </c>
      <c r="U12" s="385">
        <v>1.3</v>
      </c>
      <c r="V12" s="385">
        <v>1.3</v>
      </c>
      <c r="W12" s="385">
        <v>1.3</v>
      </c>
      <c r="X12" s="385">
        <v>1.3</v>
      </c>
      <c r="Y12" s="385">
        <v>1.3</v>
      </c>
      <c r="Z12" s="385">
        <v>1.3</v>
      </c>
      <c r="AA12" s="385">
        <v>1.3</v>
      </c>
      <c r="AB12" s="385">
        <v>1.3</v>
      </c>
      <c r="AC12" s="385">
        <v>1.3</v>
      </c>
      <c r="AD12" s="385">
        <v>1.3</v>
      </c>
      <c r="AE12" s="385">
        <v>1.3</v>
      </c>
      <c r="AF12" s="390">
        <v>1.3</v>
      </c>
      <c r="AG12"/>
      <c r="AN12" s="524">
        <f>IF(AN11=1,6,15)</f>
        <v>6</v>
      </c>
    </row>
    <row r="13" spans="1:40">
      <c r="A13" s="391" t="s">
        <v>318</v>
      </c>
      <c r="B13" s="306">
        <f>B11/B12</f>
        <v>7716.4479192938188</v>
      </c>
      <c r="C13" s="306">
        <f t="shared" ref="C13:AF13" si="2">C11/C12</f>
        <v>18557.250205047592</v>
      </c>
      <c r="D13" s="306">
        <f t="shared" si="2"/>
        <v>18601.934162276077</v>
      </c>
      <c r="E13" s="306">
        <f t="shared" si="2"/>
        <v>18608.228999637238</v>
      </c>
      <c r="F13" s="306">
        <f t="shared" si="2"/>
        <v>18576.39841293178</v>
      </c>
      <c r="G13" s="306">
        <f t="shared" si="2"/>
        <v>18582.435855311436</v>
      </c>
      <c r="H13" s="306">
        <f t="shared" si="2"/>
        <v>18575.67472626382</v>
      </c>
      <c r="I13" s="306">
        <f t="shared" si="2"/>
        <v>18581.426039889433</v>
      </c>
      <c r="J13" s="306">
        <f t="shared" si="2"/>
        <v>18549.096430719936</v>
      </c>
      <c r="K13" s="306">
        <f t="shared" si="2"/>
        <v>18554.56913173975</v>
      </c>
      <c r="L13" s="306">
        <f t="shared" si="2"/>
        <v>18547.250668220699</v>
      </c>
      <c r="M13" s="306">
        <f t="shared" si="2"/>
        <v>18552.413654275228</v>
      </c>
      <c r="N13" s="306">
        <f t="shared" si="2"/>
        <v>18519.543887142081</v>
      </c>
      <c r="O13" s="306">
        <f t="shared" si="2"/>
        <v>18524.405293951921</v>
      </c>
      <c r="P13" s="392">
        <f t="shared" si="2"/>
        <v>18516.483553677113</v>
      </c>
      <c r="Q13" s="306">
        <f t="shared" si="2"/>
        <v>18521.009715048091</v>
      </c>
      <c r="R13" s="306">
        <f t="shared" si="2"/>
        <v>18487.555263563616</v>
      </c>
      <c r="S13" s="306">
        <f t="shared" si="2"/>
        <v>18491.754985861349</v>
      </c>
      <c r="T13" s="306">
        <f t="shared" si="2"/>
        <v>18483.180239424732</v>
      </c>
      <c r="U13" s="306">
        <f t="shared" si="2"/>
        <v>18487.017081277954</v>
      </c>
      <c r="V13" s="306">
        <f t="shared" si="2"/>
        <v>9649.1324078569614</v>
      </c>
      <c r="W13" s="306">
        <f t="shared" si="2"/>
        <v>1329.1958724203344</v>
      </c>
      <c r="X13" s="306">
        <f t="shared" si="2"/>
        <v>-473.3606466489382</v>
      </c>
      <c r="Y13" s="306">
        <f t="shared" si="2"/>
        <v>-483.15837219062473</v>
      </c>
      <c r="Z13" s="306">
        <f t="shared" si="2"/>
        <v>-492.15390416484661</v>
      </c>
      <c r="AA13" s="306">
        <f t="shared" si="2"/>
        <v>-502.3341051090261</v>
      </c>
      <c r="AB13" s="306">
        <f t="shared" si="2"/>
        <v>-512.38078721120655</v>
      </c>
      <c r="AC13" s="306">
        <f t="shared" si="2"/>
        <v>-522.98616043238223</v>
      </c>
      <c r="AD13" s="306">
        <f t="shared" si="2"/>
        <v>-532.72321353758787</v>
      </c>
      <c r="AE13" s="306">
        <f t="shared" si="2"/>
        <v>-543.74259043483028</v>
      </c>
      <c r="AF13" s="392">
        <f t="shared" si="2"/>
        <v>-693.57120759940085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4"/>
      <c r="C16" s="65"/>
      <c r="AG16"/>
    </row>
    <row r="17" spans="1:33">
      <c r="A17" s="53"/>
      <c r="B17" s="224"/>
      <c r="C17" s="526"/>
      <c r="AG17"/>
    </row>
    <row r="18" spans="1:33">
      <c r="A18" s="53"/>
      <c r="B18" s="224"/>
      <c r="AG18"/>
    </row>
    <row r="19" spans="1:33">
      <c r="A19" s="11" t="s">
        <v>342</v>
      </c>
      <c r="B19" s="398">
        <v>81657.998843824083</v>
      </c>
      <c r="S19" s="18"/>
      <c r="AF19" s="65"/>
      <c r="AG19"/>
    </row>
    <row r="20" spans="1:33">
      <c r="A20" s="11" t="s">
        <v>341</v>
      </c>
      <c r="B20" s="403">
        <f>HLOOKUP(Assumptions!G34,B23:AF39,AN12)</f>
        <v>0</v>
      </c>
      <c r="AF20" s="526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3">
        <v>36982</v>
      </c>
      <c r="C23" s="393">
        <v>37347</v>
      </c>
      <c r="D23" s="393">
        <v>37712</v>
      </c>
      <c r="E23" s="393">
        <v>38078</v>
      </c>
      <c r="F23" s="393">
        <v>38443</v>
      </c>
      <c r="G23" s="393">
        <v>38808</v>
      </c>
      <c r="H23" s="393">
        <v>39173</v>
      </c>
      <c r="I23" s="393">
        <v>39539</v>
      </c>
      <c r="J23" s="393">
        <v>39904</v>
      </c>
      <c r="K23" s="393">
        <v>40269</v>
      </c>
      <c r="L23" s="393">
        <v>40634</v>
      </c>
      <c r="M23" s="393">
        <v>41000</v>
      </c>
      <c r="N23" s="393">
        <v>41365</v>
      </c>
      <c r="O23" s="393">
        <v>41730</v>
      </c>
      <c r="P23" s="393">
        <v>42095</v>
      </c>
      <c r="Q23" s="393">
        <v>42461</v>
      </c>
      <c r="R23" s="393">
        <v>42826</v>
      </c>
      <c r="S23" s="393">
        <v>43191</v>
      </c>
      <c r="T23" s="393">
        <v>43556</v>
      </c>
      <c r="U23" s="393">
        <v>43922</v>
      </c>
      <c r="V23" s="393">
        <v>44287</v>
      </c>
      <c r="W23" s="393">
        <v>44652</v>
      </c>
      <c r="X23" s="393">
        <v>45017</v>
      </c>
      <c r="Y23" s="393">
        <v>45383</v>
      </c>
      <c r="Z23" s="393">
        <v>45748</v>
      </c>
      <c r="AA23" s="393">
        <v>46113</v>
      </c>
      <c r="AB23" s="393">
        <v>46478</v>
      </c>
      <c r="AC23" s="393">
        <v>46844</v>
      </c>
      <c r="AD23" s="393">
        <v>47209</v>
      </c>
      <c r="AE23" s="393">
        <v>47574</v>
      </c>
      <c r="AF23" s="393">
        <v>47939</v>
      </c>
      <c r="AG23" s="527">
        <v>47969</v>
      </c>
    </row>
    <row r="24" spans="1:33">
      <c r="A24" s="48" t="s">
        <v>55</v>
      </c>
      <c r="B24"/>
      <c r="C24" s="48">
        <f>B45</f>
        <v>76763.530638167969</v>
      </c>
      <c r="D24" s="48">
        <f t="shared" ref="D24:AF24" si="3">C45</f>
        <v>64284.971371897373</v>
      </c>
      <c r="E24" s="48">
        <f t="shared" si="3"/>
        <v>50711.215394561368</v>
      </c>
      <c r="F24" s="48">
        <f t="shared" si="3"/>
        <v>35992.122673905389</v>
      </c>
      <c r="G24" s="48">
        <f t="shared" si="3"/>
        <v>20060.022504854802</v>
      </c>
      <c r="H24" s="48">
        <f t="shared" si="3"/>
        <v>2782.3588576101902</v>
      </c>
      <c r="I24" s="48">
        <f t="shared" si="3"/>
        <v>0</v>
      </c>
      <c r="J24" s="48">
        <f t="shared" si="3"/>
        <v>0</v>
      </c>
      <c r="K24" s="48">
        <f t="shared" si="3"/>
        <v>0</v>
      </c>
      <c r="L24" s="48">
        <f t="shared" si="3"/>
        <v>0</v>
      </c>
      <c r="M24" s="48">
        <f t="shared" si="3"/>
        <v>0</v>
      </c>
      <c r="N24" s="48">
        <f t="shared" si="3"/>
        <v>0</v>
      </c>
      <c r="O24" s="48">
        <f t="shared" si="3"/>
        <v>0</v>
      </c>
      <c r="P24" s="48">
        <f t="shared" si="3"/>
        <v>0</v>
      </c>
      <c r="Q24" s="48">
        <f t="shared" si="3"/>
        <v>0</v>
      </c>
      <c r="R24" s="48">
        <f t="shared" si="3"/>
        <v>0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0</v>
      </c>
      <c r="Y24" s="48">
        <f t="shared" si="3"/>
        <v>483.15045810480444</v>
      </c>
      <c r="Z24" s="48">
        <f t="shared" si="3"/>
        <v>1016.9842673645808</v>
      </c>
      <c r="AA24" s="48">
        <f t="shared" si="3"/>
        <v>1604.8887906768016</v>
      </c>
      <c r="AB24" s="48">
        <f t="shared" si="3"/>
        <v>2252.7460453372128</v>
      </c>
      <c r="AC24" s="48">
        <f t="shared" si="3"/>
        <v>2965.4083474693857</v>
      </c>
      <c r="AD24" s="48">
        <f t="shared" si="3"/>
        <v>3749.0466383118992</v>
      </c>
      <c r="AE24" s="48">
        <f t="shared" si="3"/>
        <v>4608.243503667034</v>
      </c>
      <c r="AF24" s="48">
        <f t="shared" si="3"/>
        <v>5551.252754742517</v>
      </c>
      <c r="AG24"/>
    </row>
    <row r="25" spans="1:33">
      <c r="A25" s="48" t="s">
        <v>319</v>
      </c>
      <c r="B25"/>
      <c r="C25" s="383">
        <v>0</v>
      </c>
      <c r="D25" s="383">
        <v>0</v>
      </c>
      <c r="E25" s="383">
        <v>0</v>
      </c>
      <c r="F25" s="383">
        <v>0</v>
      </c>
      <c r="G25" s="383">
        <v>0</v>
      </c>
      <c r="H25" s="383">
        <v>0</v>
      </c>
      <c r="I25" s="383">
        <v>0</v>
      </c>
      <c r="J25" s="383">
        <v>0</v>
      </c>
      <c r="K25" s="383">
        <v>0</v>
      </c>
      <c r="L25" s="383">
        <v>0</v>
      </c>
      <c r="M25" s="383">
        <v>0</v>
      </c>
      <c r="N25" s="383">
        <v>0</v>
      </c>
      <c r="O25" s="383">
        <v>0</v>
      </c>
      <c r="P25" s="383">
        <v>0</v>
      </c>
      <c r="Q25" s="383">
        <v>0</v>
      </c>
      <c r="R25" s="383">
        <v>0</v>
      </c>
      <c r="S25" s="383">
        <v>0</v>
      </c>
      <c r="T25" s="383">
        <v>0</v>
      </c>
      <c r="U25" s="383">
        <v>0</v>
      </c>
      <c r="V25" s="383">
        <v>0</v>
      </c>
      <c r="W25" s="383">
        <v>0</v>
      </c>
      <c r="X25" s="383">
        <v>0</v>
      </c>
      <c r="Y25" s="383">
        <v>0</v>
      </c>
      <c r="Z25" s="383">
        <v>0</v>
      </c>
      <c r="AA25" s="383">
        <v>0</v>
      </c>
      <c r="AB25" s="383">
        <v>0</v>
      </c>
      <c r="AC25" s="383">
        <v>0</v>
      </c>
      <c r="AD25" s="383">
        <v>0</v>
      </c>
      <c r="AE25" s="383">
        <v>0</v>
      </c>
      <c r="AF25" s="383">
        <v>0</v>
      </c>
      <c r="AG25"/>
    </row>
    <row r="26" spans="1:33">
      <c r="A26" s="48" t="s">
        <v>56</v>
      </c>
      <c r="B26"/>
      <c r="C26" s="48">
        <f t="shared" ref="C26:AF26" si="4">C24-C28</f>
        <v>6121.8854993187852</v>
      </c>
      <c r="D26" s="48">
        <f t="shared" si="4"/>
        <v>6656.4770944283446</v>
      </c>
      <c r="E26" s="48">
        <f t="shared" si="4"/>
        <v>7209.4269924254622</v>
      </c>
      <c r="F26" s="48">
        <f t="shared" si="4"/>
        <v>7809.614436855547</v>
      </c>
      <c r="G26" s="48">
        <f t="shared" si="4"/>
        <v>8466.0090566683321</v>
      </c>
      <c r="H26" s="48">
        <f t="shared" si="4"/>
        <v>2782.3588576101902</v>
      </c>
      <c r="I26" s="48">
        <f t="shared" si="4"/>
        <v>0</v>
      </c>
      <c r="J26" s="48">
        <f t="shared" si="4"/>
        <v>0</v>
      </c>
      <c r="K26" s="48">
        <f t="shared" si="4"/>
        <v>0</v>
      </c>
      <c r="L26" s="48">
        <f t="shared" si="4"/>
        <v>0</v>
      </c>
      <c r="M26" s="48">
        <f t="shared" si="4"/>
        <v>0</v>
      </c>
      <c r="N26" s="48">
        <f t="shared" si="4"/>
        <v>0</v>
      </c>
      <c r="O26" s="48">
        <f t="shared" si="4"/>
        <v>0</v>
      </c>
      <c r="P26" s="48">
        <f t="shared" si="4"/>
        <v>0</v>
      </c>
      <c r="Q26" s="48">
        <f t="shared" si="4"/>
        <v>0</v>
      </c>
      <c r="R26" s="48">
        <f t="shared" si="4"/>
        <v>0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0</v>
      </c>
      <c r="X26" s="48">
        <f t="shared" si="4"/>
        <v>-236.6803233244691</v>
      </c>
      <c r="Y26" s="48">
        <f t="shared" si="4"/>
        <v>-261.53629461478101</v>
      </c>
      <c r="Z26" s="48">
        <f t="shared" si="4"/>
        <v>-287.85546740596646</v>
      </c>
      <c r="AA26" s="48">
        <f t="shared" si="4"/>
        <v>-317.18734075180669</v>
      </c>
      <c r="AB26" s="48">
        <f t="shared" si="4"/>
        <v>-348.86157681310533</v>
      </c>
      <c r="AC26" s="48">
        <f t="shared" si="4"/>
        <v>-383.98282477139037</v>
      </c>
      <c r="AD26" s="48">
        <f t="shared" si="4"/>
        <v>-420.37539779162125</v>
      </c>
      <c r="AE26" s="48">
        <f t="shared" si="4"/>
        <v>-461.44054510114256</v>
      </c>
      <c r="AF26" s="48">
        <f t="shared" si="4"/>
        <v>-575.14741232698543</v>
      </c>
      <c r="AG26"/>
    </row>
    <row r="27" spans="1:33">
      <c r="A27" s="48" t="s">
        <v>57</v>
      </c>
      <c r="B27"/>
      <c r="C27" s="386">
        <f t="shared" ref="C27:AF27" si="5">C24*(C23-B41)/(C41-B41)*$E$64</f>
        <v>1578.910154153551</v>
      </c>
      <c r="D27" s="386">
        <f t="shared" si="5"/>
        <v>1322.244993354848</v>
      </c>
      <c r="E27" s="386">
        <f t="shared" si="5"/>
        <v>1051.6342208872154</v>
      </c>
      <c r="F27" s="386">
        <f t="shared" si="5"/>
        <v>740.30372869683481</v>
      </c>
      <c r="G27" s="386">
        <f t="shared" si="5"/>
        <v>412.60443549369154</v>
      </c>
      <c r="H27" s="386">
        <f t="shared" si="5"/>
        <v>57.22892910550275</v>
      </c>
      <c r="I27" s="386">
        <f t="shared" si="5"/>
        <v>0</v>
      </c>
      <c r="J27" s="386">
        <f t="shared" si="5"/>
        <v>0</v>
      </c>
      <c r="K27" s="386">
        <f t="shared" si="5"/>
        <v>0</v>
      </c>
      <c r="L27" s="386">
        <f t="shared" si="5"/>
        <v>0</v>
      </c>
      <c r="M27" s="386">
        <f t="shared" si="5"/>
        <v>0</v>
      </c>
      <c r="N27" s="386">
        <f t="shared" si="5"/>
        <v>0</v>
      </c>
      <c r="O27" s="386">
        <f t="shared" si="5"/>
        <v>0</v>
      </c>
      <c r="P27" s="386">
        <f t="shared" si="5"/>
        <v>0</v>
      </c>
      <c r="Q27" s="386">
        <f t="shared" si="5"/>
        <v>0</v>
      </c>
      <c r="R27" s="386">
        <f t="shared" si="5"/>
        <v>0</v>
      </c>
      <c r="S27" s="386">
        <f t="shared" si="5"/>
        <v>0</v>
      </c>
      <c r="T27" s="386">
        <f t="shared" si="5"/>
        <v>0</v>
      </c>
      <c r="U27" s="386">
        <f t="shared" si="5"/>
        <v>0</v>
      </c>
      <c r="V27" s="386">
        <f t="shared" si="5"/>
        <v>0</v>
      </c>
      <c r="W27" s="386">
        <f t="shared" si="5"/>
        <v>0</v>
      </c>
      <c r="X27" s="386">
        <f t="shared" si="5"/>
        <v>0</v>
      </c>
      <c r="Y27" s="386">
        <f t="shared" si="5"/>
        <v>10.019431631189798</v>
      </c>
      <c r="Z27" s="386">
        <f t="shared" si="5"/>
        <v>20.917833937642712</v>
      </c>
      <c r="AA27" s="386">
        <f t="shared" si="5"/>
        <v>33.010144098646819</v>
      </c>
      <c r="AB27" s="386">
        <f t="shared" si="5"/>
        <v>46.335591603751027</v>
      </c>
      <c r="AC27" s="386">
        <f t="shared" si="5"/>
        <v>61.495763271291359</v>
      </c>
      <c r="AD27" s="386">
        <f t="shared" si="5"/>
        <v>77.112240101716679</v>
      </c>
      <c r="AE27" s="386">
        <f t="shared" si="5"/>
        <v>94.784624941863726</v>
      </c>
      <c r="AF27" s="386">
        <f t="shared" si="5"/>
        <v>114.18090426364233</v>
      </c>
      <c r="AG27"/>
    </row>
    <row r="28" spans="1:33">
      <c r="A28" s="48" t="s">
        <v>58</v>
      </c>
      <c r="B28"/>
      <c r="C28" s="162">
        <f t="shared" ref="C28:AF28" si="6">MAX(C24+C25+B44+C27-0.5*C13,0)</f>
        <v>70641.645138849184</v>
      </c>
      <c r="D28" s="162">
        <f t="shared" si="6"/>
        <v>57628.494277469028</v>
      </c>
      <c r="E28" s="162">
        <f t="shared" si="6"/>
        <v>43501.788402135906</v>
      </c>
      <c r="F28" s="162">
        <f t="shared" si="6"/>
        <v>28182.508237049842</v>
      </c>
      <c r="G28" s="162">
        <f t="shared" si="6"/>
        <v>11594.01344818647</v>
      </c>
      <c r="H28" s="162">
        <f t="shared" si="6"/>
        <v>0</v>
      </c>
      <c r="I28" s="162">
        <f t="shared" si="6"/>
        <v>0</v>
      </c>
      <c r="J28" s="162">
        <f t="shared" si="6"/>
        <v>0</v>
      </c>
      <c r="K28" s="162">
        <f t="shared" si="6"/>
        <v>0</v>
      </c>
      <c r="L28" s="162">
        <f t="shared" si="6"/>
        <v>0</v>
      </c>
      <c r="M28" s="162">
        <f t="shared" si="6"/>
        <v>0</v>
      </c>
      <c r="N28" s="162">
        <f t="shared" si="6"/>
        <v>0</v>
      </c>
      <c r="O28" s="162">
        <f t="shared" si="6"/>
        <v>0</v>
      </c>
      <c r="P28" s="162">
        <f t="shared" si="6"/>
        <v>0</v>
      </c>
      <c r="Q28" s="162">
        <f t="shared" si="6"/>
        <v>0</v>
      </c>
      <c r="R28" s="162">
        <f t="shared" si="6"/>
        <v>0</v>
      </c>
      <c r="S28" s="162">
        <f t="shared" si="6"/>
        <v>0</v>
      </c>
      <c r="T28" s="162">
        <f t="shared" si="6"/>
        <v>0</v>
      </c>
      <c r="U28" s="162">
        <f t="shared" si="6"/>
        <v>0</v>
      </c>
      <c r="V28" s="162">
        <f t="shared" si="6"/>
        <v>0</v>
      </c>
      <c r="W28" s="162">
        <f t="shared" si="6"/>
        <v>0</v>
      </c>
      <c r="X28" s="162">
        <f t="shared" si="6"/>
        <v>236.6803233244691</v>
      </c>
      <c r="Y28" s="162">
        <f t="shared" si="6"/>
        <v>744.68675271958546</v>
      </c>
      <c r="Z28" s="162">
        <f t="shared" si="6"/>
        <v>1304.8397347705472</v>
      </c>
      <c r="AA28" s="162">
        <f t="shared" si="6"/>
        <v>1922.0761314286083</v>
      </c>
      <c r="AB28" s="162">
        <f t="shared" si="6"/>
        <v>2601.6076221503181</v>
      </c>
      <c r="AC28" s="162">
        <f t="shared" si="6"/>
        <v>3349.3911722407761</v>
      </c>
      <c r="AD28" s="162">
        <f t="shared" si="6"/>
        <v>4169.4220361035204</v>
      </c>
      <c r="AE28" s="162">
        <f t="shared" si="6"/>
        <v>5069.6840487681766</v>
      </c>
      <c r="AF28" s="162">
        <f t="shared" si="6"/>
        <v>6126.4001670695025</v>
      </c>
      <c r="AG28"/>
    </row>
    <row r="29" spans="1:33">
      <c r="A29" s="48" t="s">
        <v>321</v>
      </c>
      <c r="B29"/>
      <c r="C29" s="162">
        <f>(C23-B41)/(C41-B41)*IS!D32+(B41-B32)/(B41-Assumptions!H17)*IS!C32</f>
        <v>11996.970143274197</v>
      </c>
      <c r="D29" s="162">
        <f>(D23-C41)/(D41-C41)*IS!E32+(C41-C32)/(C41-B41)*IS!D32</f>
        <v>12059.150465753424</v>
      </c>
      <c r="E29" s="162">
        <f>(E23-D41)/(E41-D41)*IS!F32+(D41-D32)/(D41-C41)*IS!E32</f>
        <v>12104.619299528407</v>
      </c>
      <c r="F29" s="162">
        <f>(F23-E41)/(F41-E41)*IS!G32+(E41-E32)/(E41-D41)*IS!F32</f>
        <v>12034.383454926385</v>
      </c>
      <c r="G29" s="162">
        <f>(G23-F41)/(G41-F41)*IS!H32+(F41-F32)/(F41-E41)*IS!G32</f>
        <v>12046.573720930188</v>
      </c>
      <c r="H29" s="162">
        <f>(H23-G41)/(H41-G41)*IS!I32+(G41-G32)/(G41-F41)*IS!H32</f>
        <v>12042.212675896737</v>
      </c>
      <c r="I29" s="162">
        <f>(I23-H41)/(I41-H41)*IS!J32+(H41-H32)/(H41-G41)*IS!I32</f>
        <v>12087.27098538612</v>
      </c>
      <c r="J29" s="162">
        <f>(J23-I41)/(J41-I41)*IS!K32+(I41-I32)/(I41-H41)*IS!J32</f>
        <v>12016.785213879382</v>
      </c>
      <c r="K29" s="162">
        <f>(K23-J41)/(K41-J41)*IS!L32+(J41-J32)/(J41-I41)*IS!K32</f>
        <v>12028.599202831958</v>
      </c>
      <c r="L29" s="162">
        <f>(L23-K41)/(L41-K41)*IS!M32+(K41-K32)/(K41-J41)*IS!L32</f>
        <v>12023.878667436542</v>
      </c>
      <c r="M29" s="162">
        <f>(M23-L41)/(M41-L41)*IS!N32+(L41-L32)/(L41-K41)*IS!M32</f>
        <v>12068.492612236729</v>
      </c>
      <c r="N29" s="162">
        <f>(N23-M41)/(N41-M41)*IS!O32+(M41-M32)/(M41-L41)*IS!N32</f>
        <v>11997.736311810677</v>
      </c>
      <c r="O29" s="162">
        <f>(O23-N41)/(O41-N41)*IS!P32+(N41-N32)/(N41-M41)*IS!O32</f>
        <v>12009.14300638193</v>
      </c>
      <c r="P29" s="162">
        <f>(P23-O41)/(P41-O41)*IS!Q32+(O41-O32)/(O41-N41)*IS!P32</f>
        <v>12004.033347057513</v>
      </c>
      <c r="Q29" s="162">
        <f>(Q23-P41)/(Q41-P41)*IS!R32+(P41-P32)/(P41-O41)*IS!Q32</f>
        <v>12048.166297227348</v>
      </c>
      <c r="R29" s="162">
        <f>(R23-Q41)/(R41-Q41)*IS!S32+(Q41-Q32)/(Q41-P41)*IS!R32</f>
        <v>11977.117167598819</v>
      </c>
      <c r="S29" s="162">
        <f>(S23-R41)/(S41-R41)*IS!T32+(R41-R32)/(R41-Q41)*IS!S32</f>
        <v>11988.082993633143</v>
      </c>
      <c r="T29" s="162">
        <f>(T23-S41)/(T41-S41)*IS!U32+(S41-S32)/(S41-R41)*IS!T32</f>
        <v>11982.552134053749</v>
      </c>
      <c r="U29" s="162">
        <f>(U23-T41)/(U41-T41)*IS!V32+(T41-T32)/(T41-S41)*IS!U32</f>
        <v>12026.1644401669</v>
      </c>
      <c r="V29" s="162">
        <f>(V23-U41)/(V41-U41)*IS!W32+(U41-U32)/(U41-T41)*IS!V32</f>
        <v>8153.7427755820163</v>
      </c>
      <c r="W29" s="162">
        <f>(W23-V41)/(W41-V41)*IS!X32+(V41-V32)/(V41-U41)*IS!W32</f>
        <v>2031.9184050322649</v>
      </c>
      <c r="X29" s="162">
        <f>(X23-W41)/(X41-W41)*IS!Y32+(W41-W32)/(W41-V41)*IS!X32</f>
        <v>-305.32579434007278</v>
      </c>
      <c r="Y29" s="162">
        <f>(Y23-X41)/(Y41-X41)*IS!Z32+(X41-X32)/(X41-W41)*IS!Y32</f>
        <v>-312.72603100953268</v>
      </c>
      <c r="Z29" s="162">
        <f>(Z23-Y41)/(Z41-Y41)*IS!AA32+(Y41-Y32)/(Y41-X41)*IS!Z32</f>
        <v>-317.23129004009047</v>
      </c>
      <c r="AA29" s="162">
        <f>(AA23-Z41)/(AA41-Z41)*IS!AB32+(Z41-Z32)/(Z41-Y41)*IS!AA32</f>
        <v>-324.0141755600398</v>
      </c>
      <c r="AB29" s="162">
        <f>(AB23-AA41)/(AB41-AA41)*IS!AC32+(AA41-AA32)/(AA41-Z41)*IS!AB32</f>
        <v>-330.4944590712405</v>
      </c>
      <c r="AC29" s="162">
        <f>(AC23-AB41)/(AC41-AB41)*IS!AD32+(AB41-AB32)/(AB41-AA41)*IS!AC32</f>
        <v>-338.50471323387546</v>
      </c>
      <c r="AD29" s="162">
        <f>(AD23-AC41)/(AD41-AC41)*IS!AE32+(AC41-AC32)/(AC41-AB41)*IS!AD32</f>
        <v>-343.38135049768175</v>
      </c>
      <c r="AE29" s="162">
        <f>(AE23-AD41)/(AE41-AD41)*IS!AF32+(AD41-AD32)/(AD41-AC41)*IS!AE32</f>
        <v>-350.72336392207308</v>
      </c>
      <c r="AF29" s="162">
        <f>(AF23-AE41)/(AG23-AE41)*IS!AG32+(AE41-AE32)/(AE41-AD41)*IS!AF32</f>
        <v>-722.00340451359898</v>
      </c>
      <c r="AG29"/>
    </row>
    <row r="30" spans="1:33">
      <c r="A30" s="406" t="s">
        <v>0</v>
      </c>
      <c r="B30" s="408"/>
      <c r="C30" s="407">
        <f>IF(C28&gt;0.1,C29/(C27+C26+B44)," ")</f>
        <v>1.2929685175027716</v>
      </c>
      <c r="D30" s="407">
        <f t="shared" ref="D30:AF30" si="7">IF(D28&gt;0.1,D29/(D27+D26+C44)," ")</f>
        <v>1.2965480213567104</v>
      </c>
      <c r="E30" s="407">
        <f t="shared" si="7"/>
        <v>1.3009963817367447</v>
      </c>
      <c r="F30" s="407">
        <f t="shared" si="7"/>
        <v>1.2956637974074416</v>
      </c>
      <c r="G30" s="407">
        <f t="shared" si="7"/>
        <v>1.2965548558572755</v>
      </c>
      <c r="H30" s="407" t="str">
        <f t="shared" si="7"/>
        <v xml:space="preserve"> </v>
      </c>
      <c r="I30" s="407" t="str">
        <f t="shared" si="7"/>
        <v xml:space="preserve"> </v>
      </c>
      <c r="J30" s="407" t="str">
        <f t="shared" si="7"/>
        <v xml:space="preserve"> </v>
      </c>
      <c r="K30" s="407" t="str">
        <f t="shared" si="7"/>
        <v xml:space="preserve"> </v>
      </c>
      <c r="L30" s="407" t="str">
        <f t="shared" si="7"/>
        <v xml:space="preserve"> </v>
      </c>
      <c r="M30" s="407" t="str">
        <f t="shared" si="7"/>
        <v xml:space="preserve"> </v>
      </c>
      <c r="N30" s="407" t="str">
        <f t="shared" si="7"/>
        <v xml:space="preserve"> </v>
      </c>
      <c r="O30" s="407" t="str">
        <f t="shared" si="7"/>
        <v xml:space="preserve"> </v>
      </c>
      <c r="P30" s="407" t="str">
        <f t="shared" si="7"/>
        <v xml:space="preserve"> </v>
      </c>
      <c r="Q30" s="407" t="str">
        <f t="shared" si="7"/>
        <v xml:space="preserve"> </v>
      </c>
      <c r="R30" s="407" t="str">
        <f t="shared" si="7"/>
        <v xml:space="preserve"> </v>
      </c>
      <c r="S30" s="407" t="str">
        <f t="shared" si="7"/>
        <v xml:space="preserve"> </v>
      </c>
      <c r="T30" s="407" t="str">
        <f t="shared" si="7"/>
        <v xml:space="preserve"> </v>
      </c>
      <c r="U30" s="407" t="str">
        <f t="shared" si="7"/>
        <v xml:space="preserve"> </v>
      </c>
      <c r="V30" s="407" t="str">
        <f t="shared" si="7"/>
        <v xml:space="preserve"> </v>
      </c>
      <c r="W30" s="407" t="str">
        <f t="shared" si="7"/>
        <v xml:space="preserve"> </v>
      </c>
      <c r="X30" s="407">
        <f t="shared" si="7"/>
        <v>1.290034549773267</v>
      </c>
      <c r="Y30" s="407">
        <f t="shared" si="7"/>
        <v>1.2945073458694005</v>
      </c>
      <c r="Z30" s="407">
        <f t="shared" si="7"/>
        <v>1.2891548247632481</v>
      </c>
      <c r="AA30" s="407">
        <f t="shared" si="7"/>
        <v>1.2900345497732675</v>
      </c>
      <c r="AB30" s="407">
        <f t="shared" si="7"/>
        <v>1.290034549773267</v>
      </c>
      <c r="AC30" s="407">
        <f t="shared" si="7"/>
        <v>1.2945073458693999</v>
      </c>
      <c r="AD30" s="407">
        <f t="shared" si="7"/>
        <v>1.2891548247632496</v>
      </c>
      <c r="AE30" s="407">
        <f t="shared" si="7"/>
        <v>1.2900345497732673</v>
      </c>
      <c r="AF30" s="407">
        <f t="shared" si="7"/>
        <v>2.081987823608213</v>
      </c>
      <c r="AG30"/>
    </row>
    <row r="31" spans="1:33">
      <c r="A31" s="11"/>
      <c r="B31" s="382"/>
      <c r="C31" s="53"/>
      <c r="AG31"/>
    </row>
    <row r="32" spans="1:33">
      <c r="A32" s="405" t="s">
        <v>406</v>
      </c>
      <c r="B32" s="393">
        <v>37165</v>
      </c>
      <c r="C32" s="393">
        <v>37530</v>
      </c>
      <c r="D32" s="393">
        <v>37895</v>
      </c>
      <c r="E32" s="393">
        <v>38261</v>
      </c>
      <c r="F32" s="393">
        <v>38626</v>
      </c>
      <c r="G32" s="393">
        <v>38991</v>
      </c>
      <c r="H32" s="393">
        <v>39356</v>
      </c>
      <c r="I32" s="393">
        <v>39722</v>
      </c>
      <c r="J32" s="393">
        <v>40087</v>
      </c>
      <c r="K32" s="393">
        <v>40452</v>
      </c>
      <c r="L32" s="393">
        <v>40817</v>
      </c>
      <c r="M32" s="393">
        <v>41183</v>
      </c>
      <c r="N32" s="393">
        <v>41548</v>
      </c>
      <c r="O32" s="393">
        <v>41913</v>
      </c>
      <c r="P32" s="393">
        <v>42278</v>
      </c>
      <c r="Q32" s="393">
        <v>42644</v>
      </c>
      <c r="R32" s="393">
        <v>43009</v>
      </c>
      <c r="S32" s="393">
        <v>43374</v>
      </c>
      <c r="T32" s="393">
        <v>43739</v>
      </c>
      <c r="U32" s="393">
        <v>44105</v>
      </c>
      <c r="V32" s="393">
        <v>44470</v>
      </c>
      <c r="W32" s="393">
        <v>44835</v>
      </c>
      <c r="X32" s="393">
        <v>45200</v>
      </c>
      <c r="Y32" s="393">
        <v>45566</v>
      </c>
      <c r="Z32" s="393">
        <v>45931</v>
      </c>
      <c r="AA32" s="393">
        <v>46296</v>
      </c>
      <c r="AB32" s="393">
        <v>46661</v>
      </c>
      <c r="AC32" s="393">
        <v>47027</v>
      </c>
      <c r="AD32" s="393">
        <v>47392</v>
      </c>
      <c r="AE32" s="393">
        <v>47757</v>
      </c>
      <c r="AF32" s="393">
        <v>47969</v>
      </c>
      <c r="AG32"/>
    </row>
    <row r="33" spans="1:39">
      <c r="A33" s="48" t="s">
        <v>55</v>
      </c>
      <c r="B33" s="383">
        <f>B19</f>
        <v>81657.998843824083</v>
      </c>
      <c r="C33" s="48">
        <f>C28</f>
        <v>70641.645138849184</v>
      </c>
      <c r="D33" s="48">
        <f t="shared" ref="D33:AF33" si="8">D28</f>
        <v>57628.494277469028</v>
      </c>
      <c r="E33" s="48">
        <f t="shared" si="8"/>
        <v>43501.788402135906</v>
      </c>
      <c r="F33" s="48">
        <f t="shared" si="8"/>
        <v>28182.508237049842</v>
      </c>
      <c r="G33" s="48">
        <f t="shared" si="8"/>
        <v>11594.01344818647</v>
      </c>
      <c r="H33" s="48">
        <f t="shared" si="8"/>
        <v>0</v>
      </c>
      <c r="I33" s="48">
        <f t="shared" si="8"/>
        <v>0</v>
      </c>
      <c r="J33" s="48">
        <f t="shared" si="8"/>
        <v>0</v>
      </c>
      <c r="K33" s="48">
        <f t="shared" si="8"/>
        <v>0</v>
      </c>
      <c r="L33" s="48">
        <f t="shared" si="8"/>
        <v>0</v>
      </c>
      <c r="M33" s="48">
        <f t="shared" si="8"/>
        <v>0</v>
      </c>
      <c r="N33" s="48">
        <f t="shared" si="8"/>
        <v>0</v>
      </c>
      <c r="O33" s="48">
        <f t="shared" si="8"/>
        <v>0</v>
      </c>
      <c r="P33" s="48">
        <f t="shared" si="8"/>
        <v>0</v>
      </c>
      <c r="Q33" s="48">
        <f t="shared" si="8"/>
        <v>0</v>
      </c>
      <c r="R33" s="48">
        <f t="shared" si="8"/>
        <v>0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0</v>
      </c>
      <c r="X33" s="48">
        <f t="shared" si="8"/>
        <v>236.6803233244691</v>
      </c>
      <c r="Y33" s="48">
        <f t="shared" si="8"/>
        <v>744.68675271958546</v>
      </c>
      <c r="Z33" s="48">
        <f t="shared" si="8"/>
        <v>1304.8397347705472</v>
      </c>
      <c r="AA33" s="48">
        <f t="shared" si="8"/>
        <v>1922.0761314286083</v>
      </c>
      <c r="AB33" s="48">
        <f t="shared" si="8"/>
        <v>2601.6076221503181</v>
      </c>
      <c r="AC33" s="48">
        <f t="shared" si="8"/>
        <v>3349.3911722407761</v>
      </c>
      <c r="AD33" s="48">
        <f t="shared" si="8"/>
        <v>4169.4220361035204</v>
      </c>
      <c r="AE33" s="48">
        <f t="shared" si="8"/>
        <v>5069.6840487681766</v>
      </c>
      <c r="AF33" s="48">
        <f t="shared" si="8"/>
        <v>6126.4001670695025</v>
      </c>
      <c r="AG33"/>
    </row>
    <row r="34" spans="1:39">
      <c r="A34" s="48" t="s">
        <v>319</v>
      </c>
      <c r="B34" s="383">
        <v>0</v>
      </c>
      <c r="C34" s="383">
        <v>0</v>
      </c>
      <c r="D34" s="383">
        <v>0</v>
      </c>
      <c r="E34" s="383">
        <v>0</v>
      </c>
      <c r="F34" s="383">
        <v>0</v>
      </c>
      <c r="G34" s="383">
        <v>0</v>
      </c>
      <c r="H34" s="383">
        <v>0</v>
      </c>
      <c r="I34" s="383">
        <v>0</v>
      </c>
      <c r="J34" s="383">
        <v>0</v>
      </c>
      <c r="K34" s="383">
        <v>0</v>
      </c>
      <c r="L34" s="383">
        <v>0</v>
      </c>
      <c r="M34" s="383">
        <v>0</v>
      </c>
      <c r="N34" s="383">
        <v>0</v>
      </c>
      <c r="O34" s="383">
        <v>0</v>
      </c>
      <c r="P34" s="383">
        <v>0</v>
      </c>
      <c r="Q34" s="383">
        <v>0</v>
      </c>
      <c r="R34" s="383">
        <v>0</v>
      </c>
      <c r="S34" s="383">
        <v>0</v>
      </c>
      <c r="T34" s="383">
        <v>0</v>
      </c>
      <c r="U34" s="383">
        <v>0</v>
      </c>
      <c r="V34" s="383">
        <v>0</v>
      </c>
      <c r="W34" s="383">
        <v>0</v>
      </c>
      <c r="X34" s="383">
        <v>0</v>
      </c>
      <c r="Y34" s="383">
        <v>0</v>
      </c>
      <c r="Z34" s="383">
        <v>0</v>
      </c>
      <c r="AA34" s="383">
        <v>0</v>
      </c>
      <c r="AB34" s="383">
        <v>0</v>
      </c>
      <c r="AC34" s="383">
        <v>0</v>
      </c>
      <c r="AD34" s="383">
        <v>0</v>
      </c>
      <c r="AE34" s="383">
        <v>0</v>
      </c>
      <c r="AF34" s="383">
        <v>0</v>
      </c>
      <c r="AG34"/>
    </row>
    <row r="35" spans="1:39">
      <c r="A35" s="48" t="s">
        <v>56</v>
      </c>
      <c r="B35" s="48">
        <f>B33-B37</f>
        <v>4894.4682056561142</v>
      </c>
      <c r="C35" s="48">
        <f>C33-C37</f>
        <v>6356.6737669518116</v>
      </c>
      <c r="D35" s="48">
        <f t="shared" ref="D35:AF35" si="9">D33-D37</f>
        <v>6917.2788829076599</v>
      </c>
      <c r="E35" s="48">
        <f t="shared" si="9"/>
        <v>7509.6657282305168</v>
      </c>
      <c r="F35" s="48">
        <f t="shared" si="9"/>
        <v>8122.4857321950403</v>
      </c>
      <c r="G35" s="48">
        <f t="shared" si="9"/>
        <v>8811.6545905762796</v>
      </c>
      <c r="H35" s="48">
        <f t="shared" si="9"/>
        <v>0</v>
      </c>
      <c r="I35" s="48">
        <f t="shared" si="9"/>
        <v>0</v>
      </c>
      <c r="J35" s="48">
        <f t="shared" si="9"/>
        <v>0</v>
      </c>
      <c r="K35" s="48">
        <f t="shared" si="9"/>
        <v>0</v>
      </c>
      <c r="L35" s="48">
        <f t="shared" si="9"/>
        <v>0</v>
      </c>
      <c r="M35" s="48">
        <f t="shared" si="9"/>
        <v>0</v>
      </c>
      <c r="N35" s="48">
        <f t="shared" si="9"/>
        <v>0</v>
      </c>
      <c r="O35" s="48">
        <f t="shared" si="9"/>
        <v>0</v>
      </c>
      <c r="P35" s="48">
        <f t="shared" si="9"/>
        <v>0</v>
      </c>
      <c r="Q35" s="48">
        <f t="shared" si="9"/>
        <v>0</v>
      </c>
      <c r="R35" s="48">
        <f t="shared" si="9"/>
        <v>0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0</v>
      </c>
      <c r="X35" s="48">
        <f t="shared" si="9"/>
        <v>-246.47013478033534</v>
      </c>
      <c r="Y35" s="48">
        <f t="shared" si="9"/>
        <v>-272.29751464499532</v>
      </c>
      <c r="Z35" s="48">
        <f t="shared" si="9"/>
        <v>-300.04905590625435</v>
      </c>
      <c r="AA35" s="48">
        <f t="shared" si="9"/>
        <v>-330.66991390860449</v>
      </c>
      <c r="AB35" s="48">
        <f t="shared" si="9"/>
        <v>-363.80072531906762</v>
      </c>
      <c r="AC35" s="48">
        <f t="shared" si="9"/>
        <v>-399.6554660711231</v>
      </c>
      <c r="AD35" s="48">
        <f t="shared" si="9"/>
        <v>-438.82146756351358</v>
      </c>
      <c r="AE35" s="48">
        <f t="shared" si="9"/>
        <v>-481.56870597434045</v>
      </c>
      <c r="AF35" s="48">
        <f t="shared" si="9"/>
        <v>-388.32763232982961</v>
      </c>
      <c r="AG35"/>
    </row>
    <row r="36" spans="1:39">
      <c r="A36" s="48" t="s">
        <v>57</v>
      </c>
      <c r="B36" s="386">
        <f>B33*(B32-Assumptions!H17)/365.25*$E$64</f>
        <v>2821.9797136376992</v>
      </c>
      <c r="C36" s="386">
        <f t="shared" ref="C36:AF36" si="10">C33*(C32-C23)/(C41-B41)*$E$64</f>
        <v>2921.9513355719882</v>
      </c>
      <c r="D36" s="386">
        <f t="shared" si="10"/>
        <v>2383.6881982303798</v>
      </c>
      <c r="E36" s="386">
        <f t="shared" si="10"/>
        <v>1794.4487715881062</v>
      </c>
      <c r="F36" s="386">
        <f t="shared" si="10"/>
        <v>1165.7134742708492</v>
      </c>
      <c r="G36" s="386">
        <f t="shared" si="10"/>
        <v>479.56333707943901</v>
      </c>
      <c r="H36" s="386">
        <f t="shared" si="10"/>
        <v>0</v>
      </c>
      <c r="I36" s="386">
        <f t="shared" si="10"/>
        <v>0</v>
      </c>
      <c r="J36" s="386">
        <f t="shared" si="10"/>
        <v>0</v>
      </c>
      <c r="K36" s="386">
        <f t="shared" si="10"/>
        <v>0</v>
      </c>
      <c r="L36" s="386">
        <f t="shared" si="10"/>
        <v>0</v>
      </c>
      <c r="M36" s="386">
        <f t="shared" si="10"/>
        <v>0</v>
      </c>
      <c r="N36" s="386">
        <f t="shared" si="10"/>
        <v>0</v>
      </c>
      <c r="O36" s="386">
        <f t="shared" si="10"/>
        <v>0</v>
      </c>
      <c r="P36" s="386">
        <f t="shared" si="10"/>
        <v>0</v>
      </c>
      <c r="Q36" s="386">
        <f t="shared" si="10"/>
        <v>0</v>
      </c>
      <c r="R36" s="386">
        <f t="shared" si="10"/>
        <v>0</v>
      </c>
      <c r="S36" s="386">
        <f t="shared" si="10"/>
        <v>0</v>
      </c>
      <c r="T36" s="386">
        <f t="shared" si="10"/>
        <v>0</v>
      </c>
      <c r="U36" s="386">
        <f t="shared" si="10"/>
        <v>0</v>
      </c>
      <c r="V36" s="386">
        <f t="shared" si="10"/>
        <v>0</v>
      </c>
      <c r="W36" s="386">
        <f t="shared" si="10"/>
        <v>0</v>
      </c>
      <c r="X36" s="386">
        <f t="shared" si="10"/>
        <v>9.789811455866225</v>
      </c>
      <c r="Y36" s="386">
        <f t="shared" si="10"/>
        <v>30.718328549682901</v>
      </c>
      <c r="Z36" s="386">
        <f t="shared" si="10"/>
        <v>53.972103823831056</v>
      </c>
      <c r="AA36" s="386">
        <f t="shared" si="10"/>
        <v>79.50286135409155</v>
      </c>
      <c r="AB36" s="386">
        <f t="shared" si="10"/>
        <v>107.61033171346419</v>
      </c>
      <c r="AC36" s="386">
        <f t="shared" si="10"/>
        <v>138.16238585493201</v>
      </c>
      <c r="AD36" s="386">
        <f t="shared" si="10"/>
        <v>172.45986079472027</v>
      </c>
      <c r="AE36" s="386">
        <f t="shared" si="10"/>
        <v>209.69741075692482</v>
      </c>
      <c r="AF36" s="386">
        <f t="shared" si="10"/>
        <v>41.542028530128825</v>
      </c>
      <c r="AG36"/>
    </row>
    <row r="37" spans="1:39">
      <c r="A37" s="48" t="s">
        <v>58</v>
      </c>
      <c r="B37" s="162">
        <f>MAX(B33+B34+B36-B13,0)</f>
        <v>76763.530638167969</v>
      </c>
      <c r="C37" s="162">
        <f>MAX(C33+C34+C36-0.5*C13,0)</f>
        <v>64284.971371897373</v>
      </c>
      <c r="D37" s="162">
        <f t="shared" ref="D37:AF37" si="11">MAX(D33+D34+D36-0.5*D13,0)</f>
        <v>50711.215394561368</v>
      </c>
      <c r="E37" s="162">
        <f t="shared" si="11"/>
        <v>35992.122673905389</v>
      </c>
      <c r="F37" s="162">
        <f t="shared" si="11"/>
        <v>20060.022504854802</v>
      </c>
      <c r="G37" s="162">
        <f t="shared" si="11"/>
        <v>2782.3588576101902</v>
      </c>
      <c r="H37" s="162">
        <f t="shared" si="11"/>
        <v>0</v>
      </c>
      <c r="I37" s="162">
        <f t="shared" si="11"/>
        <v>0</v>
      </c>
      <c r="J37" s="162">
        <f t="shared" si="11"/>
        <v>0</v>
      </c>
      <c r="K37" s="162">
        <f t="shared" si="11"/>
        <v>0</v>
      </c>
      <c r="L37" s="162">
        <f t="shared" si="11"/>
        <v>0</v>
      </c>
      <c r="M37" s="162">
        <f t="shared" si="11"/>
        <v>0</v>
      </c>
      <c r="N37" s="162">
        <f t="shared" si="11"/>
        <v>0</v>
      </c>
      <c r="O37" s="162">
        <f t="shared" si="11"/>
        <v>0</v>
      </c>
      <c r="P37" s="162">
        <f t="shared" si="11"/>
        <v>0</v>
      </c>
      <c r="Q37" s="162">
        <f t="shared" si="11"/>
        <v>0</v>
      </c>
      <c r="R37" s="162">
        <f t="shared" si="11"/>
        <v>0</v>
      </c>
      <c r="S37" s="162">
        <f t="shared" si="11"/>
        <v>0</v>
      </c>
      <c r="T37" s="162">
        <f t="shared" si="11"/>
        <v>0</v>
      </c>
      <c r="U37" s="162">
        <f t="shared" si="11"/>
        <v>0</v>
      </c>
      <c r="V37" s="162">
        <f t="shared" si="11"/>
        <v>0</v>
      </c>
      <c r="W37" s="162">
        <f t="shared" si="11"/>
        <v>0</v>
      </c>
      <c r="X37" s="162">
        <f t="shared" si="11"/>
        <v>483.15045810480444</v>
      </c>
      <c r="Y37" s="162">
        <f t="shared" si="11"/>
        <v>1016.9842673645808</v>
      </c>
      <c r="Z37" s="162">
        <f t="shared" si="11"/>
        <v>1604.8887906768016</v>
      </c>
      <c r="AA37" s="162">
        <f t="shared" si="11"/>
        <v>2252.7460453372128</v>
      </c>
      <c r="AB37" s="162">
        <f t="shared" si="11"/>
        <v>2965.4083474693857</v>
      </c>
      <c r="AC37" s="162">
        <f t="shared" si="11"/>
        <v>3749.0466383118992</v>
      </c>
      <c r="AD37" s="162">
        <f t="shared" si="11"/>
        <v>4608.243503667034</v>
      </c>
      <c r="AE37" s="162">
        <f t="shared" si="11"/>
        <v>5551.252754742517</v>
      </c>
      <c r="AF37" s="162">
        <f t="shared" si="11"/>
        <v>6514.7277993993321</v>
      </c>
      <c r="AG37"/>
    </row>
    <row r="38" spans="1:39">
      <c r="A38" s="48" t="s">
        <v>321</v>
      </c>
      <c r="B38" s="162">
        <f>(B32-Assumptions!H17)/(Debt!B41-Assumptions!H17)*IS!C32</f>
        <v>10031.382295081965</v>
      </c>
      <c r="C38" s="162">
        <f>(C32-C23)/(C41-B41)*IS!D32</f>
        <v>12127.455123287673</v>
      </c>
      <c r="D38" s="162">
        <f>(D32-D23)/(D41-C41)*IS!E32</f>
        <v>12123.363945205479</v>
      </c>
      <c r="E38" s="162">
        <f>(E32-E23)/(E41-D41)*IS!F32</f>
        <v>12086.078400000002</v>
      </c>
      <c r="F38" s="162">
        <f>(F32-F23)/(F41-E41)*IS!G32</f>
        <v>12114.934481884929</v>
      </c>
      <c r="G38" s="162">
        <f>(G32-G23)/(G41-F41)*IS!H32</f>
        <v>12110.592890974682</v>
      </c>
      <c r="H38" s="162">
        <f>(H32-H23)/(H41-G41)*IS!I32</f>
        <v>12106.16446824623</v>
      </c>
      <c r="I38" s="162">
        <f>(I32-I23)/(I41-H41)*IS!J32</f>
        <v>12068.582866470142</v>
      </c>
      <c r="J38" s="162">
        <f>(J32-J23)/(J41-I41)*IS!K32</f>
        <v>12097.040146056532</v>
      </c>
      <c r="K38" s="162">
        <f>(K32-K23)/(K41-J41)*IS!L32</f>
        <v>12092.340668429717</v>
      </c>
      <c r="L38" s="162">
        <f>(L32-L23)/(L41-K41)*IS!M32</f>
        <v>12087.547201250365</v>
      </c>
      <c r="M38" s="162">
        <f>(M32-M23)/(M41-L41)*IS!N32</f>
        <v>12049.645138321068</v>
      </c>
      <c r="N38" s="162">
        <f>(N32-N23)/(N41-M41)*IS!O32</f>
        <v>12077.67074147403</v>
      </c>
      <c r="O38" s="162">
        <f>(O32-O23)/(O41-N41)*IS!P32</f>
        <v>12072.583875755567</v>
      </c>
      <c r="P38" s="162">
        <f>(P32-P23)/(P41-O41)*IS!Q32</f>
        <v>12067.395272722733</v>
      </c>
      <c r="Q38" s="162">
        <f>(Q32-Q23)/(Q41-P41)*IS!R32</f>
        <v>12029.146332335173</v>
      </c>
      <c r="R38" s="162">
        <f>(R32-R23)/(R41-Q41)*IS!S32</f>
        <v>12056.704675033883</v>
      </c>
      <c r="S38" s="162">
        <f>(S32-S23)/(S41-R41)*IS!T32</f>
        <v>12051.198487986614</v>
      </c>
      <c r="T38" s="162">
        <f>(T32-T23)/(T41-S41)*IS!U32</f>
        <v>12045.582177198401</v>
      </c>
      <c r="U38" s="162">
        <f>(U32-U23)/(U41-T41)*IS!V32</f>
        <v>12006.957765494439</v>
      </c>
      <c r="V38" s="162">
        <f>(V32-V23)/(V41-U41)*IS!W32</f>
        <v>4390.129354632033</v>
      </c>
      <c r="W38" s="162">
        <f>(W32-W23)/(W41-V41)*IS!X32</f>
        <v>-303.96377088583029</v>
      </c>
      <c r="X38" s="162">
        <f>(X32-X23)/(X41-W41)*IS!Y32</f>
        <v>-310.04304630354687</v>
      </c>
      <c r="Y38" s="162">
        <f>(Y32-Y23)/(Y41-X41)*IS!Z32</f>
        <v>-315.37985283827948</v>
      </c>
      <c r="Z38" s="162">
        <f>(Z32-Z23)/(Z41-Y41)*IS!AA32</f>
        <v>-322.56878537421011</v>
      </c>
      <c r="AA38" s="162">
        <f>(AA32-AA23)/(AA41-Z41)*IS!AB32</f>
        <v>-329.02016108169408</v>
      </c>
      <c r="AB38" s="162">
        <f>(AB32-AB23)/(AB41-AA41)*IS!AC32</f>
        <v>-335.60056430332804</v>
      </c>
      <c r="AC38" s="162">
        <f>(AC32-AC23)/(AC41-AB41)*IS!AD32</f>
        <v>-341.37729532822141</v>
      </c>
      <c r="AD38" s="162">
        <f>(AD32-AD23)/(AD41-AC41)*IS!AE32</f>
        <v>-349.15882710118251</v>
      </c>
      <c r="AE38" s="162">
        <f>(AE32-AE23)/(AE41-AD41)*IS!AF32</f>
        <v>-356.14200364320629</v>
      </c>
      <c r="AF38" s="162">
        <f>(AF32-AF23)/(AG23-AE41)*IS!AG32</f>
        <v>-179.63916536562209</v>
      </c>
      <c r="AG38"/>
    </row>
    <row r="39" spans="1:39">
      <c r="A39" s="406" t="s">
        <v>0</v>
      </c>
      <c r="B39" s="407">
        <f t="shared" ref="B39:AF39" si="12">IF(B37&gt;0.1,B38/(B36+B35)," ")</f>
        <v>1.3000000000000009</v>
      </c>
      <c r="C39" s="407">
        <f t="shared" si="12"/>
        <v>1.3070314824972276</v>
      </c>
      <c r="D39" s="407">
        <f t="shared" si="12"/>
        <v>1.3034519786432894</v>
      </c>
      <c r="E39" s="407">
        <f t="shared" si="12"/>
        <v>1.2990036182632545</v>
      </c>
      <c r="F39" s="407">
        <f t="shared" si="12"/>
        <v>1.304336202592558</v>
      </c>
      <c r="G39" s="407">
        <f t="shared" si="12"/>
        <v>1.3034451441427255</v>
      </c>
      <c r="H39" s="407" t="str">
        <f t="shared" si="12"/>
        <v xml:space="preserve"> </v>
      </c>
      <c r="I39" s="407" t="str">
        <f t="shared" si="12"/>
        <v xml:space="preserve"> </v>
      </c>
      <c r="J39" s="407" t="str">
        <f t="shared" si="12"/>
        <v xml:space="preserve"> </v>
      </c>
      <c r="K39" s="407" t="str">
        <f t="shared" si="12"/>
        <v xml:space="preserve"> </v>
      </c>
      <c r="L39" s="407" t="str">
        <f t="shared" si="12"/>
        <v xml:space="preserve"> </v>
      </c>
      <c r="M39" s="407" t="str">
        <f t="shared" si="12"/>
        <v xml:space="preserve"> </v>
      </c>
      <c r="N39" s="407" t="str">
        <f t="shared" si="12"/>
        <v xml:space="preserve"> </v>
      </c>
      <c r="O39" s="407" t="str">
        <f t="shared" si="12"/>
        <v xml:space="preserve"> </v>
      </c>
      <c r="P39" s="407" t="str">
        <f t="shared" si="12"/>
        <v xml:space="preserve"> </v>
      </c>
      <c r="Q39" s="407" t="str">
        <f t="shared" si="12"/>
        <v xml:space="preserve"> </v>
      </c>
      <c r="R39" s="407" t="str">
        <f t="shared" si="12"/>
        <v xml:space="preserve"> </v>
      </c>
      <c r="S39" s="407" t="str">
        <f t="shared" si="12"/>
        <v xml:space="preserve"> </v>
      </c>
      <c r="T39" s="407" t="str">
        <f t="shared" si="12"/>
        <v xml:space="preserve"> </v>
      </c>
      <c r="U39" s="407" t="str">
        <f t="shared" si="12"/>
        <v xml:space="preserve"> </v>
      </c>
      <c r="V39" s="407" t="str">
        <f t="shared" si="12"/>
        <v xml:space="preserve"> </v>
      </c>
      <c r="W39" s="407" t="str">
        <f t="shared" si="12"/>
        <v xml:space="preserve"> </v>
      </c>
      <c r="X39" s="407">
        <f t="shared" si="12"/>
        <v>1.3099654502267328</v>
      </c>
      <c r="Y39" s="407">
        <f t="shared" si="12"/>
        <v>1.3054926541305998</v>
      </c>
      <c r="Z39" s="407">
        <f t="shared" si="12"/>
        <v>1.3108451752367525</v>
      </c>
      <c r="AA39" s="407">
        <f t="shared" si="12"/>
        <v>1.3099654502267331</v>
      </c>
      <c r="AB39" s="407">
        <f t="shared" si="12"/>
        <v>1.3099654502267322</v>
      </c>
      <c r="AC39" s="407">
        <f t="shared" si="12"/>
        <v>1.3054926541306009</v>
      </c>
      <c r="AD39" s="407">
        <f t="shared" si="12"/>
        <v>1.3108451752367551</v>
      </c>
      <c r="AE39" s="407">
        <f t="shared" si="12"/>
        <v>1.3099654502267306</v>
      </c>
      <c r="AF39" s="407">
        <f t="shared" si="12"/>
        <v>0.51801217639178454</v>
      </c>
    </row>
    <row r="40" spans="1:39">
      <c r="A40" s="48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</row>
    <row r="41" spans="1:39">
      <c r="A41"/>
      <c r="B41" s="396">
        <f>B8</f>
        <v>37256</v>
      </c>
      <c r="C41" s="396">
        <f t="shared" ref="C41:AF41" si="13">C8</f>
        <v>37621</v>
      </c>
      <c r="D41" s="396">
        <f t="shared" si="13"/>
        <v>37986</v>
      </c>
      <c r="E41" s="396">
        <f t="shared" si="13"/>
        <v>38352</v>
      </c>
      <c r="F41" s="396">
        <f t="shared" si="13"/>
        <v>38717</v>
      </c>
      <c r="G41" s="396">
        <f t="shared" si="13"/>
        <v>39082</v>
      </c>
      <c r="H41" s="396">
        <f t="shared" si="13"/>
        <v>39447</v>
      </c>
      <c r="I41" s="396">
        <f t="shared" si="13"/>
        <v>39813</v>
      </c>
      <c r="J41" s="396">
        <f t="shared" si="13"/>
        <v>40178</v>
      </c>
      <c r="K41" s="396">
        <f t="shared" si="13"/>
        <v>40543</v>
      </c>
      <c r="L41" s="396">
        <f t="shared" si="13"/>
        <v>40908</v>
      </c>
      <c r="M41" s="396">
        <f t="shared" si="13"/>
        <v>41274</v>
      </c>
      <c r="N41" s="396">
        <f t="shared" si="13"/>
        <v>41639</v>
      </c>
      <c r="O41" s="396">
        <f t="shared" si="13"/>
        <v>42004</v>
      </c>
      <c r="P41" s="396">
        <f t="shared" si="13"/>
        <v>42369</v>
      </c>
      <c r="Q41" s="396">
        <f t="shared" si="13"/>
        <v>42735</v>
      </c>
      <c r="R41" s="396">
        <f t="shared" si="13"/>
        <v>43100</v>
      </c>
      <c r="S41" s="396">
        <f t="shared" si="13"/>
        <v>43465</v>
      </c>
      <c r="T41" s="396">
        <f t="shared" si="13"/>
        <v>43830</v>
      </c>
      <c r="U41" s="396">
        <f t="shared" si="13"/>
        <v>44196</v>
      </c>
      <c r="V41" s="396">
        <f t="shared" si="13"/>
        <v>44561</v>
      </c>
      <c r="W41" s="396">
        <f t="shared" si="13"/>
        <v>44926</v>
      </c>
      <c r="X41" s="396">
        <f t="shared" si="13"/>
        <v>45291</v>
      </c>
      <c r="Y41" s="396">
        <f t="shared" si="13"/>
        <v>45657</v>
      </c>
      <c r="Z41" s="396">
        <f t="shared" si="13"/>
        <v>46022</v>
      </c>
      <c r="AA41" s="396">
        <f t="shared" si="13"/>
        <v>46387</v>
      </c>
      <c r="AB41" s="396">
        <f t="shared" si="13"/>
        <v>46752</v>
      </c>
      <c r="AC41" s="396">
        <f t="shared" si="13"/>
        <v>47118</v>
      </c>
      <c r="AD41" s="396">
        <f t="shared" si="13"/>
        <v>47483</v>
      </c>
      <c r="AE41" s="396">
        <f t="shared" si="13"/>
        <v>47848</v>
      </c>
      <c r="AF41" s="396">
        <f t="shared" si="13"/>
        <v>48213</v>
      </c>
    </row>
    <row r="42" spans="1:39">
      <c r="A42" s="48" t="s">
        <v>55</v>
      </c>
      <c r="B42" s="48">
        <f>B37</f>
        <v>76763.530638167969</v>
      </c>
      <c r="C42" s="48">
        <f>C37</f>
        <v>64284.971371897373</v>
      </c>
      <c r="D42" s="48">
        <f t="shared" ref="D42:AF42" si="14">D37</f>
        <v>50711.215394561368</v>
      </c>
      <c r="E42" s="48">
        <f t="shared" si="14"/>
        <v>35992.122673905389</v>
      </c>
      <c r="F42" s="48">
        <f t="shared" si="14"/>
        <v>20060.022504854802</v>
      </c>
      <c r="G42" s="48">
        <f t="shared" si="14"/>
        <v>2782.3588576101902</v>
      </c>
      <c r="H42" s="48">
        <f t="shared" si="14"/>
        <v>0</v>
      </c>
      <c r="I42" s="48">
        <f t="shared" si="14"/>
        <v>0</v>
      </c>
      <c r="J42" s="48">
        <f t="shared" si="14"/>
        <v>0</v>
      </c>
      <c r="K42" s="48">
        <f t="shared" si="14"/>
        <v>0</v>
      </c>
      <c r="L42" s="48">
        <f t="shared" si="14"/>
        <v>0</v>
      </c>
      <c r="M42" s="48">
        <f t="shared" si="14"/>
        <v>0</v>
      </c>
      <c r="N42" s="48">
        <f t="shared" si="14"/>
        <v>0</v>
      </c>
      <c r="O42" s="48">
        <f t="shared" si="14"/>
        <v>0</v>
      </c>
      <c r="P42" s="48">
        <f t="shared" si="14"/>
        <v>0</v>
      </c>
      <c r="Q42" s="48">
        <f t="shared" si="14"/>
        <v>0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0</v>
      </c>
      <c r="X42" s="48">
        <f t="shared" si="14"/>
        <v>483.15045810480444</v>
      </c>
      <c r="Y42" s="48">
        <f t="shared" si="14"/>
        <v>1016.9842673645808</v>
      </c>
      <c r="Z42" s="48">
        <f t="shared" si="14"/>
        <v>1604.8887906768016</v>
      </c>
      <c r="AA42" s="48">
        <f t="shared" si="14"/>
        <v>2252.7460453372128</v>
      </c>
      <c r="AB42" s="48">
        <f t="shared" si="14"/>
        <v>2965.4083474693857</v>
      </c>
      <c r="AC42" s="48">
        <f t="shared" si="14"/>
        <v>3749.0466383118992</v>
      </c>
      <c r="AD42" s="48">
        <f t="shared" si="14"/>
        <v>4608.243503667034</v>
      </c>
      <c r="AE42" s="48">
        <f t="shared" si="14"/>
        <v>5551.252754742517</v>
      </c>
      <c r="AF42" s="48">
        <f t="shared" si="14"/>
        <v>6514.7277993993321</v>
      </c>
    </row>
    <row r="43" spans="1:39">
      <c r="A43" s="48" t="s">
        <v>319</v>
      </c>
      <c r="B43" s="383">
        <v>0</v>
      </c>
      <c r="C43" s="383">
        <v>0</v>
      </c>
      <c r="D43" s="383">
        <v>0</v>
      </c>
      <c r="E43" s="383">
        <v>0</v>
      </c>
      <c r="F43" s="383">
        <v>0</v>
      </c>
      <c r="G43" s="383">
        <v>0</v>
      </c>
      <c r="H43" s="383">
        <v>0</v>
      </c>
      <c r="I43" s="383">
        <v>0</v>
      </c>
      <c r="J43" s="383">
        <v>0</v>
      </c>
      <c r="K43" s="383">
        <v>0</v>
      </c>
      <c r="L43" s="383">
        <v>0</v>
      </c>
      <c r="M43" s="383">
        <v>0</v>
      </c>
      <c r="N43" s="383">
        <v>0</v>
      </c>
      <c r="O43" s="383">
        <v>0</v>
      </c>
      <c r="P43" s="383">
        <v>0</v>
      </c>
      <c r="Q43" s="383">
        <v>0</v>
      </c>
      <c r="R43" s="383">
        <v>0</v>
      </c>
      <c r="S43" s="383">
        <v>0</v>
      </c>
      <c r="T43" s="383">
        <v>0</v>
      </c>
      <c r="U43" s="383">
        <v>0</v>
      </c>
      <c r="V43" s="383">
        <v>0</v>
      </c>
      <c r="W43" s="383">
        <v>0</v>
      </c>
      <c r="X43" s="383">
        <v>0</v>
      </c>
      <c r="Y43" s="383">
        <v>0</v>
      </c>
      <c r="Z43" s="383">
        <v>0</v>
      </c>
      <c r="AA43" s="383">
        <v>0</v>
      </c>
      <c r="AB43" s="383">
        <v>0</v>
      </c>
      <c r="AC43" s="383">
        <v>0</v>
      </c>
      <c r="AD43" s="383">
        <v>0</v>
      </c>
      <c r="AE43" s="383">
        <v>0</v>
      </c>
      <c r="AF43" s="383">
        <v>0</v>
      </c>
    </row>
    <row r="44" spans="1:39">
      <c r="A44" s="48" t="s">
        <v>57</v>
      </c>
      <c r="B44" s="386">
        <f>B42*(B41-B32)/365.25*$E$64</f>
        <v>1577.8294490514609</v>
      </c>
      <c r="C44" s="386">
        <f t="shared" ref="C44:AF44" si="15">C42*(C41-C32)/(C41-B41)*$E$64</f>
        <v>1322.244993354848</v>
      </c>
      <c r="D44" s="386">
        <f t="shared" si="15"/>
        <v>1043.0532865059438</v>
      </c>
      <c r="E44" s="386">
        <f t="shared" si="15"/>
        <v>738.28104091351008</v>
      </c>
      <c r="F44" s="386">
        <f t="shared" si="15"/>
        <v>412.60443549369154</v>
      </c>
      <c r="G44" s="386">
        <f t="shared" si="15"/>
        <v>57.22892910550275</v>
      </c>
      <c r="H44" s="386">
        <f t="shared" si="15"/>
        <v>0</v>
      </c>
      <c r="I44" s="386">
        <f t="shared" si="15"/>
        <v>0</v>
      </c>
      <c r="J44" s="386">
        <f t="shared" si="15"/>
        <v>0</v>
      </c>
      <c r="K44" s="386">
        <f t="shared" si="15"/>
        <v>0</v>
      </c>
      <c r="L44" s="386">
        <f t="shared" si="15"/>
        <v>0</v>
      </c>
      <c r="M44" s="386">
        <f t="shared" si="15"/>
        <v>0</v>
      </c>
      <c r="N44" s="386">
        <f t="shared" si="15"/>
        <v>0</v>
      </c>
      <c r="O44" s="386">
        <f t="shared" si="15"/>
        <v>0</v>
      </c>
      <c r="P44" s="386">
        <f t="shared" si="15"/>
        <v>0</v>
      </c>
      <c r="Q44" s="386">
        <f t="shared" si="15"/>
        <v>0</v>
      </c>
      <c r="R44" s="386">
        <f t="shared" si="15"/>
        <v>0</v>
      </c>
      <c r="S44" s="386">
        <f t="shared" si="15"/>
        <v>0</v>
      </c>
      <c r="T44" s="386">
        <f t="shared" si="15"/>
        <v>0</v>
      </c>
      <c r="U44" s="386">
        <f t="shared" si="15"/>
        <v>0</v>
      </c>
      <c r="V44" s="386">
        <f t="shared" si="15"/>
        <v>0</v>
      </c>
      <c r="W44" s="386">
        <f t="shared" si="15"/>
        <v>0</v>
      </c>
      <c r="X44" s="386">
        <f t="shared" si="15"/>
        <v>9.9376768882789577</v>
      </c>
      <c r="Y44" s="386">
        <f t="shared" si="15"/>
        <v>20.86068138590052</v>
      </c>
      <c r="Z44" s="386">
        <f t="shared" si="15"/>
        <v>33.010144098646819</v>
      </c>
      <c r="AA44" s="386">
        <f t="shared" si="15"/>
        <v>46.335591603751027</v>
      </c>
      <c r="AB44" s="386">
        <f t="shared" si="15"/>
        <v>60.993981283907978</v>
      </c>
      <c r="AC44" s="386">
        <f t="shared" si="15"/>
        <v>76.901550921110896</v>
      </c>
      <c r="AD44" s="386">
        <f t="shared" si="15"/>
        <v>94.784624941863726</v>
      </c>
      <c r="AE44" s="386">
        <f t="shared" si="15"/>
        <v>114.18090426364233</v>
      </c>
      <c r="AF44" s="386">
        <f t="shared" si="15"/>
        <v>359.29170027920151</v>
      </c>
    </row>
    <row r="45" spans="1:39">
      <c r="A45" s="48" t="s">
        <v>58</v>
      </c>
      <c r="B45" s="48">
        <f>B42+B43</f>
        <v>76763.530638167969</v>
      </c>
      <c r="C45" s="48">
        <f t="shared" ref="C45:AF45" si="16">C42+C43</f>
        <v>64284.971371897373</v>
      </c>
      <c r="D45" s="48">
        <f t="shared" si="16"/>
        <v>50711.215394561368</v>
      </c>
      <c r="E45" s="48">
        <f t="shared" si="16"/>
        <v>35992.122673905389</v>
      </c>
      <c r="F45" s="48">
        <f t="shared" si="16"/>
        <v>20060.022504854802</v>
      </c>
      <c r="G45" s="48">
        <f t="shared" si="16"/>
        <v>2782.3588576101902</v>
      </c>
      <c r="H45" s="48">
        <f t="shared" si="16"/>
        <v>0</v>
      </c>
      <c r="I45" s="48">
        <f t="shared" si="16"/>
        <v>0</v>
      </c>
      <c r="J45" s="48">
        <f t="shared" si="16"/>
        <v>0</v>
      </c>
      <c r="K45" s="48">
        <f t="shared" si="16"/>
        <v>0</v>
      </c>
      <c r="L45" s="48">
        <f t="shared" si="16"/>
        <v>0</v>
      </c>
      <c r="M45" s="48">
        <f t="shared" si="16"/>
        <v>0</v>
      </c>
      <c r="N45" s="48">
        <f t="shared" si="16"/>
        <v>0</v>
      </c>
      <c r="O45" s="48">
        <f t="shared" si="16"/>
        <v>0</v>
      </c>
      <c r="P45" s="48">
        <f t="shared" si="16"/>
        <v>0</v>
      </c>
      <c r="Q45" s="48">
        <f t="shared" si="16"/>
        <v>0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0</v>
      </c>
      <c r="X45" s="48">
        <f t="shared" si="16"/>
        <v>483.15045810480444</v>
      </c>
      <c r="Y45" s="48">
        <f t="shared" si="16"/>
        <v>1016.9842673645808</v>
      </c>
      <c r="Z45" s="48">
        <f t="shared" si="16"/>
        <v>1604.8887906768016</v>
      </c>
      <c r="AA45" s="48">
        <f t="shared" si="16"/>
        <v>2252.7460453372128</v>
      </c>
      <c r="AB45" s="48">
        <f t="shared" si="16"/>
        <v>2965.4083474693857</v>
      </c>
      <c r="AC45" s="48">
        <f t="shared" si="16"/>
        <v>3749.0466383118992</v>
      </c>
      <c r="AD45" s="48">
        <f t="shared" si="16"/>
        <v>4608.243503667034</v>
      </c>
      <c r="AE45" s="48">
        <f t="shared" si="16"/>
        <v>5551.252754742517</v>
      </c>
      <c r="AF45" s="48">
        <f t="shared" si="16"/>
        <v>6514.7277993993321</v>
      </c>
    </row>
    <row r="46" spans="1:39">
      <c r="A46" s="48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82"/>
      <c r="AB46" s="382"/>
      <c r="AC46" s="382"/>
      <c r="AD46" s="382"/>
      <c r="AE46" s="382"/>
      <c r="AF46" s="382"/>
    </row>
    <row r="47" spans="1:39">
      <c r="A47" s="397" t="s">
        <v>378</v>
      </c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382"/>
      <c r="Z47" s="382"/>
      <c r="AA47" s="382"/>
      <c r="AB47" s="382"/>
      <c r="AC47" s="382"/>
      <c r="AD47" s="382"/>
      <c r="AE47" s="382"/>
      <c r="AF47" s="382"/>
      <c r="AG47" s="49"/>
      <c r="AH47" s="49"/>
      <c r="AI47" s="49"/>
      <c r="AJ47" s="49"/>
      <c r="AK47" s="49"/>
      <c r="AL47" s="49"/>
      <c r="AM47" s="49"/>
    </row>
    <row r="48" spans="1:39">
      <c r="A48" s="48" t="s">
        <v>131</v>
      </c>
      <c r="B48" s="162">
        <f>SUM(B35,B26)</f>
        <v>4894.4682056561142</v>
      </c>
      <c r="C48" s="162">
        <f t="shared" ref="C48:AF48" si="17">SUM(C35,C26)</f>
        <v>12478.559266270597</v>
      </c>
      <c r="D48" s="162">
        <f t="shared" si="17"/>
        <v>13573.755977336004</v>
      </c>
      <c r="E48" s="162">
        <f t="shared" si="17"/>
        <v>14719.092720655979</v>
      </c>
      <c r="F48" s="162">
        <f t="shared" si="17"/>
        <v>15932.100169050587</v>
      </c>
      <c r="G48" s="162">
        <f t="shared" si="17"/>
        <v>17277.663647244612</v>
      </c>
      <c r="H48" s="162">
        <f t="shared" si="17"/>
        <v>2782.3588576101902</v>
      </c>
      <c r="I48" s="162">
        <f t="shared" si="17"/>
        <v>0</v>
      </c>
      <c r="J48" s="162">
        <f t="shared" si="17"/>
        <v>0</v>
      </c>
      <c r="K48" s="162">
        <f t="shared" si="17"/>
        <v>0</v>
      </c>
      <c r="L48" s="162">
        <f t="shared" si="17"/>
        <v>0</v>
      </c>
      <c r="M48" s="162">
        <f t="shared" si="17"/>
        <v>0</v>
      </c>
      <c r="N48" s="162">
        <f t="shared" si="17"/>
        <v>0</v>
      </c>
      <c r="O48" s="162">
        <f t="shared" si="17"/>
        <v>0</v>
      </c>
      <c r="P48" s="162">
        <f t="shared" si="17"/>
        <v>0</v>
      </c>
      <c r="Q48" s="162">
        <f t="shared" si="17"/>
        <v>0</v>
      </c>
      <c r="R48" s="162">
        <f t="shared" si="17"/>
        <v>0</v>
      </c>
      <c r="S48" s="162">
        <f t="shared" si="17"/>
        <v>0</v>
      </c>
      <c r="T48" s="162">
        <f t="shared" si="17"/>
        <v>0</v>
      </c>
      <c r="U48" s="162">
        <f t="shared" si="17"/>
        <v>0</v>
      </c>
      <c r="V48" s="162">
        <f t="shared" si="17"/>
        <v>0</v>
      </c>
      <c r="W48" s="162">
        <f t="shared" si="17"/>
        <v>0</v>
      </c>
      <c r="X48" s="162">
        <f t="shared" si="17"/>
        <v>-483.15045810480444</v>
      </c>
      <c r="Y48" s="162">
        <f t="shared" si="17"/>
        <v>-533.83380925977633</v>
      </c>
      <c r="Z48" s="162">
        <f t="shared" si="17"/>
        <v>-587.90452331222082</v>
      </c>
      <c r="AA48" s="162">
        <f t="shared" si="17"/>
        <v>-647.85725466041117</v>
      </c>
      <c r="AB48" s="162">
        <f t="shared" si="17"/>
        <v>-712.66230213217295</v>
      </c>
      <c r="AC48" s="162">
        <f t="shared" si="17"/>
        <v>-783.63829084251347</v>
      </c>
      <c r="AD48" s="162">
        <f t="shared" si="17"/>
        <v>-859.19686535513483</v>
      </c>
      <c r="AE48" s="162">
        <f t="shared" si="17"/>
        <v>-943.00925107548301</v>
      </c>
      <c r="AF48" s="162">
        <f t="shared" si="17"/>
        <v>-963.47504465681504</v>
      </c>
      <c r="AG48" s="49"/>
      <c r="AH48" s="49"/>
      <c r="AI48" s="49"/>
      <c r="AJ48" s="49"/>
      <c r="AK48" s="49"/>
      <c r="AL48" s="49"/>
      <c r="AM48" s="49"/>
    </row>
    <row r="49" spans="1:39">
      <c r="A49" s="397" t="s">
        <v>130</v>
      </c>
      <c r="B49" s="386">
        <f>B36</f>
        <v>2821.9797136376992</v>
      </c>
      <c r="C49" s="386">
        <f t="shared" ref="C49:AF49" si="18">C27+C36+B44</f>
        <v>6078.6909387770002</v>
      </c>
      <c r="D49" s="386">
        <f t="shared" si="18"/>
        <v>5028.1781849400759</v>
      </c>
      <c r="E49" s="386">
        <f t="shared" si="18"/>
        <v>3889.1362789812656</v>
      </c>
      <c r="F49" s="386">
        <f t="shared" si="18"/>
        <v>2644.2982438811941</v>
      </c>
      <c r="G49" s="386">
        <f t="shared" si="18"/>
        <v>1304.7722080668223</v>
      </c>
      <c r="H49" s="386">
        <f t="shared" si="18"/>
        <v>114.4578582110055</v>
      </c>
      <c r="I49" s="386">
        <f t="shared" si="18"/>
        <v>0</v>
      </c>
      <c r="J49" s="386">
        <f t="shared" si="18"/>
        <v>0</v>
      </c>
      <c r="K49" s="386">
        <f t="shared" si="18"/>
        <v>0</v>
      </c>
      <c r="L49" s="386">
        <f t="shared" si="18"/>
        <v>0</v>
      </c>
      <c r="M49" s="386">
        <f t="shared" si="18"/>
        <v>0</v>
      </c>
      <c r="N49" s="386">
        <f t="shared" si="18"/>
        <v>0</v>
      </c>
      <c r="O49" s="386">
        <f t="shared" si="18"/>
        <v>0</v>
      </c>
      <c r="P49" s="386">
        <f t="shared" si="18"/>
        <v>0</v>
      </c>
      <c r="Q49" s="386">
        <f t="shared" si="18"/>
        <v>0</v>
      </c>
      <c r="R49" s="386">
        <f t="shared" si="18"/>
        <v>0</v>
      </c>
      <c r="S49" s="386">
        <f t="shared" si="18"/>
        <v>0</v>
      </c>
      <c r="T49" s="386">
        <f t="shared" si="18"/>
        <v>0</v>
      </c>
      <c r="U49" s="386">
        <f t="shared" si="18"/>
        <v>0</v>
      </c>
      <c r="V49" s="386">
        <f t="shared" si="18"/>
        <v>0</v>
      </c>
      <c r="W49" s="386">
        <f t="shared" si="18"/>
        <v>0</v>
      </c>
      <c r="X49" s="386">
        <f t="shared" si="18"/>
        <v>9.789811455866225</v>
      </c>
      <c r="Y49" s="386">
        <f t="shared" si="18"/>
        <v>50.675437069151656</v>
      </c>
      <c r="Z49" s="386">
        <f t="shared" si="18"/>
        <v>95.75061914737428</v>
      </c>
      <c r="AA49" s="386">
        <f t="shared" si="18"/>
        <v>145.52314955138519</v>
      </c>
      <c r="AB49" s="386">
        <f t="shared" si="18"/>
        <v>200.28151492096623</v>
      </c>
      <c r="AC49" s="386">
        <f t="shared" si="18"/>
        <v>260.65213041013135</v>
      </c>
      <c r="AD49" s="386">
        <f t="shared" si="18"/>
        <v>326.47365181754787</v>
      </c>
      <c r="AE49" s="386">
        <f t="shared" si="18"/>
        <v>399.26666064065228</v>
      </c>
      <c r="AF49" s="386">
        <f t="shared" si="18"/>
        <v>269.90383705741351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7716.4479192938134</v>
      </c>
      <c r="C50" s="49">
        <f t="shared" si="19"/>
        <v>18557.250205047596</v>
      </c>
      <c r="D50" s="49">
        <f t="shared" si="19"/>
        <v>18601.93416227608</v>
      </c>
      <c r="E50" s="49">
        <f t="shared" si="19"/>
        <v>18608.228999637246</v>
      </c>
      <c r="F50" s="49">
        <f t="shared" si="19"/>
        <v>18576.398412931783</v>
      </c>
      <c r="G50" s="49">
        <f t="shared" si="19"/>
        <v>18582.435855311433</v>
      </c>
      <c r="H50" s="49">
        <f t="shared" si="19"/>
        <v>2896.8167158211959</v>
      </c>
      <c r="I50" s="49">
        <f t="shared" si="19"/>
        <v>0</v>
      </c>
      <c r="J50" s="49">
        <f t="shared" si="19"/>
        <v>0</v>
      </c>
      <c r="K50" s="49">
        <f t="shared" si="19"/>
        <v>0</v>
      </c>
      <c r="L50" s="49">
        <f t="shared" si="19"/>
        <v>0</v>
      </c>
      <c r="M50" s="49">
        <f t="shared" si="19"/>
        <v>0</v>
      </c>
      <c r="N50" s="49">
        <f t="shared" si="19"/>
        <v>0</v>
      </c>
      <c r="O50" s="49">
        <f t="shared" si="19"/>
        <v>0</v>
      </c>
      <c r="P50" s="49">
        <f t="shared" si="19"/>
        <v>0</v>
      </c>
      <c r="Q50" s="49">
        <f t="shared" si="19"/>
        <v>0</v>
      </c>
      <c r="R50" s="49">
        <f t="shared" si="19"/>
        <v>0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0</v>
      </c>
      <c r="X50" s="49">
        <f t="shared" si="19"/>
        <v>-473.3606466489382</v>
      </c>
      <c r="Y50" s="49">
        <f t="shared" si="19"/>
        <v>-483.15837219062468</v>
      </c>
      <c r="Z50" s="49">
        <f t="shared" si="19"/>
        <v>-492.15390416484655</v>
      </c>
      <c r="AA50" s="49">
        <f t="shared" si="19"/>
        <v>-502.33410510902598</v>
      </c>
      <c r="AB50" s="49">
        <f t="shared" si="19"/>
        <v>-512.38078721120678</v>
      </c>
      <c r="AC50" s="49">
        <f t="shared" si="19"/>
        <v>-522.98616043238212</v>
      </c>
      <c r="AD50" s="49">
        <f t="shared" si="19"/>
        <v>-532.72321353758696</v>
      </c>
      <c r="AE50" s="49">
        <f t="shared" si="19"/>
        <v>-543.74259043483073</v>
      </c>
      <c r="AF50" s="49">
        <f t="shared" si="19"/>
        <v>-693.57120759940153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5" t="s">
        <v>393</v>
      </c>
      <c r="B52" s="404">
        <f>IF(B33&gt;0.1,(B38+B29)/B50," ")</f>
        <v>1.3000000000000009</v>
      </c>
      <c r="C52" s="404">
        <f t="shared" ref="C52:AF52" si="20">IF(C33&gt;0.1,(C38+C29)/C50," ")</f>
        <v>1.2999999999999998</v>
      </c>
      <c r="D52" s="404">
        <f t="shared" si="20"/>
        <v>1.2999999999999998</v>
      </c>
      <c r="E52" s="404">
        <f t="shared" si="20"/>
        <v>1.2999999999999994</v>
      </c>
      <c r="F52" s="404">
        <f t="shared" si="20"/>
        <v>1.2999999999999996</v>
      </c>
      <c r="G52" s="404">
        <f t="shared" si="20"/>
        <v>1.3000000000000003</v>
      </c>
      <c r="H52" s="404" t="str">
        <f t="shared" si="20"/>
        <v xml:space="preserve"> </v>
      </c>
      <c r="I52" s="404" t="str">
        <f t="shared" si="20"/>
        <v xml:space="preserve"> </v>
      </c>
      <c r="J52" s="404" t="str">
        <f t="shared" si="20"/>
        <v xml:space="preserve"> </v>
      </c>
      <c r="K52" s="404" t="str">
        <f t="shared" si="20"/>
        <v xml:space="preserve"> </v>
      </c>
      <c r="L52" s="404" t="str">
        <f t="shared" si="20"/>
        <v xml:space="preserve"> </v>
      </c>
      <c r="M52" s="404" t="str">
        <f t="shared" si="20"/>
        <v xml:space="preserve"> </v>
      </c>
      <c r="N52" s="404" t="str">
        <f t="shared" si="20"/>
        <v xml:space="preserve"> </v>
      </c>
      <c r="O52" s="404" t="str">
        <f t="shared" si="20"/>
        <v xml:space="preserve"> </v>
      </c>
      <c r="P52" s="465" t="str">
        <f t="shared" si="20"/>
        <v xml:space="preserve"> </v>
      </c>
      <c r="Q52" s="404" t="str">
        <f t="shared" si="20"/>
        <v xml:space="preserve"> </v>
      </c>
      <c r="R52" s="404" t="str">
        <f t="shared" si="20"/>
        <v xml:space="preserve"> </v>
      </c>
      <c r="S52" s="404" t="str">
        <f t="shared" si="20"/>
        <v xml:space="preserve"> </v>
      </c>
      <c r="T52" s="404" t="str">
        <f t="shared" si="20"/>
        <v xml:space="preserve"> </v>
      </c>
      <c r="U52" s="404" t="str">
        <f t="shared" si="20"/>
        <v xml:space="preserve"> </v>
      </c>
      <c r="V52" s="404" t="str">
        <f t="shared" si="20"/>
        <v xml:space="preserve"> </v>
      </c>
      <c r="W52" s="404" t="str">
        <f t="shared" si="20"/>
        <v xml:space="preserve"> </v>
      </c>
      <c r="X52" s="404">
        <f t="shared" si="20"/>
        <v>1.3</v>
      </c>
      <c r="Y52" s="404">
        <f t="shared" si="20"/>
        <v>1.3</v>
      </c>
      <c r="Z52" s="404">
        <f t="shared" si="20"/>
        <v>1.3000000000000003</v>
      </c>
      <c r="AA52" s="404">
        <f t="shared" si="20"/>
        <v>1.3000000000000003</v>
      </c>
      <c r="AB52" s="404">
        <f t="shared" si="20"/>
        <v>1.2999999999999994</v>
      </c>
      <c r="AC52" s="404">
        <f t="shared" si="20"/>
        <v>1.3000000000000003</v>
      </c>
      <c r="AD52" s="404">
        <f t="shared" si="20"/>
        <v>1.3000000000000023</v>
      </c>
      <c r="AE52" s="404">
        <f t="shared" si="20"/>
        <v>1.2999999999999989</v>
      </c>
      <c r="AF52" s="465">
        <f t="shared" si="20"/>
        <v>1.2999999999999987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4"/>
      <c r="C53" s="409"/>
      <c r="D53" s="409"/>
      <c r="E53" s="409"/>
      <c r="F53" s="409"/>
      <c r="G53" s="409"/>
      <c r="H53" s="409"/>
      <c r="I53" s="409"/>
      <c r="J53" s="409"/>
      <c r="K53" s="409"/>
      <c r="L53" s="409"/>
      <c r="M53" s="409"/>
      <c r="N53" s="409"/>
      <c r="O53" s="409"/>
      <c r="P53" s="409"/>
      <c r="Q53" s="409"/>
      <c r="R53" s="409"/>
      <c r="S53" s="409"/>
      <c r="T53" s="409"/>
      <c r="U53" s="409"/>
      <c r="V53" s="409"/>
      <c r="W53" s="409"/>
      <c r="X53" s="409"/>
      <c r="Y53" s="409"/>
      <c r="Z53" s="409"/>
      <c r="AA53" s="409"/>
      <c r="AB53" s="409"/>
      <c r="AC53" s="409"/>
      <c r="AD53" s="409"/>
      <c r="AE53" s="409"/>
      <c r="AF53" s="409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4"/>
      <c r="C54" s="409"/>
      <c r="D54" s="409"/>
      <c r="E54" s="409"/>
      <c r="F54" s="409"/>
      <c r="G54" s="409"/>
      <c r="H54" s="409"/>
      <c r="I54" s="409"/>
      <c r="J54" s="409"/>
      <c r="K54" s="409"/>
      <c r="L54" s="409"/>
      <c r="M54" s="409"/>
      <c r="N54" s="409"/>
      <c r="O54" s="409"/>
      <c r="P54" s="409"/>
      <c r="Q54" s="409"/>
      <c r="R54" s="409"/>
      <c r="S54" s="409"/>
      <c r="T54" s="409"/>
      <c r="U54" s="409"/>
      <c r="V54" s="409"/>
      <c r="W54" s="409"/>
      <c r="X54" s="409"/>
      <c r="Y54" s="409"/>
      <c r="Z54" s="409"/>
      <c r="AA54" s="409"/>
      <c r="AB54" s="409"/>
      <c r="AC54" s="409"/>
      <c r="AD54" s="409"/>
      <c r="AE54" s="409"/>
      <c r="AF54" s="409"/>
      <c r="AG54" s="50"/>
      <c r="AH54" s="50"/>
      <c r="AI54" s="50"/>
      <c r="AJ54" s="50"/>
      <c r="AK54" s="50"/>
      <c r="AL54" s="50"/>
      <c r="AM54" s="50"/>
    </row>
    <row r="55" spans="1:39">
      <c r="A55" s="397" t="s">
        <v>377</v>
      </c>
      <c r="B55" s="382"/>
      <c r="C55" s="382"/>
      <c r="D55" s="382"/>
      <c r="E55" s="382"/>
      <c r="F55" s="382"/>
      <c r="G55" s="382"/>
      <c r="H55" s="382"/>
      <c r="I55" s="382"/>
      <c r="J55" s="382"/>
      <c r="K55" s="382"/>
      <c r="L55" s="382"/>
      <c r="M55" s="382"/>
      <c r="N55" s="382"/>
      <c r="O55" s="382"/>
      <c r="P55" s="382"/>
      <c r="Q55" s="382"/>
      <c r="R55" s="382"/>
      <c r="S55" s="382"/>
      <c r="T55" s="382"/>
      <c r="U55" s="382"/>
      <c r="V55" s="382"/>
      <c r="W55" s="382"/>
      <c r="X55" s="382"/>
      <c r="Y55" s="382"/>
      <c r="Z55" s="382"/>
      <c r="AA55" s="382"/>
      <c r="AB55" s="382"/>
      <c r="AC55" s="382"/>
      <c r="AD55" s="382"/>
      <c r="AE55" s="382"/>
      <c r="AF55" s="382"/>
    </row>
    <row r="56" spans="1:39">
      <c r="A56" s="48" t="s">
        <v>131</v>
      </c>
      <c r="B56" s="162">
        <f t="shared" ref="B56:AF56" si="21">B35+B26</f>
        <v>4894.4682056561142</v>
      </c>
      <c r="C56" s="162">
        <f t="shared" si="21"/>
        <v>12478.559266270597</v>
      </c>
      <c r="D56" s="162">
        <f t="shared" si="21"/>
        <v>13573.755977336004</v>
      </c>
      <c r="E56" s="162">
        <f t="shared" si="21"/>
        <v>14719.092720655979</v>
      </c>
      <c r="F56" s="162">
        <f t="shared" si="21"/>
        <v>15932.100169050587</v>
      </c>
      <c r="G56" s="162">
        <f t="shared" si="21"/>
        <v>17277.663647244612</v>
      </c>
      <c r="H56" s="162">
        <f t="shared" si="21"/>
        <v>2782.3588576101902</v>
      </c>
      <c r="I56" s="162">
        <f t="shared" si="21"/>
        <v>0</v>
      </c>
      <c r="J56" s="162">
        <f t="shared" si="21"/>
        <v>0</v>
      </c>
      <c r="K56" s="162">
        <f t="shared" si="21"/>
        <v>0</v>
      </c>
      <c r="L56" s="162">
        <f t="shared" si="21"/>
        <v>0</v>
      </c>
      <c r="M56" s="162">
        <f t="shared" si="21"/>
        <v>0</v>
      </c>
      <c r="N56" s="162">
        <f t="shared" si="21"/>
        <v>0</v>
      </c>
      <c r="O56" s="162">
        <f t="shared" si="21"/>
        <v>0</v>
      </c>
      <c r="P56" s="162">
        <f t="shared" si="21"/>
        <v>0</v>
      </c>
      <c r="Q56" s="162">
        <f t="shared" si="21"/>
        <v>0</v>
      </c>
      <c r="R56" s="162">
        <f t="shared" si="21"/>
        <v>0</v>
      </c>
      <c r="S56" s="162">
        <f t="shared" si="21"/>
        <v>0</v>
      </c>
      <c r="T56" s="162">
        <f t="shared" si="21"/>
        <v>0</v>
      </c>
      <c r="U56" s="162">
        <f t="shared" si="21"/>
        <v>0</v>
      </c>
      <c r="V56" s="162">
        <f t="shared" si="21"/>
        <v>0</v>
      </c>
      <c r="W56" s="162">
        <f t="shared" si="21"/>
        <v>0</v>
      </c>
      <c r="X56" s="162">
        <f t="shared" si="21"/>
        <v>-483.15045810480444</v>
      </c>
      <c r="Y56" s="162">
        <f t="shared" si="21"/>
        <v>-533.83380925977633</v>
      </c>
      <c r="Z56" s="162">
        <f t="shared" si="21"/>
        <v>-587.90452331222082</v>
      </c>
      <c r="AA56" s="162">
        <f t="shared" si="21"/>
        <v>-647.85725466041117</v>
      </c>
      <c r="AB56" s="162">
        <f t="shared" si="21"/>
        <v>-712.66230213217295</v>
      </c>
      <c r="AC56" s="162">
        <f t="shared" si="21"/>
        <v>-783.63829084251347</v>
      </c>
      <c r="AD56" s="162">
        <f t="shared" si="21"/>
        <v>-859.19686535513483</v>
      </c>
      <c r="AE56" s="162">
        <f t="shared" si="21"/>
        <v>-943.00925107548301</v>
      </c>
      <c r="AF56" s="162">
        <f t="shared" si="21"/>
        <v>-963.47504465681504</v>
      </c>
    </row>
    <row r="57" spans="1:39">
      <c r="A57" s="397" t="s">
        <v>130</v>
      </c>
      <c r="B57" s="386">
        <f t="shared" ref="B57:AF57" si="22">B36+B44+B27</f>
        <v>4399.8091626891601</v>
      </c>
      <c r="C57" s="386">
        <f t="shared" si="22"/>
        <v>5823.1064830803871</v>
      </c>
      <c r="D57" s="386">
        <f t="shared" si="22"/>
        <v>4748.9864780911712</v>
      </c>
      <c r="E57" s="386">
        <f t="shared" si="22"/>
        <v>3584.3640333888316</v>
      </c>
      <c r="F57" s="386">
        <f t="shared" si="22"/>
        <v>2318.6216384613754</v>
      </c>
      <c r="G57" s="386">
        <f t="shared" si="22"/>
        <v>949.39670167863335</v>
      </c>
      <c r="H57" s="386">
        <f t="shared" si="22"/>
        <v>57.22892910550275</v>
      </c>
      <c r="I57" s="386">
        <f t="shared" si="22"/>
        <v>0</v>
      </c>
      <c r="J57" s="386">
        <f t="shared" si="22"/>
        <v>0</v>
      </c>
      <c r="K57" s="386">
        <f t="shared" si="22"/>
        <v>0</v>
      </c>
      <c r="L57" s="386">
        <f t="shared" si="22"/>
        <v>0</v>
      </c>
      <c r="M57" s="386">
        <f t="shared" si="22"/>
        <v>0</v>
      </c>
      <c r="N57" s="386">
        <f t="shared" si="22"/>
        <v>0</v>
      </c>
      <c r="O57" s="386">
        <f t="shared" si="22"/>
        <v>0</v>
      </c>
      <c r="P57" s="386">
        <f t="shared" si="22"/>
        <v>0</v>
      </c>
      <c r="Q57" s="386">
        <f t="shared" si="22"/>
        <v>0</v>
      </c>
      <c r="R57" s="386">
        <f t="shared" si="22"/>
        <v>0</v>
      </c>
      <c r="S57" s="386">
        <f t="shared" si="22"/>
        <v>0</v>
      </c>
      <c r="T57" s="386">
        <f t="shared" si="22"/>
        <v>0</v>
      </c>
      <c r="U57" s="386">
        <f t="shared" si="22"/>
        <v>0</v>
      </c>
      <c r="V57" s="386">
        <f t="shared" si="22"/>
        <v>0</v>
      </c>
      <c r="W57" s="386">
        <f t="shared" si="22"/>
        <v>0</v>
      </c>
      <c r="X57" s="386">
        <f t="shared" si="22"/>
        <v>19.727488344145183</v>
      </c>
      <c r="Y57" s="386">
        <f t="shared" si="22"/>
        <v>61.598441566773218</v>
      </c>
      <c r="Z57" s="386">
        <f t="shared" si="22"/>
        <v>107.90008186012059</v>
      </c>
      <c r="AA57" s="386">
        <f t="shared" si="22"/>
        <v>158.84859705648938</v>
      </c>
      <c r="AB57" s="386">
        <f t="shared" si="22"/>
        <v>214.9399046011232</v>
      </c>
      <c r="AC57" s="386">
        <f t="shared" si="22"/>
        <v>276.55970004733427</v>
      </c>
      <c r="AD57" s="386">
        <f t="shared" si="22"/>
        <v>344.35672583830069</v>
      </c>
      <c r="AE57" s="386">
        <f t="shared" si="22"/>
        <v>418.66293996243087</v>
      </c>
      <c r="AF57" s="386">
        <f t="shared" si="22"/>
        <v>515.01463307297263</v>
      </c>
    </row>
    <row r="58" spans="1:39">
      <c r="A58" s="49" t="s">
        <v>59</v>
      </c>
      <c r="B58" s="49">
        <f>SUM(B56:B57)</f>
        <v>9294.2773683452742</v>
      </c>
      <c r="C58" s="49">
        <f t="shared" ref="C58:AF58" si="23">SUM(C56:C57)</f>
        <v>18301.665749350985</v>
      </c>
      <c r="D58" s="49">
        <f t="shared" si="23"/>
        <v>18322.742455427175</v>
      </c>
      <c r="E58" s="49">
        <f t="shared" si="23"/>
        <v>18303.456754044812</v>
      </c>
      <c r="F58" s="49">
        <f t="shared" si="23"/>
        <v>18250.721807511964</v>
      </c>
      <c r="G58" s="49">
        <f t="shared" si="23"/>
        <v>18227.060348923245</v>
      </c>
      <c r="H58" s="49">
        <f t="shared" si="23"/>
        <v>2839.5877867156928</v>
      </c>
      <c r="I58" s="49">
        <f t="shared" si="23"/>
        <v>0</v>
      </c>
      <c r="J58" s="49">
        <f t="shared" si="23"/>
        <v>0</v>
      </c>
      <c r="K58" s="49">
        <f t="shared" si="23"/>
        <v>0</v>
      </c>
      <c r="L58" s="49">
        <f t="shared" si="23"/>
        <v>0</v>
      </c>
      <c r="M58" s="49">
        <f t="shared" si="23"/>
        <v>0</v>
      </c>
      <c r="N58" s="49">
        <f t="shared" si="23"/>
        <v>0</v>
      </c>
      <c r="O58" s="49">
        <f t="shared" si="23"/>
        <v>0</v>
      </c>
      <c r="P58" s="49">
        <f t="shared" si="23"/>
        <v>0</v>
      </c>
      <c r="Q58" s="49">
        <f t="shared" si="23"/>
        <v>0</v>
      </c>
      <c r="R58" s="49">
        <f t="shared" si="23"/>
        <v>0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0</v>
      </c>
      <c r="X58" s="49">
        <f t="shared" si="23"/>
        <v>-463.42296976065927</v>
      </c>
      <c r="Y58" s="49">
        <f t="shared" si="23"/>
        <v>-472.23536769300313</v>
      </c>
      <c r="Z58" s="49">
        <f t="shared" si="23"/>
        <v>-480.0044414521002</v>
      </c>
      <c r="AA58" s="49">
        <f t="shared" si="23"/>
        <v>-489.00865760392179</v>
      </c>
      <c r="AB58" s="49">
        <f t="shared" si="23"/>
        <v>-497.72239753104975</v>
      </c>
      <c r="AC58" s="49">
        <f t="shared" si="23"/>
        <v>-507.0785907951792</v>
      </c>
      <c r="AD58" s="49">
        <f t="shared" si="23"/>
        <v>-514.84013951683414</v>
      </c>
      <c r="AE58" s="49">
        <f t="shared" si="23"/>
        <v>-524.34631111305214</v>
      </c>
      <c r="AF58" s="49">
        <f t="shared" si="23"/>
        <v>-448.46041158384241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4"/>
      <c r="C59" s="409"/>
      <c r="D59" s="409"/>
      <c r="E59" s="409"/>
      <c r="F59" s="409"/>
      <c r="G59" s="409"/>
      <c r="H59" s="409"/>
      <c r="I59" s="409"/>
      <c r="J59" s="409"/>
      <c r="K59" s="409"/>
      <c r="L59" s="409"/>
      <c r="M59" s="409"/>
      <c r="N59" s="409"/>
      <c r="O59" s="409"/>
      <c r="P59" s="409"/>
      <c r="Q59" s="409"/>
      <c r="R59" s="409"/>
      <c r="S59" s="409"/>
      <c r="T59" s="409"/>
      <c r="U59" s="409"/>
      <c r="V59" s="409"/>
      <c r="W59" s="409"/>
      <c r="X59" s="409"/>
      <c r="Y59" s="409"/>
      <c r="Z59" s="409"/>
      <c r="AA59" s="409"/>
      <c r="AB59" s="409"/>
      <c r="AC59" s="409"/>
      <c r="AD59" s="409"/>
      <c r="AE59" s="409"/>
      <c r="AF59" s="409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10"/>
      <c r="C60" s="410"/>
      <c r="D60" s="410"/>
      <c r="E60" s="410"/>
      <c r="F60" s="410"/>
      <c r="G60" s="410"/>
      <c r="H60" s="410"/>
      <c r="I60" s="410"/>
      <c r="J60" s="410"/>
      <c r="K60" s="410"/>
      <c r="L60" s="410"/>
      <c r="M60" s="410"/>
      <c r="N60" s="410"/>
      <c r="O60" s="410"/>
      <c r="P60" s="410"/>
      <c r="Q60" s="410"/>
      <c r="R60" s="410"/>
      <c r="S60" s="410"/>
      <c r="T60" s="410"/>
      <c r="U60" s="410"/>
      <c r="V60" s="410"/>
      <c r="W60" s="410"/>
      <c r="X60" s="410"/>
      <c r="Y60" s="410"/>
      <c r="Z60" s="410"/>
      <c r="AA60" s="410"/>
      <c r="AB60" s="410"/>
      <c r="AC60" s="410"/>
      <c r="AD60" s="410"/>
      <c r="AE60" s="410"/>
      <c r="AF60" s="410"/>
      <c r="AG60" s="50"/>
      <c r="AH60" s="50"/>
      <c r="AI60" s="50"/>
      <c r="AJ60" s="50"/>
      <c r="AK60" s="50"/>
      <c r="AL60" s="50"/>
      <c r="AM60" s="50"/>
    </row>
    <row r="61" spans="1:39">
      <c r="B61" s="565" t="s">
        <v>320</v>
      </c>
      <c r="C61" s="566"/>
      <c r="D61" s="566"/>
      <c r="E61" s="567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6" t="s">
        <v>381</v>
      </c>
      <c r="C62" s="57"/>
      <c r="D62" s="57"/>
      <c r="E62" s="457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0">
        <f>Assumptions!G38</f>
        <v>1.7500000000000002E-2</v>
      </c>
      <c r="AA63" s="12"/>
      <c r="AB63" s="12"/>
    </row>
    <row r="64" spans="1:39">
      <c r="A64" s="48"/>
      <c r="B64" s="333" t="s">
        <v>382</v>
      </c>
      <c r="C64" s="58"/>
      <c r="D64" s="58"/>
      <c r="E64" s="400">
        <f>E63+E62</f>
        <v>8.2500000000000004E-2</v>
      </c>
      <c r="AA64" s="12"/>
      <c r="AB64" s="12"/>
    </row>
    <row r="65" spans="1:43">
      <c r="B65" s="402" t="s">
        <v>380</v>
      </c>
      <c r="C65" s="57"/>
      <c r="D65" s="57"/>
      <c r="E65" s="401">
        <f>Assumptions!G33</f>
        <v>20</v>
      </c>
      <c r="AA65" s="12"/>
      <c r="AB65" s="12"/>
    </row>
    <row r="66" spans="1:43">
      <c r="B66" s="443" t="s">
        <v>379</v>
      </c>
      <c r="C66" s="13"/>
      <c r="D66" s="13"/>
      <c r="E66" s="458">
        <f>B77</f>
        <v>1.1742164101531707</v>
      </c>
      <c r="AA66" s="12"/>
      <c r="AB66" s="12"/>
    </row>
    <row r="67" spans="1:43">
      <c r="B67" s="333" t="s">
        <v>54</v>
      </c>
      <c r="C67" s="58"/>
      <c r="D67" s="58"/>
      <c r="E67" s="444">
        <f>B19</f>
        <v>81657.998843824083</v>
      </c>
      <c r="AA67" s="12"/>
      <c r="AB67" s="12"/>
    </row>
    <row r="68" spans="1:43">
      <c r="B68" s="330" t="s">
        <v>0</v>
      </c>
      <c r="C68" s="57"/>
      <c r="D68" s="57" t="s">
        <v>375</v>
      </c>
      <c r="E68" s="461">
        <f>AVERAGE(B52:AF52)</f>
        <v>1.3</v>
      </c>
      <c r="AA68" s="12"/>
      <c r="AB68" s="12"/>
    </row>
    <row r="69" spans="1:43">
      <c r="B69" s="459"/>
      <c r="C69" s="58"/>
      <c r="D69" s="58" t="s">
        <v>376</v>
      </c>
      <c r="E69" s="462">
        <f>MIN(B52:AF52)</f>
        <v>1.2999999999999987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8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81"/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82</v>
      </c>
      <c r="B77" s="463">
        <f>(SUMPRODUCT(B74:AF74,B35:AF35)+SUMPRODUCT(B75:AF75,B26:AF26))/E67</f>
        <v>1.1742164101531707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8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4"/>
      <c r="AB79" s="384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350520</xdr:colOff>
                    <xdr:row>15</xdr:row>
                    <xdr:rowOff>30480</xdr:rowOff>
                  </from>
                  <to>
                    <xdr:col>0</xdr:col>
                    <xdr:colOff>1988820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topLeftCell="A17" zoomScale="75" zoomScaleNormal="75" workbookViewId="0">
      <selection activeCell="B50" sqref="B50"/>
    </sheetView>
  </sheetViews>
  <sheetFormatPr defaultColWidth="9.109375" defaultRowHeight="13.2"/>
  <cols>
    <col min="1" max="1" width="55.6640625" style="12" customWidth="1"/>
    <col min="2" max="2" width="9.6640625" style="12" customWidth="1"/>
    <col min="3" max="3" width="10" style="24" bestFit="1" customWidth="1"/>
    <col min="4" max="4" width="14.88671875" style="12" customWidth="1"/>
    <col min="5" max="5" width="14.109375" style="12" customWidth="1"/>
    <col min="6" max="6" width="11.109375" style="12" customWidth="1"/>
    <col min="7" max="9" width="11.5546875" style="12" customWidth="1"/>
    <col min="10" max="10" width="11.33203125" style="12" customWidth="1"/>
    <col min="11" max="11" width="11.5546875" style="12" customWidth="1"/>
    <col min="12" max="12" width="11.33203125" style="12" customWidth="1"/>
    <col min="13" max="14" width="11.5546875" style="12" customWidth="1"/>
    <col min="15" max="15" width="11.109375" style="12" customWidth="1"/>
    <col min="16" max="16" width="10.5546875" style="12" customWidth="1"/>
    <col min="17" max="19" width="11.109375" style="12" customWidth="1"/>
    <col min="20" max="20" width="10.88671875" style="12" customWidth="1"/>
    <col min="21" max="21" width="11.109375" style="12" customWidth="1"/>
    <col min="22" max="22" width="10.88671875" style="12" customWidth="1"/>
    <col min="23" max="24" width="11.109375" style="12" customWidth="1"/>
    <col min="25" max="34" width="11.5546875" style="12" customWidth="1"/>
    <col min="35" max="16384" width="9.109375" style="12"/>
  </cols>
  <sheetData>
    <row r="2" spans="1:34" ht="21" customHeight="1">
      <c r="A2" s="86" t="str">
        <f>Assumptions!A3</f>
        <v>PROJECT NAME: Homestead, Florida</v>
      </c>
    </row>
    <row r="4" spans="1:34" ht="17.399999999999999">
      <c r="A4" s="60" t="s">
        <v>94</v>
      </c>
    </row>
    <row r="5" spans="1:34">
      <c r="Z5" s="165"/>
    </row>
    <row r="6" spans="1:34">
      <c r="D6" s="212">
        <f>'Price_Technical Assumption'!D7</f>
        <v>0.66666666666666663</v>
      </c>
      <c r="E6" s="212">
        <f>'Price_Technical Assumption'!E7</f>
        <v>1.6666666666666665</v>
      </c>
      <c r="F6" s="212">
        <f>'Price_Technical Assumption'!F7</f>
        <v>2.6666666666666665</v>
      </c>
      <c r="G6" s="212">
        <f>'Price_Technical Assumption'!G7</f>
        <v>3.6666666666666665</v>
      </c>
      <c r="H6" s="212">
        <f>'Price_Technical Assumption'!H7</f>
        <v>4.6666666666666661</v>
      </c>
      <c r="I6" s="212">
        <f>'Price_Technical Assumption'!I7</f>
        <v>5.6666666666666661</v>
      </c>
      <c r="J6" s="212">
        <f>'Price_Technical Assumption'!J7</f>
        <v>6.6666666666666661</v>
      </c>
      <c r="K6" s="212">
        <f>'Price_Technical Assumption'!K7</f>
        <v>7.6666666666666661</v>
      </c>
      <c r="L6" s="212">
        <f>'Price_Technical Assumption'!L7</f>
        <v>8.6666666666666661</v>
      </c>
      <c r="M6" s="212">
        <f>'Price_Technical Assumption'!M7</f>
        <v>9.6666666666666661</v>
      </c>
      <c r="N6" s="212">
        <f>'Price_Technical Assumption'!N7</f>
        <v>10.666666666666666</v>
      </c>
      <c r="O6" s="212">
        <f>'Price_Technical Assumption'!O7</f>
        <v>11.666666666666666</v>
      </c>
      <c r="P6" s="212">
        <f>'Price_Technical Assumption'!P7</f>
        <v>12.666666666666666</v>
      </c>
      <c r="Q6" s="212">
        <f>'Price_Technical Assumption'!Q7</f>
        <v>13.666666666666666</v>
      </c>
      <c r="R6" s="212">
        <f>'Price_Technical Assumption'!R7</f>
        <v>14.666666666666666</v>
      </c>
      <c r="S6" s="212">
        <f>'Price_Technical Assumption'!S7</f>
        <v>15.666666666666666</v>
      </c>
      <c r="T6" s="212">
        <f>'Price_Technical Assumption'!T7</f>
        <v>16.666666666666664</v>
      </c>
      <c r="U6" s="212">
        <f>'Price_Technical Assumption'!U7</f>
        <v>17.666666666666664</v>
      </c>
      <c r="V6" s="212">
        <f>'Price_Technical Assumption'!V7</f>
        <v>18.666666666666664</v>
      </c>
      <c r="W6" s="212">
        <f>'Price_Technical Assumption'!W7</f>
        <v>19.666666666666664</v>
      </c>
      <c r="X6" s="212">
        <f>'Price_Technical Assumption'!X7</f>
        <v>20.666666666666664</v>
      </c>
      <c r="Y6" s="212">
        <f>'Price_Technical Assumption'!Y7</f>
        <v>21.666666666666664</v>
      </c>
      <c r="Z6" s="212">
        <f>'Price_Technical Assumption'!Z7</f>
        <v>22.666666666666664</v>
      </c>
      <c r="AA6" s="212">
        <f>'Price_Technical Assumption'!AA7</f>
        <v>23.666666666666664</v>
      </c>
      <c r="AB6" s="212">
        <f>'Price_Technical Assumption'!AB7</f>
        <v>24.666666666666664</v>
      </c>
      <c r="AC6" s="212">
        <f>'Price_Technical Assumption'!AC7</f>
        <v>25.666666666666664</v>
      </c>
      <c r="AD6" s="212">
        <f>'Price_Technical Assumption'!AD7</f>
        <v>26.666666666666664</v>
      </c>
      <c r="AE6" s="212">
        <f>'Price_Technical Assumption'!AE7</f>
        <v>27.666666666666664</v>
      </c>
      <c r="AF6" s="212">
        <f>'Price_Technical Assumption'!AF7</f>
        <v>28.666666666666664</v>
      </c>
      <c r="AG6" s="212">
        <f>'Price_Technical Assumption'!AG7</f>
        <v>29.666666666666664</v>
      </c>
      <c r="AH6" s="212">
        <f>'Price_Technical Assumption'!AH7</f>
        <v>30.666666666666664</v>
      </c>
    </row>
    <row r="7" spans="1:34" s="25" customFormat="1" ht="13.8" thickBot="1">
      <c r="A7" s="122" t="s">
        <v>39</v>
      </c>
      <c r="B7" s="142"/>
      <c r="C7" s="142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7"/>
      <c r="B8" s="143"/>
      <c r="C8" s="143"/>
      <c r="D8" s="206">
        <f>IS!C8</f>
        <v>37256</v>
      </c>
      <c r="E8" s="206">
        <f>IS!D8</f>
        <v>37621</v>
      </c>
      <c r="F8" s="206">
        <f>IS!E8</f>
        <v>37986</v>
      </c>
      <c r="G8" s="206">
        <f>IS!F8</f>
        <v>38352</v>
      </c>
      <c r="H8" s="206">
        <f>IS!G8</f>
        <v>38717</v>
      </c>
      <c r="I8" s="206">
        <f>IS!H8</f>
        <v>39082</v>
      </c>
      <c r="J8" s="206">
        <f>IS!I8</f>
        <v>39447</v>
      </c>
      <c r="K8" s="206">
        <f>IS!J8</f>
        <v>39813</v>
      </c>
      <c r="L8" s="206">
        <f>IS!K8</f>
        <v>40178</v>
      </c>
      <c r="M8" s="206">
        <f>IS!L8</f>
        <v>40543</v>
      </c>
      <c r="N8" s="206">
        <f>IS!M8</f>
        <v>40908</v>
      </c>
      <c r="O8" s="206">
        <f>IS!N8</f>
        <v>41274</v>
      </c>
      <c r="P8" s="206">
        <f>IS!O8</f>
        <v>41639</v>
      </c>
      <c r="Q8" s="206">
        <f>IS!P8</f>
        <v>42004</v>
      </c>
      <c r="R8" s="206">
        <f>IS!Q8</f>
        <v>42369</v>
      </c>
      <c r="S8" s="206">
        <f>IS!R8</f>
        <v>42735</v>
      </c>
      <c r="T8" s="206">
        <f>IS!S8</f>
        <v>43100</v>
      </c>
      <c r="U8" s="206">
        <f>IS!T8</f>
        <v>43465</v>
      </c>
      <c r="V8" s="206">
        <f>IS!U8</f>
        <v>43830</v>
      </c>
      <c r="W8" s="206">
        <f>IS!V8</f>
        <v>44196</v>
      </c>
      <c r="X8" s="206">
        <f>IS!W8</f>
        <v>44561</v>
      </c>
      <c r="Y8" s="206">
        <f>IS!X8</f>
        <v>44926</v>
      </c>
      <c r="Z8" s="206">
        <f>IS!Y8</f>
        <v>45291</v>
      </c>
      <c r="AA8" s="206">
        <f>IS!Z8</f>
        <v>45657</v>
      </c>
      <c r="AB8" s="206">
        <f>IS!AA8</f>
        <v>46022</v>
      </c>
      <c r="AC8" s="206">
        <f>IS!AB8</f>
        <v>46387</v>
      </c>
      <c r="AD8" s="206">
        <f>IS!AC8</f>
        <v>46752</v>
      </c>
      <c r="AE8" s="206">
        <f>IS!AD8</f>
        <v>47118</v>
      </c>
      <c r="AF8" s="206">
        <f>IS!AE8</f>
        <v>47483</v>
      </c>
      <c r="AG8" s="206">
        <f>IS!AF8</f>
        <v>47848</v>
      </c>
      <c r="AH8" s="206">
        <f>IS!AG8</f>
        <v>48213</v>
      </c>
    </row>
    <row r="9" spans="1:34" ht="15.6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243</v>
      </c>
      <c r="B12" s="31">
        <f>Assumptions!$N$39</f>
        <v>15</v>
      </c>
      <c r="C12" s="32"/>
      <c r="D12" s="277">
        <v>0.05</v>
      </c>
      <c r="E12" s="277">
        <v>9.5000000000000001E-2</v>
      </c>
      <c r="F12" s="277">
        <v>8.5500000000000007E-2</v>
      </c>
      <c r="G12" s="277">
        <v>7.6999999999999999E-2</v>
      </c>
      <c r="H12" s="277">
        <v>6.93E-2</v>
      </c>
      <c r="I12" s="277">
        <v>6.2300000000000001E-2</v>
      </c>
      <c r="J12" s="277">
        <v>5.8999999999999997E-2</v>
      </c>
      <c r="K12" s="277">
        <v>5.91E-2</v>
      </c>
      <c r="L12" s="277">
        <v>5.8999999999999997E-2</v>
      </c>
      <c r="M12" s="277">
        <v>5.91E-2</v>
      </c>
      <c r="N12" s="277">
        <v>5.8999999999999997E-2</v>
      </c>
      <c r="O12" s="277">
        <v>5.91E-2</v>
      </c>
      <c r="P12" s="277">
        <v>5.8999999999999997E-2</v>
      </c>
      <c r="Q12" s="277">
        <v>5.91E-2</v>
      </c>
      <c r="R12" s="277">
        <v>5.8999999999999997E-2</v>
      </c>
      <c r="S12" s="277">
        <v>2.9499999999999998E-2</v>
      </c>
      <c r="T12" s="277">
        <v>0</v>
      </c>
      <c r="U12" s="277">
        <v>0</v>
      </c>
      <c r="V12" s="277">
        <v>0</v>
      </c>
      <c r="W12" s="277">
        <v>0</v>
      </c>
      <c r="X12" s="277">
        <v>0</v>
      </c>
      <c r="Y12" s="277">
        <v>0</v>
      </c>
      <c r="Z12" s="277">
        <v>0</v>
      </c>
      <c r="AA12" s="277">
        <v>0</v>
      </c>
      <c r="AB12" s="277">
        <v>0</v>
      </c>
      <c r="AC12" s="277">
        <v>0</v>
      </c>
      <c r="AD12" s="277">
        <v>0</v>
      </c>
      <c r="AE12" s="277">
        <v>0</v>
      </c>
      <c r="AF12" s="277">
        <v>0</v>
      </c>
      <c r="AG12" s="277">
        <v>0</v>
      </c>
      <c r="AH12" s="277">
        <v>0</v>
      </c>
    </row>
    <row r="13" spans="1:34" s="10" customFormat="1">
      <c r="A13" s="21" t="s">
        <v>244</v>
      </c>
      <c r="B13" s="31">
        <f>Assumptions!$N$40</f>
        <v>5</v>
      </c>
      <c r="C13" s="32"/>
      <c r="D13" s="277">
        <f>1/$B$13*D6</f>
        <v>0.13333333333333333</v>
      </c>
      <c r="E13" s="277">
        <f>1/$B$13</f>
        <v>0.2</v>
      </c>
      <c r="F13" s="277">
        <f>1/$B$13</f>
        <v>0.2</v>
      </c>
      <c r="G13" s="277">
        <f>1/$B$13</f>
        <v>0.2</v>
      </c>
      <c r="H13" s="277">
        <f>1/$B$13</f>
        <v>0.2</v>
      </c>
      <c r="I13" s="277">
        <f>1/B13-D13</f>
        <v>6.666666666666668E-2</v>
      </c>
      <c r="J13" s="277">
        <v>0</v>
      </c>
      <c r="K13" s="277">
        <v>0</v>
      </c>
      <c r="L13" s="277">
        <v>0</v>
      </c>
      <c r="M13" s="277">
        <v>0</v>
      </c>
      <c r="N13" s="277">
        <v>0</v>
      </c>
      <c r="O13" s="277">
        <v>0</v>
      </c>
      <c r="P13" s="277">
        <v>0</v>
      </c>
      <c r="Q13" s="277">
        <v>0</v>
      </c>
      <c r="R13" s="277">
        <v>0</v>
      </c>
      <c r="S13" s="277">
        <v>0</v>
      </c>
      <c r="T13" s="277">
        <v>0</v>
      </c>
      <c r="U13" s="277">
        <v>0</v>
      </c>
      <c r="V13" s="277">
        <v>0</v>
      </c>
      <c r="W13" s="277">
        <v>0</v>
      </c>
      <c r="X13" s="277">
        <v>0</v>
      </c>
      <c r="Y13" s="277">
        <v>0</v>
      </c>
      <c r="Z13" s="277">
        <v>0</v>
      </c>
      <c r="AA13" s="277">
        <v>0</v>
      </c>
      <c r="AB13" s="277">
        <v>0</v>
      </c>
      <c r="AC13" s="277">
        <v>0</v>
      </c>
      <c r="AD13" s="277">
        <v>0</v>
      </c>
      <c r="AE13" s="277">
        <v>0</v>
      </c>
      <c r="AF13" s="277">
        <v>0</v>
      </c>
      <c r="AG13" s="277">
        <v>0</v>
      </c>
      <c r="AH13" s="277">
        <v>0</v>
      </c>
    </row>
    <row r="14" spans="1:34" s="70" customFormat="1">
      <c r="A14" s="22" t="s">
        <v>310</v>
      </c>
      <c r="B14" s="68">
        <f>Assumptions!$N$41</f>
        <v>20</v>
      </c>
      <c r="C14" s="69"/>
      <c r="D14" s="277">
        <f>1/Assumptions!$N$41*D6</f>
        <v>3.3333333333333333E-2</v>
      </c>
      <c r="E14" s="277">
        <f>IF(AND(E6&gt;=Assumptions!$N$41,D6&lt;Assumptions!$N$41),1/Assumptions!$N$41-Depreciation!$D$14,IF(E6&lt;Assumptions!$N$41,1/Assumptions!$N$41,0))</f>
        <v>0.05</v>
      </c>
      <c r="F14" s="277">
        <f>IF(AND(F6&gt;=Assumptions!$N$41,E6&lt;Assumptions!$N$41),1/Assumptions!$N$41-Depreciation!$D$14,IF(F6&lt;Assumptions!$N$41,1/Assumptions!$N$41,0))</f>
        <v>0.05</v>
      </c>
      <c r="G14" s="277">
        <f>IF(AND(G6&gt;=Assumptions!$N$41,F6&lt;Assumptions!$N$41),1/Assumptions!$N$41-Depreciation!$D$14,IF(G6&lt;Assumptions!$N$41,1/Assumptions!$N$41,0))</f>
        <v>0.05</v>
      </c>
      <c r="H14" s="277">
        <f>IF(AND(H6&gt;=Assumptions!$N$41,G6&lt;Assumptions!$N$41),1/Assumptions!$N$41-Depreciation!$D$14,IF(H6&lt;Assumptions!$N$41,1/Assumptions!$N$41,0))</f>
        <v>0.05</v>
      </c>
      <c r="I14" s="277">
        <f>IF(AND(I6&gt;=Assumptions!$N$41,H6&lt;Assumptions!$N$41),1/Assumptions!$N$41-Depreciation!$D$14,IF(I6&lt;Assumptions!$N$41,1/Assumptions!$N$41,0))</f>
        <v>0.05</v>
      </c>
      <c r="J14" s="277">
        <f>IF(AND(J6&gt;=Assumptions!$N$41,I6&lt;Assumptions!$N$41),1/Assumptions!$N$41-Depreciation!$D$14,IF(J6&lt;Assumptions!$N$41,1/Assumptions!$N$41,0))</f>
        <v>0.05</v>
      </c>
      <c r="K14" s="277">
        <f>IF(AND(K6&gt;=Assumptions!$N$41,J6&lt;Assumptions!$N$41),1/Assumptions!$N$41-Depreciation!$D$14,IF(K6&lt;Assumptions!$N$41,1/Assumptions!$N$41,0))</f>
        <v>0.05</v>
      </c>
      <c r="L14" s="277">
        <f>IF(AND(L6&gt;=Assumptions!$N$41,K6&lt;Assumptions!$N$41),1/Assumptions!$N$41-Depreciation!$D$14,IF(L6&lt;Assumptions!$N$41,1/Assumptions!$N$41,0))</f>
        <v>0.05</v>
      </c>
      <c r="M14" s="277">
        <f>IF(AND(M6&gt;=Assumptions!$N$41,L6&lt;Assumptions!$N$41),1/Assumptions!$N$41-Depreciation!$D$14,IF(M6&lt;Assumptions!$N$41,1/Assumptions!$N$41,0))</f>
        <v>0.05</v>
      </c>
      <c r="N14" s="277">
        <f>IF(AND(N6&gt;=Assumptions!$N$41,M6&lt;Assumptions!$N$41),1/Assumptions!$N$41-Depreciation!$D$14,IF(N6&lt;Assumptions!$N$41,1/Assumptions!$N$41,0))</f>
        <v>0.05</v>
      </c>
      <c r="O14" s="277">
        <f>IF(AND(O6&gt;=Assumptions!$N$41,N6&lt;Assumptions!$N$41),1/Assumptions!$N$41-Depreciation!$D$14,IF(O6&lt;Assumptions!$N$41,1/Assumptions!$N$41,0))</f>
        <v>0.05</v>
      </c>
      <c r="P14" s="277">
        <f>IF(AND(P6&gt;=Assumptions!$N$41,O6&lt;Assumptions!$N$41),1/Assumptions!$N$41-Depreciation!$D$14,IF(P6&lt;Assumptions!$N$41,1/Assumptions!$N$41,0))</f>
        <v>0.05</v>
      </c>
      <c r="Q14" s="277">
        <f>IF(AND(Q6&gt;=Assumptions!$N$41,P6&lt;Assumptions!$N$41),1/Assumptions!$N$41-Depreciation!$D$14,IF(Q6&lt;Assumptions!$N$41,1/Assumptions!$N$41,0))</f>
        <v>0.05</v>
      </c>
      <c r="R14" s="277">
        <f>IF(AND(R6&gt;=Assumptions!$N$41,Q6&lt;Assumptions!$N$41),1/Assumptions!$N$41-Depreciation!$D$14,IF(R6&lt;Assumptions!$N$41,1/Assumptions!$N$41,0))</f>
        <v>0.05</v>
      </c>
      <c r="S14" s="277">
        <f>IF(AND(S6&gt;=Assumptions!$N$41,R6&lt;Assumptions!$N$41),1/Assumptions!$N$41-Depreciation!$D$14,IF(S6&lt;Assumptions!$N$41,1/Assumptions!$N$41,0))</f>
        <v>0.05</v>
      </c>
      <c r="T14" s="277">
        <f>IF(AND(T6&gt;=Assumptions!$N$41,S6&lt;Assumptions!$N$41),1/Assumptions!$N$41-Depreciation!$D$14,IF(T6&lt;Assumptions!$N$41,1/Assumptions!$N$41,0))</f>
        <v>0.05</v>
      </c>
      <c r="U14" s="277">
        <f>IF(AND(U6&gt;=Assumptions!$N$41,T6&lt;Assumptions!$N$41),1/Assumptions!$N$41-Depreciation!$D$14,IF(U6&lt;Assumptions!$N$41,1/Assumptions!$N$41,0))</f>
        <v>0.05</v>
      </c>
      <c r="V14" s="277">
        <f>IF(AND(V6&gt;=Assumptions!$N$41,U6&lt;Assumptions!$N$41),1/Assumptions!$N$41-Depreciation!$D$14,IF(V6&lt;Assumptions!$N$41,1/Assumptions!$N$41,0))</f>
        <v>0.05</v>
      </c>
      <c r="W14" s="277">
        <f>IF(AND(W6&gt;=Assumptions!$N$41,V6&lt;Assumptions!$N$41),1/Assumptions!$N$41-Depreciation!$D$14,IF(W6&lt;Assumptions!$N$41,1/Assumptions!$N$41,0))</f>
        <v>0.05</v>
      </c>
      <c r="X14" s="277">
        <f>IF(AND(X6&gt;=Assumptions!$N$41,W6&lt;Assumptions!$N$41),1/Assumptions!$N$41-Depreciation!$D$14,IF(X6&lt;Assumptions!$N$41,1/Assumptions!$N$41,0))</f>
        <v>1.666666666666667E-2</v>
      </c>
      <c r="Y14" s="277">
        <f>IF(AND(Y6&gt;=Assumptions!$N$41,X6&lt;Assumptions!$N$41),1/Assumptions!$N$41-Depreciation!$D$14,IF(Y6&lt;Assumptions!$N$41,1/Assumptions!$N$41,0))</f>
        <v>0</v>
      </c>
      <c r="Z14" s="277">
        <f>IF(AND(Z6&gt;=Assumptions!$N$41,Y6&lt;Assumptions!$N$41),1/Assumptions!$N$41-Depreciation!$D$14,IF(Z6&lt;Assumptions!$N$41,1/Assumptions!$N$41,0))</f>
        <v>0</v>
      </c>
      <c r="AA14" s="277">
        <f>IF(AND(AA6&gt;=Assumptions!$N$41,Z6&lt;Assumptions!$N$41),1/Assumptions!$N$41-Depreciation!$D$14,IF(AA6&lt;Assumptions!$N$41,1/Assumptions!$N$41,0))</f>
        <v>0</v>
      </c>
      <c r="AB14" s="277">
        <f>IF(AND(AB6&gt;=Assumptions!$N$41,AA6&lt;Assumptions!$N$41),1/Assumptions!$N$41-Depreciation!$D$14,IF(AB6&lt;Assumptions!$N$41,1/Assumptions!$N$41,0))</f>
        <v>0</v>
      </c>
      <c r="AC14" s="277">
        <f>IF(AND(AC6&gt;=Assumptions!$N$41,AB6&lt;Assumptions!$N$41),1/Assumptions!$N$41-Depreciation!$D$14,IF(AC6&lt;Assumptions!$N$41,1/Assumptions!$N$41,0))</f>
        <v>0</v>
      </c>
      <c r="AD14" s="277">
        <f>IF(AND(AD6&gt;=Assumptions!$N$41,AC6&lt;Assumptions!$N$41),1/Assumptions!$N$41-Depreciation!$D$14,IF(AD6&lt;Assumptions!$N$41,1/Assumptions!$N$41,0))</f>
        <v>0</v>
      </c>
      <c r="AE14" s="277">
        <f>IF(AND(AE6&gt;=Assumptions!$N$41,AD6&lt;Assumptions!$N$41),1/Assumptions!$N$41-Depreciation!$D$14,IF(AE6&lt;Assumptions!$N$41,1/Assumptions!$N$41,0))</f>
        <v>0</v>
      </c>
      <c r="AF14" s="277">
        <f>IF(AND(AF6&gt;=Assumptions!$N$41,AE6&lt;Assumptions!$N$41),1/Assumptions!$N$41-Depreciation!$D$14,IF(AF6&lt;Assumptions!$N$41,1/Assumptions!$N$41,0))</f>
        <v>0</v>
      </c>
      <c r="AG14" s="277">
        <f>IF(AND(AG6&gt;=Assumptions!$N$41,AF6&lt;Assumptions!$N$41),1/Assumptions!$N$41-Depreciation!$D$14,IF(AG6&lt;Assumptions!$N$41,1/Assumptions!$N$41,0))</f>
        <v>0</v>
      </c>
      <c r="AH14" s="277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243</v>
      </c>
      <c r="B16" s="374">
        <f>Assumptions!C34+Assumptions!C48+Assumptions!C40</f>
        <v>194650.36512439008</v>
      </c>
      <c r="C16" s="303"/>
      <c r="D16" s="18">
        <f>$B$16*D12</f>
        <v>9732.5182562195041</v>
      </c>
      <c r="E16" s="18">
        <f t="shared" ref="E16:Y16" si="0">$B$16*E12</f>
        <v>18491.784686817056</v>
      </c>
      <c r="F16" s="18">
        <f t="shared" si="0"/>
        <v>16642.606218135352</v>
      </c>
      <c r="G16" s="18">
        <f t="shared" si="0"/>
        <v>14988.078114578037</v>
      </c>
      <c r="H16" s="18">
        <f t="shared" si="0"/>
        <v>13489.270303120233</v>
      </c>
      <c r="I16" s="18">
        <f t="shared" si="0"/>
        <v>12126.717747249502</v>
      </c>
      <c r="J16" s="18">
        <f t="shared" si="0"/>
        <v>11484.371542339015</v>
      </c>
      <c r="K16" s="18">
        <f t="shared" si="0"/>
        <v>11503.836578851453</v>
      </c>
      <c r="L16" s="18">
        <f t="shared" si="0"/>
        <v>11484.371542339015</v>
      </c>
      <c r="M16" s="18">
        <f t="shared" si="0"/>
        <v>11503.836578851453</v>
      </c>
      <c r="N16" s="18">
        <f t="shared" si="0"/>
        <v>11484.371542339015</v>
      </c>
      <c r="O16" s="18">
        <f t="shared" si="0"/>
        <v>11503.836578851453</v>
      </c>
      <c r="P16" s="18">
        <f t="shared" si="0"/>
        <v>11484.371542339015</v>
      </c>
      <c r="Q16" s="18">
        <f t="shared" si="0"/>
        <v>11503.836578851453</v>
      </c>
      <c r="R16" s="18">
        <f t="shared" si="0"/>
        <v>11484.371542339015</v>
      </c>
      <c r="S16" s="18">
        <f t="shared" si="0"/>
        <v>5742.1857711695075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244</v>
      </c>
      <c r="B17" s="302">
        <f>Assumptions!C52-Assumptions!C48-Assumptions!C49</f>
        <v>11169.655949999997</v>
      </c>
      <c r="C17" s="303"/>
      <c r="D17" s="300">
        <f>$B$17*D13</f>
        <v>1489.2874599999996</v>
      </c>
      <c r="E17" s="300">
        <f t="shared" ref="E17:AH17" si="2">$B$17*E13</f>
        <v>2233.9311899999993</v>
      </c>
      <c r="F17" s="300">
        <f t="shared" si="2"/>
        <v>2233.9311899999993</v>
      </c>
      <c r="G17" s="300">
        <f t="shared" si="2"/>
        <v>2233.9311899999993</v>
      </c>
      <c r="H17" s="300">
        <f t="shared" si="2"/>
        <v>2233.9311899999993</v>
      </c>
      <c r="I17" s="300">
        <f t="shared" si="2"/>
        <v>744.64372999999989</v>
      </c>
      <c r="J17" s="300">
        <f t="shared" si="2"/>
        <v>0</v>
      </c>
      <c r="K17" s="300">
        <f t="shared" si="2"/>
        <v>0</v>
      </c>
      <c r="L17" s="300">
        <f t="shared" si="2"/>
        <v>0</v>
      </c>
      <c r="M17" s="300">
        <f t="shared" si="2"/>
        <v>0</v>
      </c>
      <c r="N17" s="300">
        <f t="shared" si="2"/>
        <v>0</v>
      </c>
      <c r="O17" s="300">
        <f t="shared" si="2"/>
        <v>0</v>
      </c>
      <c r="P17" s="300">
        <f t="shared" si="2"/>
        <v>0</v>
      </c>
      <c r="Q17" s="300">
        <f t="shared" si="2"/>
        <v>0</v>
      </c>
      <c r="R17" s="300">
        <f t="shared" si="2"/>
        <v>0</v>
      </c>
      <c r="S17" s="300">
        <f t="shared" si="2"/>
        <v>0</v>
      </c>
      <c r="T17" s="300">
        <f t="shared" si="2"/>
        <v>0</v>
      </c>
      <c r="U17" s="300">
        <f t="shared" si="2"/>
        <v>0</v>
      </c>
      <c r="V17" s="300">
        <f t="shared" si="2"/>
        <v>0</v>
      </c>
      <c r="W17" s="300">
        <f t="shared" si="2"/>
        <v>0</v>
      </c>
      <c r="X17" s="300">
        <f t="shared" si="2"/>
        <v>0</v>
      </c>
      <c r="Y17" s="300">
        <f t="shared" si="2"/>
        <v>0</v>
      </c>
      <c r="Z17" s="300">
        <f t="shared" si="2"/>
        <v>0</v>
      </c>
      <c r="AA17" s="300">
        <f t="shared" si="2"/>
        <v>0</v>
      </c>
      <c r="AB17" s="300">
        <f t="shared" si="2"/>
        <v>0</v>
      </c>
      <c r="AC17" s="300">
        <f t="shared" si="2"/>
        <v>0</v>
      </c>
      <c r="AD17" s="300">
        <f t="shared" si="2"/>
        <v>0</v>
      </c>
      <c r="AE17" s="300">
        <f t="shared" si="2"/>
        <v>0</v>
      </c>
      <c r="AF17" s="300">
        <f t="shared" si="2"/>
        <v>0</v>
      </c>
      <c r="AG17" s="300">
        <f t="shared" si="2"/>
        <v>0</v>
      </c>
      <c r="AH17" s="300">
        <f t="shared" si="2"/>
        <v>0</v>
      </c>
    </row>
    <row r="18" spans="1:36" s="10" customFormat="1" ht="15">
      <c r="A18" s="22" t="s">
        <v>310</v>
      </c>
      <c r="B18" s="375">
        <f>Assumptions!$C$58</f>
        <v>0</v>
      </c>
      <c r="C18" s="303"/>
      <c r="D18" s="376">
        <f>$B$18*D14</f>
        <v>0</v>
      </c>
      <c r="E18" s="376">
        <f t="shared" ref="E18:Y18" si="3">$B$18*E14</f>
        <v>0</v>
      </c>
      <c r="F18" s="376">
        <f t="shared" si="3"/>
        <v>0</v>
      </c>
      <c r="G18" s="376">
        <f t="shared" si="3"/>
        <v>0</v>
      </c>
      <c r="H18" s="376">
        <f t="shared" si="3"/>
        <v>0</v>
      </c>
      <c r="I18" s="376">
        <f t="shared" si="3"/>
        <v>0</v>
      </c>
      <c r="J18" s="376">
        <f t="shared" si="3"/>
        <v>0</v>
      </c>
      <c r="K18" s="376">
        <f t="shared" si="3"/>
        <v>0</v>
      </c>
      <c r="L18" s="376">
        <f t="shared" si="3"/>
        <v>0</v>
      </c>
      <c r="M18" s="376">
        <f t="shared" si="3"/>
        <v>0</v>
      </c>
      <c r="N18" s="376">
        <f t="shared" si="3"/>
        <v>0</v>
      </c>
      <c r="O18" s="376">
        <f t="shared" si="3"/>
        <v>0</v>
      </c>
      <c r="P18" s="376">
        <f t="shared" si="3"/>
        <v>0</v>
      </c>
      <c r="Q18" s="376">
        <f t="shared" si="3"/>
        <v>0</v>
      </c>
      <c r="R18" s="376">
        <f t="shared" si="3"/>
        <v>0</v>
      </c>
      <c r="S18" s="376">
        <f t="shared" si="3"/>
        <v>0</v>
      </c>
      <c r="T18" s="376">
        <f t="shared" si="3"/>
        <v>0</v>
      </c>
      <c r="U18" s="376">
        <f t="shared" si="3"/>
        <v>0</v>
      </c>
      <c r="V18" s="376">
        <f t="shared" si="3"/>
        <v>0</v>
      </c>
      <c r="W18" s="376">
        <f t="shared" si="3"/>
        <v>0</v>
      </c>
      <c r="X18" s="376">
        <f t="shared" si="3"/>
        <v>0</v>
      </c>
      <c r="Y18" s="376">
        <f t="shared" si="3"/>
        <v>0</v>
      </c>
      <c r="Z18" s="376">
        <f t="shared" ref="Z18:AH18" si="4">$B$18*Z14</f>
        <v>0</v>
      </c>
      <c r="AA18" s="376">
        <f t="shared" si="4"/>
        <v>0</v>
      </c>
      <c r="AB18" s="376">
        <f t="shared" si="4"/>
        <v>0</v>
      </c>
      <c r="AC18" s="376">
        <f t="shared" si="4"/>
        <v>0</v>
      </c>
      <c r="AD18" s="376">
        <f t="shared" si="4"/>
        <v>0</v>
      </c>
      <c r="AE18" s="376">
        <f t="shared" si="4"/>
        <v>0</v>
      </c>
      <c r="AF18" s="376">
        <f t="shared" si="4"/>
        <v>0</v>
      </c>
      <c r="AG18" s="376">
        <f t="shared" si="4"/>
        <v>0</v>
      </c>
      <c r="AH18" s="376">
        <f t="shared" si="4"/>
        <v>0</v>
      </c>
    </row>
    <row r="19" spans="1:36" s="10" customFormat="1">
      <c r="A19" s="22" t="s">
        <v>62</v>
      </c>
      <c r="B19" s="18">
        <f>SUM(B16:B18)</f>
        <v>205820.02107439007</v>
      </c>
      <c r="C19" s="303"/>
      <c r="D19" s="18">
        <f t="shared" ref="D19:Y19" si="5">SUM(D16:D18)</f>
        <v>11221.805716219504</v>
      </c>
      <c r="E19" s="18">
        <f t="shared" si="5"/>
        <v>20725.715876817056</v>
      </c>
      <c r="F19" s="18">
        <f t="shared" si="5"/>
        <v>18876.537408135351</v>
      </c>
      <c r="G19" s="18">
        <f t="shared" si="5"/>
        <v>17222.009304578038</v>
      </c>
      <c r="H19" s="18">
        <f t="shared" si="5"/>
        <v>15723.201493120232</v>
      </c>
      <c r="I19" s="18">
        <f t="shared" si="5"/>
        <v>12871.361477249502</v>
      </c>
      <c r="J19" s="18">
        <f t="shared" si="5"/>
        <v>11484.371542339015</v>
      </c>
      <c r="K19" s="18">
        <f t="shared" si="5"/>
        <v>11503.836578851453</v>
      </c>
      <c r="L19" s="18">
        <f t="shared" si="5"/>
        <v>11484.371542339015</v>
      </c>
      <c r="M19" s="18">
        <f t="shared" si="5"/>
        <v>11503.836578851453</v>
      </c>
      <c r="N19" s="18">
        <f t="shared" si="5"/>
        <v>11484.371542339015</v>
      </c>
      <c r="O19" s="18">
        <f t="shared" si="5"/>
        <v>11503.836578851453</v>
      </c>
      <c r="P19" s="18">
        <f t="shared" si="5"/>
        <v>11484.371542339015</v>
      </c>
      <c r="Q19" s="18">
        <f t="shared" si="5"/>
        <v>11503.836578851453</v>
      </c>
      <c r="R19" s="18">
        <f t="shared" si="5"/>
        <v>11484.371542339015</v>
      </c>
      <c r="S19" s="18">
        <f t="shared" si="5"/>
        <v>5742.1857711695075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04">
        <f>B19</f>
        <v>205820.02107439007</v>
      </c>
      <c r="C21" s="377"/>
      <c r="D21" s="304">
        <f>B19-D19</f>
        <v>194598.21535817056</v>
      </c>
      <c r="E21" s="304">
        <f>D21-E19</f>
        <v>173872.4994813535</v>
      </c>
      <c r="F21" s="304">
        <f t="shared" ref="F21:X21" si="7">E21-F19</f>
        <v>154995.96207321814</v>
      </c>
      <c r="G21" s="304">
        <f t="shared" si="7"/>
        <v>137773.9527686401</v>
      </c>
      <c r="H21" s="304">
        <f t="shared" si="7"/>
        <v>122050.75127551987</v>
      </c>
      <c r="I21" s="304">
        <f t="shared" si="7"/>
        <v>109179.38979827036</v>
      </c>
      <c r="J21" s="304">
        <f t="shared" si="7"/>
        <v>97695.018255931354</v>
      </c>
      <c r="K21" s="304">
        <f t="shared" si="7"/>
        <v>86191.181677079905</v>
      </c>
      <c r="L21" s="304">
        <f t="shared" si="7"/>
        <v>74706.810134740896</v>
      </c>
      <c r="M21" s="304">
        <f t="shared" si="7"/>
        <v>63202.973555889446</v>
      </c>
      <c r="N21" s="304">
        <f t="shared" si="7"/>
        <v>51718.60201355043</v>
      </c>
      <c r="O21" s="304">
        <f t="shared" si="7"/>
        <v>40214.765434698973</v>
      </c>
      <c r="P21" s="304">
        <f t="shared" si="7"/>
        <v>28730.393892359956</v>
      </c>
      <c r="Q21" s="304">
        <f t="shared" si="7"/>
        <v>17226.557313508503</v>
      </c>
      <c r="R21" s="304">
        <f t="shared" si="7"/>
        <v>5742.1857711694884</v>
      </c>
      <c r="S21" s="304">
        <f t="shared" si="7"/>
        <v>-1.9099388737231493E-11</v>
      </c>
      <c r="T21" s="304">
        <f t="shared" si="7"/>
        <v>-1.9099388737231493E-11</v>
      </c>
      <c r="U21" s="304">
        <f t="shared" si="7"/>
        <v>-1.9099388737231493E-11</v>
      </c>
      <c r="V21" s="304">
        <f t="shared" si="7"/>
        <v>-1.9099388737231493E-11</v>
      </c>
      <c r="W21" s="304">
        <f t="shared" si="7"/>
        <v>-1.9099388737231493E-11</v>
      </c>
      <c r="X21" s="304">
        <f t="shared" si="7"/>
        <v>-1.9099388737231493E-11</v>
      </c>
      <c r="Y21" s="304">
        <f>X21-Y19</f>
        <v>-1.9099388737231493E-11</v>
      </c>
      <c r="Z21" s="304">
        <f t="shared" ref="Z21:AH21" si="8">Y21-Z19</f>
        <v>-1.9099388737231493E-11</v>
      </c>
      <c r="AA21" s="304">
        <f t="shared" si="8"/>
        <v>-1.9099388737231493E-11</v>
      </c>
      <c r="AB21" s="304">
        <f t="shared" si="8"/>
        <v>-1.9099388737231493E-11</v>
      </c>
      <c r="AC21" s="304">
        <f t="shared" si="8"/>
        <v>-1.9099388737231493E-11</v>
      </c>
      <c r="AD21" s="304">
        <f t="shared" si="8"/>
        <v>-1.9099388737231493E-11</v>
      </c>
      <c r="AE21" s="304">
        <f t="shared" si="8"/>
        <v>-1.9099388737231493E-11</v>
      </c>
      <c r="AF21" s="304">
        <f t="shared" si="8"/>
        <v>-1.9099388737231493E-11</v>
      </c>
      <c r="AG21" s="304">
        <f t="shared" si="8"/>
        <v>-1.9099388737231493E-11</v>
      </c>
      <c r="AH21" s="304">
        <f t="shared" si="8"/>
        <v>-1.9099388737231493E-11</v>
      </c>
      <c r="AI21" s="301"/>
      <c r="AJ21" s="301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243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244</v>
      </c>
      <c r="B27" s="31">
        <f>Assumptions!$N$40</f>
        <v>5</v>
      </c>
      <c r="C27" s="32"/>
      <c r="D27" s="277">
        <f>D13</f>
        <v>0.13333333333333333</v>
      </c>
      <c r="E27" s="277">
        <f t="shared" ref="E27:AH27" si="11">E13</f>
        <v>0.2</v>
      </c>
      <c r="F27" s="277">
        <f t="shared" si="11"/>
        <v>0.2</v>
      </c>
      <c r="G27" s="277">
        <f t="shared" si="11"/>
        <v>0.2</v>
      </c>
      <c r="H27" s="277">
        <f t="shared" si="11"/>
        <v>0.2</v>
      </c>
      <c r="I27" s="277">
        <f t="shared" si="11"/>
        <v>6.666666666666668E-2</v>
      </c>
      <c r="J27" s="277">
        <f t="shared" si="11"/>
        <v>0</v>
      </c>
      <c r="K27" s="277">
        <f t="shared" si="11"/>
        <v>0</v>
      </c>
      <c r="L27" s="277">
        <f t="shared" si="11"/>
        <v>0</v>
      </c>
      <c r="M27" s="277">
        <f t="shared" si="11"/>
        <v>0</v>
      </c>
      <c r="N27" s="277">
        <f t="shared" si="11"/>
        <v>0</v>
      </c>
      <c r="O27" s="277">
        <f t="shared" si="11"/>
        <v>0</v>
      </c>
      <c r="P27" s="277">
        <f t="shared" si="11"/>
        <v>0</v>
      </c>
      <c r="Q27" s="277">
        <f t="shared" si="11"/>
        <v>0</v>
      </c>
      <c r="R27" s="277">
        <f t="shared" si="11"/>
        <v>0</v>
      </c>
      <c r="S27" s="277">
        <f t="shared" si="11"/>
        <v>0</v>
      </c>
      <c r="T27" s="277">
        <f t="shared" si="11"/>
        <v>0</v>
      </c>
      <c r="U27" s="277">
        <f t="shared" si="11"/>
        <v>0</v>
      </c>
      <c r="V27" s="277">
        <f t="shared" si="11"/>
        <v>0</v>
      </c>
      <c r="W27" s="277">
        <f t="shared" si="11"/>
        <v>0</v>
      </c>
      <c r="X27" s="277">
        <f t="shared" si="11"/>
        <v>0</v>
      </c>
      <c r="Y27" s="277">
        <f t="shared" si="11"/>
        <v>0</v>
      </c>
      <c r="Z27" s="277">
        <f t="shared" si="11"/>
        <v>0</v>
      </c>
      <c r="AA27" s="277">
        <f t="shared" si="11"/>
        <v>0</v>
      </c>
      <c r="AB27" s="277">
        <f t="shared" si="11"/>
        <v>0</v>
      </c>
      <c r="AC27" s="277">
        <f t="shared" si="11"/>
        <v>0</v>
      </c>
      <c r="AD27" s="277">
        <f t="shared" si="11"/>
        <v>0</v>
      </c>
      <c r="AE27" s="277">
        <f t="shared" si="11"/>
        <v>0</v>
      </c>
      <c r="AF27" s="277">
        <f t="shared" si="11"/>
        <v>0</v>
      </c>
      <c r="AG27" s="277">
        <f t="shared" si="11"/>
        <v>0</v>
      </c>
      <c r="AH27" s="277">
        <f t="shared" si="11"/>
        <v>0</v>
      </c>
    </row>
    <row r="28" spans="1:36" s="10" customFormat="1">
      <c r="A28" s="22" t="s">
        <v>310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243</v>
      </c>
      <c r="B31" s="374">
        <f>B16</f>
        <v>194650.36512439008</v>
      </c>
      <c r="C31" s="303"/>
      <c r="D31" s="18">
        <f>$B$31*D26</f>
        <v>9732.5182562195041</v>
      </c>
      <c r="E31" s="18">
        <f t="shared" ref="E31:Y31" si="14">$B$31*E26</f>
        <v>18491.784686817056</v>
      </c>
      <c r="F31" s="18">
        <f t="shared" si="14"/>
        <v>16642.606218135352</v>
      </c>
      <c r="G31" s="18">
        <f t="shared" si="14"/>
        <v>14988.078114578037</v>
      </c>
      <c r="H31" s="18">
        <f t="shared" si="14"/>
        <v>13489.270303120233</v>
      </c>
      <c r="I31" s="18">
        <f t="shared" si="14"/>
        <v>12126.717747249502</v>
      </c>
      <c r="J31" s="18">
        <f t="shared" si="14"/>
        <v>11484.371542339015</v>
      </c>
      <c r="K31" s="18">
        <f t="shared" si="14"/>
        <v>11503.836578851453</v>
      </c>
      <c r="L31" s="18">
        <f t="shared" si="14"/>
        <v>11484.371542339015</v>
      </c>
      <c r="M31" s="18">
        <f t="shared" si="14"/>
        <v>11503.836578851453</v>
      </c>
      <c r="N31" s="18">
        <f t="shared" si="14"/>
        <v>11484.371542339015</v>
      </c>
      <c r="O31" s="18">
        <f t="shared" si="14"/>
        <v>11503.836578851453</v>
      </c>
      <c r="P31" s="18">
        <f t="shared" si="14"/>
        <v>11484.371542339015</v>
      </c>
      <c r="Q31" s="18">
        <f t="shared" si="14"/>
        <v>11503.836578851453</v>
      </c>
      <c r="R31" s="18">
        <f t="shared" si="14"/>
        <v>11484.371542339015</v>
      </c>
      <c r="S31" s="18">
        <f t="shared" si="14"/>
        <v>5742.1857711695075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244</v>
      </c>
      <c r="B32" s="302">
        <f>B17</f>
        <v>11169.655949999997</v>
      </c>
      <c r="C32" s="303"/>
      <c r="D32" s="300">
        <f>D27*$B$32</f>
        <v>1489.2874599999996</v>
      </c>
      <c r="E32" s="300">
        <f t="shared" ref="E32:AH32" si="16">E27*$B$32</f>
        <v>2233.9311899999993</v>
      </c>
      <c r="F32" s="300">
        <f t="shared" si="16"/>
        <v>2233.9311899999993</v>
      </c>
      <c r="G32" s="300">
        <f t="shared" si="16"/>
        <v>2233.9311899999993</v>
      </c>
      <c r="H32" s="300">
        <f t="shared" si="16"/>
        <v>2233.9311899999993</v>
      </c>
      <c r="I32" s="300">
        <f t="shared" si="16"/>
        <v>744.64372999999989</v>
      </c>
      <c r="J32" s="300">
        <f t="shared" si="16"/>
        <v>0</v>
      </c>
      <c r="K32" s="300">
        <f t="shared" si="16"/>
        <v>0</v>
      </c>
      <c r="L32" s="300">
        <f t="shared" si="16"/>
        <v>0</v>
      </c>
      <c r="M32" s="300">
        <f t="shared" si="16"/>
        <v>0</v>
      </c>
      <c r="N32" s="300">
        <f t="shared" si="16"/>
        <v>0</v>
      </c>
      <c r="O32" s="300">
        <f t="shared" si="16"/>
        <v>0</v>
      </c>
      <c r="P32" s="300">
        <f t="shared" si="16"/>
        <v>0</v>
      </c>
      <c r="Q32" s="300">
        <f t="shared" si="16"/>
        <v>0</v>
      </c>
      <c r="R32" s="300">
        <f t="shared" si="16"/>
        <v>0</v>
      </c>
      <c r="S32" s="300">
        <f t="shared" si="16"/>
        <v>0</v>
      </c>
      <c r="T32" s="300">
        <f t="shared" si="16"/>
        <v>0</v>
      </c>
      <c r="U32" s="300">
        <f t="shared" si="16"/>
        <v>0</v>
      </c>
      <c r="V32" s="300">
        <f t="shared" si="16"/>
        <v>0</v>
      </c>
      <c r="W32" s="300">
        <f t="shared" si="16"/>
        <v>0</v>
      </c>
      <c r="X32" s="300">
        <f t="shared" si="16"/>
        <v>0</v>
      </c>
      <c r="Y32" s="300">
        <f t="shared" si="16"/>
        <v>0</v>
      </c>
      <c r="Z32" s="300">
        <f t="shared" si="16"/>
        <v>0</v>
      </c>
      <c r="AA32" s="300">
        <f t="shared" si="16"/>
        <v>0</v>
      </c>
      <c r="AB32" s="300">
        <f t="shared" si="16"/>
        <v>0</v>
      </c>
      <c r="AC32" s="300">
        <f t="shared" si="16"/>
        <v>0</v>
      </c>
      <c r="AD32" s="300">
        <f t="shared" si="16"/>
        <v>0</v>
      </c>
      <c r="AE32" s="300">
        <f t="shared" si="16"/>
        <v>0</v>
      </c>
      <c r="AF32" s="300">
        <f t="shared" si="16"/>
        <v>0</v>
      </c>
      <c r="AG32" s="300">
        <f t="shared" si="16"/>
        <v>0</v>
      </c>
      <c r="AH32" s="300">
        <f t="shared" si="16"/>
        <v>0</v>
      </c>
    </row>
    <row r="33" spans="1:38" s="10" customFormat="1" ht="15">
      <c r="A33" s="22" t="s">
        <v>310</v>
      </c>
      <c r="B33" s="375">
        <f>B18</f>
        <v>0</v>
      </c>
      <c r="C33" s="303"/>
      <c r="D33" s="376">
        <f t="shared" ref="D33:Y33" si="17">$B33*D28</f>
        <v>0</v>
      </c>
      <c r="E33" s="376">
        <f t="shared" si="17"/>
        <v>0</v>
      </c>
      <c r="F33" s="376">
        <f t="shared" si="17"/>
        <v>0</v>
      </c>
      <c r="G33" s="376">
        <f t="shared" si="17"/>
        <v>0</v>
      </c>
      <c r="H33" s="376">
        <f t="shared" si="17"/>
        <v>0</v>
      </c>
      <c r="I33" s="376">
        <f t="shared" si="17"/>
        <v>0</v>
      </c>
      <c r="J33" s="376">
        <f t="shared" si="17"/>
        <v>0</v>
      </c>
      <c r="K33" s="376">
        <f t="shared" si="17"/>
        <v>0</v>
      </c>
      <c r="L33" s="376">
        <f t="shared" si="17"/>
        <v>0</v>
      </c>
      <c r="M33" s="376">
        <f t="shared" si="17"/>
        <v>0</v>
      </c>
      <c r="N33" s="376">
        <f t="shared" si="17"/>
        <v>0</v>
      </c>
      <c r="O33" s="376">
        <f t="shared" si="17"/>
        <v>0</v>
      </c>
      <c r="P33" s="376">
        <f t="shared" si="17"/>
        <v>0</v>
      </c>
      <c r="Q33" s="376">
        <f t="shared" si="17"/>
        <v>0</v>
      </c>
      <c r="R33" s="376">
        <f t="shared" si="17"/>
        <v>0</v>
      </c>
      <c r="S33" s="376">
        <f t="shared" si="17"/>
        <v>0</v>
      </c>
      <c r="T33" s="376">
        <f t="shared" si="17"/>
        <v>0</v>
      </c>
      <c r="U33" s="376">
        <f t="shared" si="17"/>
        <v>0</v>
      </c>
      <c r="V33" s="376">
        <f t="shared" si="17"/>
        <v>0</v>
      </c>
      <c r="W33" s="376">
        <f t="shared" si="17"/>
        <v>0</v>
      </c>
      <c r="X33" s="376">
        <f t="shared" si="17"/>
        <v>0</v>
      </c>
      <c r="Y33" s="376">
        <f t="shared" si="17"/>
        <v>0</v>
      </c>
      <c r="Z33" s="376">
        <f t="shared" ref="Z33:AH33" si="18">$B33*Z28</f>
        <v>0</v>
      </c>
      <c r="AA33" s="376">
        <f t="shared" si="18"/>
        <v>0</v>
      </c>
      <c r="AB33" s="376">
        <f t="shared" si="18"/>
        <v>0</v>
      </c>
      <c r="AC33" s="376">
        <f t="shared" si="18"/>
        <v>0</v>
      </c>
      <c r="AD33" s="376">
        <f t="shared" si="18"/>
        <v>0</v>
      </c>
      <c r="AE33" s="376">
        <f t="shared" si="18"/>
        <v>0</v>
      </c>
      <c r="AF33" s="376">
        <f t="shared" si="18"/>
        <v>0</v>
      </c>
      <c r="AG33" s="376">
        <f t="shared" si="18"/>
        <v>0</v>
      </c>
      <c r="AH33" s="376">
        <f t="shared" si="18"/>
        <v>0</v>
      </c>
    </row>
    <row r="34" spans="1:38" s="10" customFormat="1">
      <c r="A34" s="16" t="s">
        <v>62</v>
      </c>
      <c r="B34" s="18">
        <f>SUM(B31:B33)</f>
        <v>205820.02107439007</v>
      </c>
      <c r="C34" s="303"/>
      <c r="D34" s="18">
        <f t="shared" ref="D34:Y34" si="19">SUM(D31:D33)</f>
        <v>11221.805716219504</v>
      </c>
      <c r="E34" s="18">
        <f t="shared" si="19"/>
        <v>20725.715876817056</v>
      </c>
      <c r="F34" s="18">
        <f t="shared" si="19"/>
        <v>18876.537408135351</v>
      </c>
      <c r="G34" s="18">
        <f t="shared" si="19"/>
        <v>17222.009304578038</v>
      </c>
      <c r="H34" s="18">
        <f t="shared" si="19"/>
        <v>15723.201493120232</v>
      </c>
      <c r="I34" s="18">
        <f t="shared" si="19"/>
        <v>12871.361477249502</v>
      </c>
      <c r="J34" s="18">
        <f t="shared" si="19"/>
        <v>11484.371542339015</v>
      </c>
      <c r="K34" s="18">
        <f t="shared" si="19"/>
        <v>11503.836578851453</v>
      </c>
      <c r="L34" s="18">
        <f t="shared" si="19"/>
        <v>11484.371542339015</v>
      </c>
      <c r="M34" s="18">
        <f t="shared" si="19"/>
        <v>11503.836578851453</v>
      </c>
      <c r="N34" s="18">
        <f t="shared" si="19"/>
        <v>11484.371542339015</v>
      </c>
      <c r="O34" s="18">
        <f t="shared" si="19"/>
        <v>11503.836578851453</v>
      </c>
      <c r="P34" s="18">
        <f t="shared" si="19"/>
        <v>11484.371542339015</v>
      </c>
      <c r="Q34" s="18">
        <f t="shared" si="19"/>
        <v>11503.836578851453</v>
      </c>
      <c r="R34" s="18">
        <f t="shared" si="19"/>
        <v>11484.371542339015</v>
      </c>
      <c r="S34" s="18">
        <f t="shared" si="19"/>
        <v>5742.1857711695075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04">
        <f>B34</f>
        <v>205820.02107439007</v>
      </c>
      <c r="C36" s="379"/>
      <c r="D36" s="304">
        <f>B34-D34</f>
        <v>194598.21535817056</v>
      </c>
      <c r="E36" s="304">
        <f>D36-E34</f>
        <v>173872.4994813535</v>
      </c>
      <c r="F36" s="304">
        <f t="shared" ref="F36:W36" si="21">E36-F34</f>
        <v>154995.96207321814</v>
      </c>
      <c r="G36" s="304">
        <f t="shared" si="21"/>
        <v>137773.9527686401</v>
      </c>
      <c r="H36" s="304">
        <f t="shared" si="21"/>
        <v>122050.75127551987</v>
      </c>
      <c r="I36" s="304">
        <f t="shared" si="21"/>
        <v>109179.38979827036</v>
      </c>
      <c r="J36" s="304">
        <f t="shared" si="21"/>
        <v>97695.018255931354</v>
      </c>
      <c r="K36" s="304">
        <f t="shared" si="21"/>
        <v>86191.181677079905</v>
      </c>
      <c r="L36" s="304">
        <f t="shared" si="21"/>
        <v>74706.810134740896</v>
      </c>
      <c r="M36" s="304">
        <f t="shared" si="21"/>
        <v>63202.973555889446</v>
      </c>
      <c r="N36" s="304">
        <f t="shared" si="21"/>
        <v>51718.60201355043</v>
      </c>
      <c r="O36" s="304">
        <f t="shared" si="21"/>
        <v>40214.765434698973</v>
      </c>
      <c r="P36" s="304">
        <f t="shared" si="21"/>
        <v>28730.393892359956</v>
      </c>
      <c r="Q36" s="304">
        <f t="shared" si="21"/>
        <v>17226.557313508503</v>
      </c>
      <c r="R36" s="304">
        <f t="shared" si="21"/>
        <v>5742.1857711694884</v>
      </c>
      <c r="S36" s="304">
        <f t="shared" si="21"/>
        <v>-1.9099388737231493E-11</v>
      </c>
      <c r="T36" s="304">
        <f t="shared" si="21"/>
        <v>-1.9099388737231493E-11</v>
      </c>
      <c r="U36" s="304">
        <f t="shared" si="21"/>
        <v>-1.9099388737231493E-11</v>
      </c>
      <c r="V36" s="304">
        <f t="shared" si="21"/>
        <v>-1.9099388737231493E-11</v>
      </c>
      <c r="W36" s="304">
        <f t="shared" si="21"/>
        <v>-1.9099388737231493E-11</v>
      </c>
      <c r="X36" s="304">
        <f>W36-X34</f>
        <v>-1.9099388737231493E-11</v>
      </c>
      <c r="Y36" s="304">
        <f>X36-Y34</f>
        <v>-1.9099388737231493E-11</v>
      </c>
      <c r="Z36" s="304">
        <f t="shared" ref="Z36:AH36" si="22">Y36-Z34</f>
        <v>-1.9099388737231493E-11</v>
      </c>
      <c r="AA36" s="304">
        <f t="shared" si="22"/>
        <v>-1.9099388737231493E-11</v>
      </c>
      <c r="AB36" s="304">
        <f t="shared" si="22"/>
        <v>-1.9099388737231493E-11</v>
      </c>
      <c r="AC36" s="304">
        <f t="shared" si="22"/>
        <v>-1.9099388737231493E-11</v>
      </c>
      <c r="AD36" s="304">
        <f t="shared" si="22"/>
        <v>-1.9099388737231493E-11</v>
      </c>
      <c r="AE36" s="304">
        <f t="shared" si="22"/>
        <v>-1.9099388737231493E-11</v>
      </c>
      <c r="AF36" s="304">
        <f t="shared" si="22"/>
        <v>-1.9099388737231493E-11</v>
      </c>
      <c r="AG36" s="304">
        <f t="shared" si="22"/>
        <v>-1.9099388737231493E-11</v>
      </c>
      <c r="AH36" s="304">
        <f t="shared" si="22"/>
        <v>-1.9099388737231493E-11</v>
      </c>
      <c r="AI36" s="301"/>
      <c r="AJ36" s="301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72" t="s">
        <v>66</v>
      </c>
    </row>
    <row r="41" spans="1:38" s="10" customFormat="1">
      <c r="A41" s="21" t="s">
        <v>365</v>
      </c>
      <c r="B41" s="31">
        <f>Assumptions!$N$44</f>
        <v>30</v>
      </c>
      <c r="C41" s="373">
        <f>Assumptions!P44</f>
        <v>0.1</v>
      </c>
      <c r="D41" s="277">
        <f>1/Assumptions!$N$44*D6*(1-$C$41)</f>
        <v>1.9999999999999997E-2</v>
      </c>
      <c r="E41" s="277">
        <f>IF(AND(E6&gt;=Assumptions!$N$44,D6&lt;Assumptions!$N$44),1/Assumptions!$N$44*(1-$C$41)-Depreciation!$D$41,IF(AND(D6&gt;Assumptions!$N$44,E6&lt;Assumptions!$N$44),0,1/Assumptions!$N$44*(1-$C$41)))</f>
        <v>0.03</v>
      </c>
      <c r="F41" s="277">
        <f>IF(AND(F6&gt;=Assumptions!$N$44,E6&lt;Assumptions!$N$44),1/Assumptions!$N$44*(1-$C$41)-Depreciation!$D$41,IF(AND(E6&gt;Assumptions!$N$44,F6&lt;Assumptions!$N$44),0,1/Assumptions!$N$44*(1-$C$41)))</f>
        <v>0.03</v>
      </c>
      <c r="G41" s="277">
        <f>IF(AND(G6&gt;=Assumptions!$N$44,F6&lt;Assumptions!$N$44),1/Assumptions!$N$44*(1-$C$41)-Depreciation!$D$41,IF(AND(F6&gt;Assumptions!$N$44,G6&lt;Assumptions!$N$44),0,1/Assumptions!$N$44*(1-$C$41)))</f>
        <v>0.03</v>
      </c>
      <c r="H41" s="277">
        <f>IF(AND(H6&gt;=Assumptions!$N$44,G6&lt;Assumptions!$N$44),1/Assumptions!$N$44*(1-$C$41)-Depreciation!$D$41,IF(AND(G6&gt;Assumptions!$N$44,H6&lt;Assumptions!$N$44),0,1/Assumptions!$N$44*(1-$C$41)))</f>
        <v>0.03</v>
      </c>
      <c r="I41" s="277">
        <f>IF(AND(I6&gt;=Assumptions!$N$44,H6&lt;Assumptions!$N$44),1/Assumptions!$N$44*(1-$C$41)-Depreciation!$D$41,IF(AND(H6&gt;Assumptions!$N$44,I6&lt;Assumptions!$N$44),0,1/Assumptions!$N$44*(1-$C$41)))</f>
        <v>0.03</v>
      </c>
      <c r="J41" s="277">
        <f>IF(AND(J6&gt;=Assumptions!$N$44,I6&lt;Assumptions!$N$44),1/Assumptions!$N$44*(1-$C$41)-Depreciation!$D$41,IF(AND(I6&gt;Assumptions!$N$44,J6&lt;Assumptions!$N$44),0,1/Assumptions!$N$44*(1-$C$41)))</f>
        <v>0.03</v>
      </c>
      <c r="K41" s="277">
        <f>IF(AND(K6&gt;=Assumptions!$N$44,J6&lt;Assumptions!$N$44),1/Assumptions!$N$44*(1-$C$41)-Depreciation!$D$41,IF(AND(J6&gt;Assumptions!$N$44,K6&lt;Assumptions!$N$44),0,1/Assumptions!$N$44*(1-$C$41)))</f>
        <v>0.03</v>
      </c>
      <c r="L41" s="277">
        <f>IF(AND(L6&gt;=Assumptions!$N$44,K6&lt;Assumptions!$N$44),1/Assumptions!$N$44*(1-$C$41)-Depreciation!$D$41,IF(AND(K6&gt;Assumptions!$N$44,L6&lt;Assumptions!$N$44),0,1/Assumptions!$N$44*(1-$C$41)))</f>
        <v>0.03</v>
      </c>
      <c r="M41" s="277">
        <f>IF(AND(M6&gt;=Assumptions!$N$44,L6&lt;Assumptions!$N$44),1/Assumptions!$N$44*(1-$C$41)-Depreciation!$D$41,IF(AND(L6&gt;Assumptions!$N$44,M6&lt;Assumptions!$N$44),0,1/Assumptions!$N$44*(1-$C$41)))</f>
        <v>0.03</v>
      </c>
      <c r="N41" s="277">
        <f>IF(AND(N6&gt;=Assumptions!$N$44,M6&lt;Assumptions!$N$44),1/Assumptions!$N$44*(1-$C$41)-Depreciation!$D$41,IF(AND(M6&gt;Assumptions!$N$44,N6&lt;Assumptions!$N$44),0,1/Assumptions!$N$44*(1-$C$41)))</f>
        <v>0.03</v>
      </c>
      <c r="O41" s="277">
        <f>IF(AND(O6&gt;=Assumptions!$N$44,N6&lt;Assumptions!$N$44),1/Assumptions!$N$44*(1-$C$41)-Depreciation!$D$41,IF(AND(N6&gt;Assumptions!$N$44,O6&lt;Assumptions!$N$44),0,1/Assumptions!$N$44*(1-$C$41)))</f>
        <v>0.03</v>
      </c>
      <c r="P41" s="277">
        <f>IF(AND(P6&gt;=Assumptions!$N$44,O6&lt;Assumptions!$N$44),1/Assumptions!$N$44*(1-$C$41)-Depreciation!$D$41,IF(AND(O6&gt;Assumptions!$N$44,P6&lt;Assumptions!$N$44),0,1/Assumptions!$N$44*(1-$C$41)))</f>
        <v>0.03</v>
      </c>
      <c r="Q41" s="277">
        <f>IF(AND(Q6&gt;=Assumptions!$N$44,P6&lt;Assumptions!$N$44),1/Assumptions!$N$44*(1-$C$41)-Depreciation!$D$41,IF(AND(P6&gt;Assumptions!$N$44,Q6&lt;Assumptions!$N$44),0,1/Assumptions!$N$44*(1-$C$41)))</f>
        <v>0.03</v>
      </c>
      <c r="R41" s="277">
        <f>IF(AND(R6&gt;=Assumptions!$N$44,Q6&lt;Assumptions!$N$44),1/Assumptions!$N$44*(1-$C$41)-Depreciation!$D$41,IF(AND(Q6&gt;Assumptions!$N$44,R6&lt;Assumptions!$N$44),0,1/Assumptions!$N$44*(1-$C$41)))</f>
        <v>0.03</v>
      </c>
      <c r="S41" s="277">
        <f>IF(AND(S6&gt;=Assumptions!$N$44,R6&lt;Assumptions!$N$44),1/Assumptions!$N$44*(1-$C$41)-Depreciation!$D$41,IF(AND(R6&gt;Assumptions!$N$44,S6&lt;Assumptions!$N$44),0,1/Assumptions!$N$44*(1-$C$41)))</f>
        <v>0.03</v>
      </c>
      <c r="T41" s="277">
        <f>IF(AND(T6&gt;=Assumptions!$N$44,S6&lt;Assumptions!$N$44),1/Assumptions!$N$44*(1-$C$41)-Depreciation!$D$41,IF(AND(S6&gt;Assumptions!$N$44,T6&lt;Assumptions!$N$44),0,1/Assumptions!$N$44*(1-$C$41)))</f>
        <v>0.03</v>
      </c>
      <c r="U41" s="277">
        <f>IF(AND(U6&gt;=Assumptions!$N$44,T6&lt;Assumptions!$N$44),1/Assumptions!$N$44*(1-$C$41)-Depreciation!$D$41,IF(AND(T6&gt;Assumptions!$N$44,U6&lt;Assumptions!$N$44),0,1/Assumptions!$N$44*(1-$C$41)))</f>
        <v>0.03</v>
      </c>
      <c r="V41" s="277">
        <f>IF(AND(V6&gt;=Assumptions!$N$44,U6&lt;Assumptions!$N$44),1/Assumptions!$N$44*(1-$C$41)-Depreciation!$D$41,IF(AND(U6&gt;Assumptions!$N$44,V6&lt;Assumptions!$N$44),0,1/Assumptions!$N$44*(1-$C$41)))</f>
        <v>0.03</v>
      </c>
      <c r="W41" s="277">
        <f>IF(AND(W6&gt;=Assumptions!$N$44,V6&lt;Assumptions!$N$44),1/Assumptions!$N$44*(1-$C$41)-Depreciation!$D$41,IF(AND(V6&gt;Assumptions!$N$44,W6&lt;Assumptions!$N$44),0,1/Assumptions!$N$44*(1-$C$41)))</f>
        <v>0.03</v>
      </c>
      <c r="X41" s="277">
        <f>IF(AND(X6&gt;=Assumptions!$N$44,W6&lt;Assumptions!$N$44),1/Assumptions!$N$44*(1-$C$41)-Depreciation!$D$41,IF(AND(W6&gt;Assumptions!$N$44,X6&lt;Assumptions!$N$44),0,1/Assumptions!$N$44*(1-$C$41)))</f>
        <v>0.03</v>
      </c>
      <c r="Y41" s="277">
        <f>IF(AND(Y6&gt;=Assumptions!$N$44,X6&lt;Assumptions!$N$44),1/Assumptions!$N$44*(1-$C$41)-Depreciation!$D$41,IF(AND(X6&gt;Assumptions!$N$44,Y6&lt;Assumptions!$N$44),0,1/Assumptions!$N$44*(1-$C$41)))</f>
        <v>0.03</v>
      </c>
      <c r="Z41" s="277">
        <f>IF(AND(Z6&gt;=Assumptions!$N$44,Y6&lt;Assumptions!$N$44),1/Assumptions!$N$44*(1-$C$41)-Depreciation!$D$41,IF(AND(Y6&gt;Assumptions!$N$44,Z6&lt;Assumptions!$N$44),0,1/Assumptions!$N$44*(1-$C$41)))</f>
        <v>0.03</v>
      </c>
      <c r="AA41" s="277">
        <f>IF(AND(AA6&gt;=Assumptions!$N$44,Z6&lt;Assumptions!$N$44),1/Assumptions!$N$44*(1-$C$41)-Depreciation!$D$41,IF(AND(Z6&gt;Assumptions!$N$44,AA6&lt;Assumptions!$N$44),0,1/Assumptions!$N$44*(1-$C$41)))</f>
        <v>0.03</v>
      </c>
      <c r="AB41" s="277">
        <f>IF(AND(AB6&gt;=Assumptions!$N$44,AA6&lt;Assumptions!$N$44),1/Assumptions!$N$44*(1-$C$41)-Depreciation!$D$41,IF(AND(AA6&gt;Assumptions!$N$44,AB6&lt;Assumptions!$N$44),0,1/Assumptions!$N$44*(1-$C$41)))</f>
        <v>0.03</v>
      </c>
      <c r="AC41" s="277">
        <f>IF(AND(AC6&gt;=Assumptions!$N$44,AB6&lt;Assumptions!$N$44),1/Assumptions!$N$44*(1-$C$41)-Depreciation!$D$41,IF(AND(AB6&gt;Assumptions!$N$44,AC6&lt;Assumptions!$N$44),0,1/Assumptions!$N$44*(1-$C$41)))</f>
        <v>0.03</v>
      </c>
      <c r="AD41" s="277">
        <f>IF(AND(AD6&gt;=Assumptions!$N$44,AC6&lt;Assumptions!$N$44),1/Assumptions!$N$44*(1-$C$41)-Depreciation!$D$41,IF(AND(AC6&gt;Assumptions!$N$44,AD6&lt;Assumptions!$N$44),0,1/Assumptions!$N$44*(1-$C$41)))</f>
        <v>0.03</v>
      </c>
      <c r="AE41" s="277">
        <f>IF(AND(AE6&gt;=Assumptions!$N$44,AD6&lt;Assumptions!$N$44),1/Assumptions!$N$44*(1-$C$41)-Depreciation!$D$41,IF(AND(AD6&gt;Assumptions!$N$44,AE6&lt;Assumptions!$N$44),0,1/Assumptions!$N$44*(1-$C$41)))</f>
        <v>0.03</v>
      </c>
      <c r="AF41" s="277">
        <f>IF(AND(AF6&gt;=Assumptions!$N$44,AE6&lt;Assumptions!$N$44),1/Assumptions!$N$44*(1-$C$41)-Depreciation!$D$41,IF(AND(AE6&gt;Assumptions!$N$44,AF6&lt;Assumptions!$N$44),0,1/Assumptions!$N$44*(1-$C$41)))</f>
        <v>0.03</v>
      </c>
      <c r="AG41" s="277">
        <f>IF(AND(AG6&gt;=Assumptions!$N$44,AF6&lt;Assumptions!$N$44),1/Assumptions!$N$44*(1-$C$41)-Depreciation!$D$41,IF(AND(AF6&gt;Assumptions!$N$44,AG6&lt;Assumptions!$N$44),0,1/Assumptions!$N$44*(1-$C$41)))</f>
        <v>0.03</v>
      </c>
      <c r="AH41" s="277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244</v>
      </c>
      <c r="B42" s="31">
        <f>Assumptions!$N$40</f>
        <v>5</v>
      </c>
      <c r="C42" s="32"/>
      <c r="D42" s="277">
        <f>D13</f>
        <v>0.13333333333333333</v>
      </c>
      <c r="E42" s="277">
        <f t="shared" ref="E42:AH42" si="23">E13</f>
        <v>0.2</v>
      </c>
      <c r="F42" s="277">
        <f t="shared" si="23"/>
        <v>0.2</v>
      </c>
      <c r="G42" s="277">
        <f t="shared" si="23"/>
        <v>0.2</v>
      </c>
      <c r="H42" s="277">
        <f t="shared" si="23"/>
        <v>0.2</v>
      </c>
      <c r="I42" s="277">
        <f t="shared" si="23"/>
        <v>6.666666666666668E-2</v>
      </c>
      <c r="J42" s="277">
        <f t="shared" si="23"/>
        <v>0</v>
      </c>
      <c r="K42" s="277">
        <f t="shared" si="23"/>
        <v>0</v>
      </c>
      <c r="L42" s="277">
        <f t="shared" si="23"/>
        <v>0</v>
      </c>
      <c r="M42" s="277">
        <f t="shared" si="23"/>
        <v>0</v>
      </c>
      <c r="N42" s="277">
        <f t="shared" si="23"/>
        <v>0</v>
      </c>
      <c r="O42" s="277">
        <f t="shared" si="23"/>
        <v>0</v>
      </c>
      <c r="P42" s="277">
        <f t="shared" si="23"/>
        <v>0</v>
      </c>
      <c r="Q42" s="277">
        <f t="shared" si="23"/>
        <v>0</v>
      </c>
      <c r="R42" s="277">
        <f t="shared" si="23"/>
        <v>0</v>
      </c>
      <c r="S42" s="277">
        <f t="shared" si="23"/>
        <v>0</v>
      </c>
      <c r="T42" s="277">
        <f t="shared" si="23"/>
        <v>0</v>
      </c>
      <c r="U42" s="277">
        <f t="shared" si="23"/>
        <v>0</v>
      </c>
      <c r="V42" s="277">
        <f t="shared" si="23"/>
        <v>0</v>
      </c>
      <c r="W42" s="277">
        <f t="shared" si="23"/>
        <v>0</v>
      </c>
      <c r="X42" s="277">
        <f t="shared" si="23"/>
        <v>0</v>
      </c>
      <c r="Y42" s="277">
        <f t="shared" si="23"/>
        <v>0</v>
      </c>
      <c r="Z42" s="277">
        <f t="shared" si="23"/>
        <v>0</v>
      </c>
      <c r="AA42" s="277">
        <f t="shared" si="23"/>
        <v>0</v>
      </c>
      <c r="AB42" s="277">
        <f t="shared" si="23"/>
        <v>0</v>
      </c>
      <c r="AC42" s="277">
        <f t="shared" si="23"/>
        <v>0</v>
      </c>
      <c r="AD42" s="277">
        <f t="shared" si="23"/>
        <v>0</v>
      </c>
      <c r="AE42" s="277">
        <f t="shared" si="23"/>
        <v>0</v>
      </c>
      <c r="AF42" s="277">
        <f t="shared" si="23"/>
        <v>0</v>
      </c>
      <c r="AG42" s="277">
        <f t="shared" si="23"/>
        <v>0</v>
      </c>
      <c r="AH42" s="277">
        <f t="shared" si="23"/>
        <v>0</v>
      </c>
    </row>
    <row r="43" spans="1:38" s="10" customFormat="1">
      <c r="A43" s="22" t="s">
        <v>310</v>
      </c>
      <c r="B43" s="34">
        <f>Assumptions!$N$46</f>
        <v>20</v>
      </c>
      <c r="C43" s="24"/>
      <c r="D43" s="277">
        <f>1/Assumptions!$N$46*D6</f>
        <v>3.3333333333333333E-2</v>
      </c>
      <c r="E43" s="277">
        <f>IF(AND(E6&gt;=Assumptions!$N$46, D6&lt;Assumptions!$N$46),1/Assumptions!$N$46-Depreciation!$D$43,IF(E6&lt;Assumptions!$N$46,1/Assumptions!$N$46,0))</f>
        <v>0.05</v>
      </c>
      <c r="F43" s="277">
        <f>IF(AND(F6&gt;=Assumptions!$N$46, E6&lt;Assumptions!$N$46),1/Assumptions!$N$46-Depreciation!$D$43,IF(F6&lt;Assumptions!$N$46,1/Assumptions!$N$46,0))</f>
        <v>0.05</v>
      </c>
      <c r="G43" s="277">
        <f>IF(AND(G6&gt;=Assumptions!$N$46, F6&lt;Assumptions!$N$46),1/Assumptions!$N$46-Depreciation!$D$43,IF(G6&lt;Assumptions!$N$46,1/Assumptions!$N$46,0))</f>
        <v>0.05</v>
      </c>
      <c r="H43" s="277">
        <f>IF(AND(H6&gt;=Assumptions!$N$46, G6&lt;Assumptions!$N$46),1/Assumptions!$N$46-Depreciation!$D$43,IF(H6&lt;Assumptions!$N$46,1/Assumptions!$N$46,0))</f>
        <v>0.05</v>
      </c>
      <c r="I43" s="277">
        <f>IF(AND(I6&gt;=Assumptions!$N$46, H6&lt;Assumptions!$N$46),1/Assumptions!$N$46-Depreciation!$D$43,IF(I6&lt;Assumptions!$N$46,1/Assumptions!$N$46,0))</f>
        <v>0.05</v>
      </c>
      <c r="J43" s="277">
        <f>IF(AND(J6&gt;=Assumptions!$N$46, I6&lt;Assumptions!$N$46),1/Assumptions!$N$46-Depreciation!$D$43,IF(J6&lt;Assumptions!$N$46,1/Assumptions!$N$46,0))</f>
        <v>0.05</v>
      </c>
      <c r="K43" s="277">
        <f>IF(AND(K6&gt;=Assumptions!$N$46, J6&lt;Assumptions!$N$46),1/Assumptions!$N$46-Depreciation!$D$43,IF(K6&lt;Assumptions!$N$46,1/Assumptions!$N$46,0))</f>
        <v>0.05</v>
      </c>
      <c r="L43" s="277">
        <f>IF(AND(L6&gt;=Assumptions!$N$46, K6&lt;Assumptions!$N$46),1/Assumptions!$N$46-Depreciation!$D$43,IF(L6&lt;Assumptions!$N$46,1/Assumptions!$N$46,0))</f>
        <v>0.05</v>
      </c>
      <c r="M43" s="277">
        <f>IF(AND(M6&gt;=Assumptions!$N$46, L6&lt;Assumptions!$N$46),1/Assumptions!$N$46-Depreciation!$D$43,IF(M6&lt;Assumptions!$N$46,1/Assumptions!$N$46,0))</f>
        <v>0.05</v>
      </c>
      <c r="N43" s="277">
        <f>IF(AND(N6&gt;=Assumptions!$N$46, M6&lt;Assumptions!$N$46),1/Assumptions!$N$46-Depreciation!$D$43,IF(N6&lt;Assumptions!$N$46,1/Assumptions!$N$46,0))</f>
        <v>0.05</v>
      </c>
      <c r="O43" s="277">
        <f>IF(AND(O6&gt;=Assumptions!$N$46, N6&lt;Assumptions!$N$46),1/Assumptions!$N$46-Depreciation!$D$43,IF(O6&lt;Assumptions!$N$46,1/Assumptions!$N$46,0))</f>
        <v>0.05</v>
      </c>
      <c r="P43" s="277">
        <f>IF(AND(P6&gt;=Assumptions!$N$46, O6&lt;Assumptions!$N$46),1/Assumptions!$N$46-Depreciation!$D$43,IF(P6&lt;Assumptions!$N$46,1/Assumptions!$N$46,0))</f>
        <v>0.05</v>
      </c>
      <c r="Q43" s="277">
        <f>IF(AND(Q6&gt;=Assumptions!$N$46, P6&lt;Assumptions!$N$46),1/Assumptions!$N$46-Depreciation!$D$43,IF(Q6&lt;Assumptions!$N$46,1/Assumptions!$N$46,0))</f>
        <v>0.05</v>
      </c>
      <c r="R43" s="277">
        <f>IF(AND(R6&gt;=Assumptions!$N$46, Q6&lt;Assumptions!$N$46),1/Assumptions!$N$46-Depreciation!$D$43,IF(R6&lt;Assumptions!$N$46,1/Assumptions!$N$46,0))</f>
        <v>0.05</v>
      </c>
      <c r="S43" s="277">
        <f>IF(AND(S6&gt;=Assumptions!$N$46, R6&lt;Assumptions!$N$46),1/Assumptions!$N$46-Depreciation!$D$43,IF(S6&lt;Assumptions!$N$46,1/Assumptions!$N$46,0))</f>
        <v>0.05</v>
      </c>
      <c r="T43" s="277">
        <f>IF(AND(T6&gt;=Assumptions!$N$46, S6&lt;Assumptions!$N$46),1/Assumptions!$N$46-Depreciation!$D$43,IF(T6&lt;Assumptions!$N$46,1/Assumptions!$N$46,0))</f>
        <v>0.05</v>
      </c>
      <c r="U43" s="277">
        <f>IF(AND(U6&gt;=Assumptions!$N$46, T6&lt;Assumptions!$N$46),1/Assumptions!$N$46-Depreciation!$D$43,IF(U6&lt;Assumptions!$N$46,1/Assumptions!$N$46,0))</f>
        <v>0.05</v>
      </c>
      <c r="V43" s="277">
        <f>IF(AND(V6&gt;=Assumptions!$N$46, U6&lt;Assumptions!$N$46),1/Assumptions!$N$46-Depreciation!$D$43,IF(V6&lt;Assumptions!$N$46,1/Assumptions!$N$46,0))</f>
        <v>0.05</v>
      </c>
      <c r="W43" s="277">
        <f>IF(AND(W6&gt;=Assumptions!$N$46, V6&lt;Assumptions!$N$46),1/Assumptions!$N$46-Depreciation!$D$43,IF(W6&lt;Assumptions!$N$46,1/Assumptions!$N$46,0))</f>
        <v>0.05</v>
      </c>
      <c r="X43" s="277">
        <f>IF(AND(X6&gt;=Assumptions!$N$46, W6&lt;Assumptions!$N$46),1/Assumptions!$N$46-Depreciation!$D$43,IF(X6&lt;Assumptions!$N$46,1/Assumptions!$N$46,0))</f>
        <v>1.666666666666667E-2</v>
      </c>
      <c r="Y43" s="277">
        <f>IF(AND(Y6&gt;=Assumptions!$N$46, X6&lt;Assumptions!$N$46),1/Assumptions!$N$46-Depreciation!$D$43,IF(Y6&lt;Assumptions!$N$46,1/Assumptions!$N$46,0))</f>
        <v>0</v>
      </c>
      <c r="Z43" s="277">
        <f>IF(AND(Z6&gt;=Assumptions!$N$46, Y6&lt;Assumptions!$N$46),1/Assumptions!$N$46-Depreciation!$D$43,IF(Z6&lt;Assumptions!$N$46,1/Assumptions!$N$46,0))</f>
        <v>0</v>
      </c>
      <c r="AA43" s="277">
        <f>IF(AND(AA6&gt;=Assumptions!$N$46, Z6&lt;Assumptions!$N$46),1/Assumptions!$N$46-Depreciation!$D$43,IF(AA6&lt;Assumptions!$N$46,1/Assumptions!$N$46,0))</f>
        <v>0</v>
      </c>
      <c r="AB43" s="277">
        <f>IF(AND(AB6&gt;=Assumptions!$N$46, AA6&lt;Assumptions!$N$46),1/Assumptions!$N$46-Depreciation!$D$43,IF(AB6&lt;Assumptions!$N$46,1/Assumptions!$N$46,0))</f>
        <v>0</v>
      </c>
      <c r="AC43" s="277">
        <f>IF(AND(AC6&gt;=Assumptions!$N$46, AB6&lt;Assumptions!$N$46),1/Assumptions!$N$46-Depreciation!$D$43,IF(AC6&lt;Assumptions!$N$46,1/Assumptions!$N$46,0))</f>
        <v>0</v>
      </c>
      <c r="AD43" s="277">
        <f>IF(AND(AD6&gt;=Assumptions!$N$46, AC6&lt;Assumptions!$N$46),1/Assumptions!$N$46-Depreciation!$D$43,IF(AD6&lt;Assumptions!$N$46,1/Assumptions!$N$46,0))</f>
        <v>0</v>
      </c>
      <c r="AE43" s="277">
        <f>IF(AND(AE6&gt;=Assumptions!$N$46, AD6&lt;Assumptions!$N$46),1/Assumptions!$N$46-Depreciation!$D$43,IF(AE6&lt;Assumptions!$N$46,1/Assumptions!$N$46,0))</f>
        <v>0</v>
      </c>
      <c r="AF43" s="277">
        <f>IF(AND(AF6&gt;=Assumptions!$N$46, AE6&lt;Assumptions!$N$46),1/Assumptions!$N$46-Depreciation!$D$43,IF(AF6&lt;Assumptions!$N$46,1/Assumptions!$N$46,0))</f>
        <v>0</v>
      </c>
      <c r="AG43" s="277">
        <f>IF(AND(AG6&gt;=Assumptions!$N$46, AF6&lt;Assumptions!$N$46),1/Assumptions!$N$46-Depreciation!$D$43,IF(AG6&lt;Assumptions!$N$46,1/Assumptions!$N$46,0))</f>
        <v>0</v>
      </c>
      <c r="AH43" s="277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243</v>
      </c>
      <c r="B45" s="374">
        <f>B16</f>
        <v>194650.36512439008</v>
      </c>
      <c r="C45" s="303"/>
      <c r="D45" s="18">
        <f t="shared" ref="D45:Y45" si="24">D41*$B$45</f>
        <v>3893.0073024878011</v>
      </c>
      <c r="E45" s="18">
        <f t="shared" si="24"/>
        <v>5839.5109537317021</v>
      </c>
      <c r="F45" s="18">
        <f t="shared" si="24"/>
        <v>5839.5109537317021</v>
      </c>
      <c r="G45" s="18">
        <f t="shared" si="24"/>
        <v>5839.5109537317021</v>
      </c>
      <c r="H45" s="18">
        <f t="shared" si="24"/>
        <v>5839.5109537317021</v>
      </c>
      <c r="I45" s="18">
        <f t="shared" si="24"/>
        <v>5839.5109537317021</v>
      </c>
      <c r="J45" s="18">
        <f t="shared" si="24"/>
        <v>5839.5109537317021</v>
      </c>
      <c r="K45" s="18">
        <f t="shared" si="24"/>
        <v>5839.5109537317021</v>
      </c>
      <c r="L45" s="18">
        <f t="shared" si="24"/>
        <v>5839.5109537317021</v>
      </c>
      <c r="M45" s="18">
        <f t="shared" si="24"/>
        <v>5839.5109537317021</v>
      </c>
      <c r="N45" s="18">
        <f t="shared" si="24"/>
        <v>5839.5109537317021</v>
      </c>
      <c r="O45" s="18">
        <f t="shared" si="24"/>
        <v>5839.5109537317021</v>
      </c>
      <c r="P45" s="18">
        <f t="shared" si="24"/>
        <v>5839.5109537317021</v>
      </c>
      <c r="Q45" s="18">
        <f t="shared" si="24"/>
        <v>5839.5109537317021</v>
      </c>
      <c r="R45" s="18">
        <f t="shared" si="24"/>
        <v>5839.5109537317021</v>
      </c>
      <c r="S45" s="18">
        <f t="shared" si="24"/>
        <v>5839.5109537317021</v>
      </c>
      <c r="T45" s="18">
        <f t="shared" si="24"/>
        <v>5839.5109537317021</v>
      </c>
      <c r="U45" s="18">
        <f t="shared" si="24"/>
        <v>5839.5109537317021</v>
      </c>
      <c r="V45" s="18">
        <f t="shared" si="24"/>
        <v>5839.5109537317021</v>
      </c>
      <c r="W45" s="18">
        <f t="shared" si="24"/>
        <v>5839.5109537317021</v>
      </c>
      <c r="X45" s="18">
        <f t="shared" si="24"/>
        <v>5839.5109537317021</v>
      </c>
      <c r="Y45" s="18">
        <f t="shared" si="24"/>
        <v>5839.5109537317021</v>
      </c>
      <c r="Z45" s="18">
        <f t="shared" ref="Z45:AH45" si="25">Z41*$B$45</f>
        <v>5839.5109537317021</v>
      </c>
      <c r="AA45" s="18">
        <f t="shared" si="25"/>
        <v>5839.5109537317021</v>
      </c>
      <c r="AB45" s="18">
        <f t="shared" si="25"/>
        <v>5839.5109537317021</v>
      </c>
      <c r="AC45" s="18">
        <f t="shared" si="25"/>
        <v>5839.5109537317021</v>
      </c>
      <c r="AD45" s="18">
        <f t="shared" si="25"/>
        <v>5839.5109537317021</v>
      </c>
      <c r="AE45" s="18">
        <f t="shared" si="25"/>
        <v>5839.5109537317021</v>
      </c>
      <c r="AF45" s="18">
        <f t="shared" si="25"/>
        <v>5839.5109537317021</v>
      </c>
      <c r="AG45" s="18">
        <f t="shared" si="25"/>
        <v>5839.5109537317021</v>
      </c>
      <c r="AH45" s="18">
        <f t="shared" si="25"/>
        <v>1946.5036512439012</v>
      </c>
      <c r="AI45" s="20"/>
      <c r="AJ45" s="20"/>
      <c r="AK45" s="20"/>
      <c r="AL45" s="20"/>
    </row>
    <row r="46" spans="1:38" s="10" customFormat="1">
      <c r="A46" s="21" t="s">
        <v>244</v>
      </c>
      <c r="B46" s="302">
        <f>B17</f>
        <v>11169.655949999997</v>
      </c>
      <c r="C46" s="303"/>
      <c r="D46" s="300">
        <f>D42*$B$46</f>
        <v>1489.2874599999996</v>
      </c>
      <c r="E46" s="300">
        <f t="shared" ref="E46:AH46" si="26">E42*$B$46</f>
        <v>2233.9311899999993</v>
      </c>
      <c r="F46" s="300">
        <f t="shared" si="26"/>
        <v>2233.9311899999993</v>
      </c>
      <c r="G46" s="300">
        <f t="shared" si="26"/>
        <v>2233.9311899999993</v>
      </c>
      <c r="H46" s="300">
        <f t="shared" si="26"/>
        <v>2233.9311899999993</v>
      </c>
      <c r="I46" s="300">
        <f t="shared" si="26"/>
        <v>744.64372999999989</v>
      </c>
      <c r="J46" s="300">
        <f t="shared" si="26"/>
        <v>0</v>
      </c>
      <c r="K46" s="300">
        <f t="shared" si="26"/>
        <v>0</v>
      </c>
      <c r="L46" s="300">
        <f t="shared" si="26"/>
        <v>0</v>
      </c>
      <c r="M46" s="300">
        <f t="shared" si="26"/>
        <v>0</v>
      </c>
      <c r="N46" s="300">
        <f t="shared" si="26"/>
        <v>0</v>
      </c>
      <c r="O46" s="300">
        <f t="shared" si="26"/>
        <v>0</v>
      </c>
      <c r="P46" s="300">
        <f t="shared" si="26"/>
        <v>0</v>
      </c>
      <c r="Q46" s="300">
        <f t="shared" si="26"/>
        <v>0</v>
      </c>
      <c r="R46" s="300">
        <f t="shared" si="26"/>
        <v>0</v>
      </c>
      <c r="S46" s="300">
        <f t="shared" si="26"/>
        <v>0</v>
      </c>
      <c r="T46" s="300">
        <f t="shared" si="26"/>
        <v>0</v>
      </c>
      <c r="U46" s="300">
        <f t="shared" si="26"/>
        <v>0</v>
      </c>
      <c r="V46" s="300">
        <f t="shared" si="26"/>
        <v>0</v>
      </c>
      <c r="W46" s="300">
        <f t="shared" si="26"/>
        <v>0</v>
      </c>
      <c r="X46" s="300">
        <f t="shared" si="26"/>
        <v>0</v>
      </c>
      <c r="Y46" s="300">
        <f t="shared" si="26"/>
        <v>0</v>
      </c>
      <c r="Z46" s="300">
        <f t="shared" si="26"/>
        <v>0</v>
      </c>
      <c r="AA46" s="300">
        <f t="shared" si="26"/>
        <v>0</v>
      </c>
      <c r="AB46" s="300">
        <f t="shared" si="26"/>
        <v>0</v>
      </c>
      <c r="AC46" s="300">
        <f t="shared" si="26"/>
        <v>0</v>
      </c>
      <c r="AD46" s="300">
        <f t="shared" si="26"/>
        <v>0</v>
      </c>
      <c r="AE46" s="300">
        <f t="shared" si="26"/>
        <v>0</v>
      </c>
      <c r="AF46" s="300">
        <f t="shared" si="26"/>
        <v>0</v>
      </c>
      <c r="AG46" s="300">
        <f t="shared" si="26"/>
        <v>0</v>
      </c>
      <c r="AH46" s="300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310</v>
      </c>
      <c r="B47" s="375">
        <f>B18</f>
        <v>0</v>
      </c>
      <c r="C47" s="303"/>
      <c r="D47" s="376">
        <f t="shared" ref="D47:Y47" si="27">D43*$B$47</f>
        <v>0</v>
      </c>
      <c r="E47" s="376">
        <f t="shared" si="27"/>
        <v>0</v>
      </c>
      <c r="F47" s="376">
        <f t="shared" si="27"/>
        <v>0</v>
      </c>
      <c r="G47" s="376">
        <f t="shared" si="27"/>
        <v>0</v>
      </c>
      <c r="H47" s="376">
        <f t="shared" si="27"/>
        <v>0</v>
      </c>
      <c r="I47" s="376">
        <f t="shared" si="27"/>
        <v>0</v>
      </c>
      <c r="J47" s="376">
        <f t="shared" si="27"/>
        <v>0</v>
      </c>
      <c r="K47" s="376">
        <f t="shared" si="27"/>
        <v>0</v>
      </c>
      <c r="L47" s="376">
        <f t="shared" si="27"/>
        <v>0</v>
      </c>
      <c r="M47" s="376">
        <f t="shared" si="27"/>
        <v>0</v>
      </c>
      <c r="N47" s="376">
        <f t="shared" si="27"/>
        <v>0</v>
      </c>
      <c r="O47" s="376">
        <f t="shared" si="27"/>
        <v>0</v>
      </c>
      <c r="P47" s="376">
        <f t="shared" si="27"/>
        <v>0</v>
      </c>
      <c r="Q47" s="376">
        <f t="shared" si="27"/>
        <v>0</v>
      </c>
      <c r="R47" s="376">
        <f t="shared" si="27"/>
        <v>0</v>
      </c>
      <c r="S47" s="376">
        <f t="shared" si="27"/>
        <v>0</v>
      </c>
      <c r="T47" s="376">
        <f t="shared" si="27"/>
        <v>0</v>
      </c>
      <c r="U47" s="376">
        <f t="shared" si="27"/>
        <v>0</v>
      </c>
      <c r="V47" s="376">
        <f t="shared" si="27"/>
        <v>0</v>
      </c>
      <c r="W47" s="376">
        <f t="shared" si="27"/>
        <v>0</v>
      </c>
      <c r="X47" s="376">
        <f t="shared" si="27"/>
        <v>0</v>
      </c>
      <c r="Y47" s="376">
        <f t="shared" si="27"/>
        <v>0</v>
      </c>
      <c r="Z47" s="376">
        <f t="shared" ref="Z47:AH47" si="28">Z43*$B$47</f>
        <v>0</v>
      </c>
      <c r="AA47" s="376">
        <f t="shared" si="28"/>
        <v>0</v>
      </c>
      <c r="AB47" s="376">
        <f t="shared" si="28"/>
        <v>0</v>
      </c>
      <c r="AC47" s="376">
        <f t="shared" si="28"/>
        <v>0</v>
      </c>
      <c r="AD47" s="376">
        <f t="shared" si="28"/>
        <v>0</v>
      </c>
      <c r="AE47" s="376">
        <f t="shared" si="28"/>
        <v>0</v>
      </c>
      <c r="AF47" s="376">
        <f t="shared" si="28"/>
        <v>0</v>
      </c>
      <c r="AG47" s="376">
        <f t="shared" si="28"/>
        <v>0</v>
      </c>
      <c r="AH47" s="376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205820.02107439007</v>
      </c>
      <c r="C48" s="303"/>
      <c r="D48" s="18">
        <f t="shared" ref="D48:Y48" si="29">SUM(D45:D47)</f>
        <v>5382.2947624878007</v>
      </c>
      <c r="E48" s="18">
        <f t="shared" si="29"/>
        <v>8073.4421437317014</v>
      </c>
      <c r="F48" s="18">
        <f t="shared" si="29"/>
        <v>8073.4421437317014</v>
      </c>
      <c r="G48" s="18">
        <f t="shared" si="29"/>
        <v>8073.4421437317014</v>
      </c>
      <c r="H48" s="18">
        <f t="shared" si="29"/>
        <v>8073.4421437317014</v>
      </c>
      <c r="I48" s="18">
        <f t="shared" si="29"/>
        <v>6584.1546837317019</v>
      </c>
      <c r="J48" s="18">
        <f t="shared" si="29"/>
        <v>5839.5109537317021</v>
      </c>
      <c r="K48" s="18">
        <f t="shared" si="29"/>
        <v>5839.5109537317021</v>
      </c>
      <c r="L48" s="18">
        <f t="shared" si="29"/>
        <v>5839.5109537317021</v>
      </c>
      <c r="M48" s="18">
        <f t="shared" si="29"/>
        <v>5839.5109537317021</v>
      </c>
      <c r="N48" s="18">
        <f t="shared" si="29"/>
        <v>5839.5109537317021</v>
      </c>
      <c r="O48" s="18">
        <f t="shared" si="29"/>
        <v>5839.5109537317021</v>
      </c>
      <c r="P48" s="18">
        <f t="shared" si="29"/>
        <v>5839.5109537317021</v>
      </c>
      <c r="Q48" s="18">
        <f t="shared" si="29"/>
        <v>5839.5109537317021</v>
      </c>
      <c r="R48" s="18">
        <f t="shared" si="29"/>
        <v>5839.5109537317021</v>
      </c>
      <c r="S48" s="18">
        <f t="shared" si="29"/>
        <v>5839.5109537317021</v>
      </c>
      <c r="T48" s="18">
        <f t="shared" si="29"/>
        <v>5839.5109537317021</v>
      </c>
      <c r="U48" s="18">
        <f t="shared" si="29"/>
        <v>5839.5109537317021</v>
      </c>
      <c r="V48" s="18">
        <f t="shared" si="29"/>
        <v>5839.5109537317021</v>
      </c>
      <c r="W48" s="18">
        <f t="shared" si="29"/>
        <v>5839.5109537317021</v>
      </c>
      <c r="X48" s="18">
        <f t="shared" si="29"/>
        <v>5839.5109537317021</v>
      </c>
      <c r="Y48" s="18">
        <f t="shared" si="29"/>
        <v>5839.5109537317021</v>
      </c>
      <c r="Z48" s="18">
        <f t="shared" ref="Z48:AH48" si="30">SUM(Z45:Z47)</f>
        <v>5839.5109537317021</v>
      </c>
      <c r="AA48" s="18">
        <f t="shared" si="30"/>
        <v>5839.5109537317021</v>
      </c>
      <c r="AB48" s="18">
        <f t="shared" si="30"/>
        <v>5839.5109537317021</v>
      </c>
      <c r="AC48" s="18">
        <f t="shared" si="30"/>
        <v>5839.5109537317021</v>
      </c>
      <c r="AD48" s="18">
        <f t="shared" si="30"/>
        <v>5839.5109537317021</v>
      </c>
      <c r="AE48" s="18">
        <f t="shared" si="30"/>
        <v>5839.5109537317021</v>
      </c>
      <c r="AF48" s="18">
        <f t="shared" si="30"/>
        <v>5839.5109537317021</v>
      </c>
      <c r="AG48" s="18">
        <f t="shared" si="30"/>
        <v>5839.5109537317021</v>
      </c>
      <c r="AH48" s="18">
        <f t="shared" si="30"/>
        <v>1946.5036512439012</v>
      </c>
      <c r="AI48" s="20"/>
      <c r="AJ48" s="20"/>
      <c r="AK48" s="20"/>
      <c r="AL48" s="20"/>
    </row>
    <row r="49" spans="1:38">
      <c r="A49" s="22"/>
      <c r="B49" s="18"/>
      <c r="C49" s="37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5" t="s">
        <v>67</v>
      </c>
      <c r="B50" s="380">
        <f>B48</f>
        <v>205820.02107439007</v>
      </c>
      <c r="C50" s="379"/>
      <c r="D50" s="304">
        <f>B48-D48</f>
        <v>200437.72631190225</v>
      </c>
      <c r="E50" s="304">
        <f>D50-E48</f>
        <v>192364.28416817056</v>
      </c>
      <c r="F50" s="304">
        <f t="shared" ref="F50:Y50" si="31">E50-F48</f>
        <v>184290.84202443887</v>
      </c>
      <c r="G50" s="304">
        <f t="shared" si="31"/>
        <v>176217.39988070718</v>
      </c>
      <c r="H50" s="304">
        <f t="shared" si="31"/>
        <v>168143.95773697548</v>
      </c>
      <c r="I50" s="304">
        <f t="shared" si="31"/>
        <v>161559.80305324378</v>
      </c>
      <c r="J50" s="304">
        <f t="shared" si="31"/>
        <v>155720.29209951209</v>
      </c>
      <c r="K50" s="304">
        <f t="shared" si="31"/>
        <v>149880.78114578041</v>
      </c>
      <c r="L50" s="304">
        <f t="shared" si="31"/>
        <v>144041.27019204872</v>
      </c>
      <c r="M50" s="304">
        <f t="shared" si="31"/>
        <v>138201.75923831703</v>
      </c>
      <c r="N50" s="304">
        <f t="shared" si="31"/>
        <v>132362.24828458534</v>
      </c>
      <c r="O50" s="304">
        <f t="shared" si="31"/>
        <v>126522.73733085363</v>
      </c>
      <c r="P50" s="304">
        <f t="shared" si="31"/>
        <v>120683.22637712193</v>
      </c>
      <c r="Q50" s="304">
        <f t="shared" si="31"/>
        <v>114843.71542339023</v>
      </c>
      <c r="R50" s="304">
        <f t="shared" si="31"/>
        <v>109004.20446965852</v>
      </c>
      <c r="S50" s="304">
        <f t="shared" si="31"/>
        <v>103164.69351592682</v>
      </c>
      <c r="T50" s="304">
        <f t="shared" si="31"/>
        <v>97325.182562195114</v>
      </c>
      <c r="U50" s="304">
        <f t="shared" si="31"/>
        <v>91485.67160846341</v>
      </c>
      <c r="V50" s="304">
        <f t="shared" si="31"/>
        <v>85646.160654731706</v>
      </c>
      <c r="W50" s="304">
        <f t="shared" si="31"/>
        <v>79806.649701000002</v>
      </c>
      <c r="X50" s="304">
        <f t="shared" si="31"/>
        <v>73967.138747268298</v>
      </c>
      <c r="Y50" s="304">
        <f t="shared" si="31"/>
        <v>68127.627793536594</v>
      </c>
      <c r="Z50" s="304">
        <f t="shared" ref="Z50:AH50" si="32">Y50-Z48</f>
        <v>62288.11683980489</v>
      </c>
      <c r="AA50" s="304">
        <f t="shared" si="32"/>
        <v>56448.605886073186</v>
      </c>
      <c r="AB50" s="304">
        <f t="shared" si="32"/>
        <v>50609.094932341482</v>
      </c>
      <c r="AC50" s="304">
        <f t="shared" si="32"/>
        <v>44769.583978609779</v>
      </c>
      <c r="AD50" s="304">
        <f t="shared" si="32"/>
        <v>38930.073024878075</v>
      </c>
      <c r="AE50" s="304">
        <f t="shared" si="32"/>
        <v>33090.562071146371</v>
      </c>
      <c r="AF50" s="304">
        <f t="shared" si="32"/>
        <v>27251.051117414667</v>
      </c>
      <c r="AG50" s="304">
        <f t="shared" si="32"/>
        <v>21411.540163682963</v>
      </c>
      <c r="AH50" s="304">
        <f t="shared" si="32"/>
        <v>19465.036512439063</v>
      </c>
      <c r="AI50" s="239"/>
      <c r="AJ50" s="239"/>
      <c r="AK50" s="239"/>
      <c r="AL50" s="239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ColWidth="9.109375" defaultRowHeight="13.2"/>
  <cols>
    <col min="1" max="1" width="51.6640625" style="12" customWidth="1"/>
    <col min="2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32" ht="17.399999999999999">
      <c r="A2" s="86" t="str">
        <f>Assumptions!A3</f>
        <v>PROJECT NAME: Homestead, Florida</v>
      </c>
    </row>
    <row r="4" spans="1:32" ht="17.399999999999999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7"/>
      <c r="B6" s="215">
        <f>'Price_Technical Assumption'!D7</f>
        <v>0.66666666666666663</v>
      </c>
      <c r="C6" s="215">
        <f>'Price_Technical Assumption'!E7</f>
        <v>1.6666666666666665</v>
      </c>
      <c r="D6" s="215">
        <f>'Price_Technical Assumption'!F7</f>
        <v>2.6666666666666665</v>
      </c>
      <c r="E6" s="215">
        <f>'Price_Technical Assumption'!G7</f>
        <v>3.6666666666666665</v>
      </c>
      <c r="F6" s="215">
        <f>'Price_Technical Assumption'!H7</f>
        <v>4.6666666666666661</v>
      </c>
      <c r="G6" s="215">
        <f>'Price_Technical Assumption'!I7</f>
        <v>5.6666666666666661</v>
      </c>
      <c r="H6" s="215">
        <f>'Price_Technical Assumption'!J7</f>
        <v>6.6666666666666661</v>
      </c>
      <c r="I6" s="215">
        <f>'Price_Technical Assumption'!K7</f>
        <v>7.6666666666666661</v>
      </c>
      <c r="J6" s="215">
        <f>'Price_Technical Assumption'!L7</f>
        <v>8.6666666666666661</v>
      </c>
      <c r="K6" s="215">
        <f>'Price_Technical Assumption'!M7</f>
        <v>9.6666666666666661</v>
      </c>
      <c r="L6" s="215">
        <f>'Price_Technical Assumption'!N7</f>
        <v>10.666666666666666</v>
      </c>
      <c r="M6" s="215">
        <f>'Price_Technical Assumption'!O7</f>
        <v>11.666666666666666</v>
      </c>
      <c r="N6" s="215">
        <f>'Price_Technical Assumption'!P7</f>
        <v>12.666666666666666</v>
      </c>
      <c r="O6" s="215">
        <f>'Price_Technical Assumption'!Q7</f>
        <v>13.666666666666666</v>
      </c>
      <c r="P6" s="215">
        <f>'Price_Technical Assumption'!R7</f>
        <v>14.666666666666666</v>
      </c>
      <c r="Q6" s="215">
        <f>'Price_Technical Assumption'!S7</f>
        <v>15.666666666666666</v>
      </c>
      <c r="R6" s="215">
        <f>'Price_Technical Assumption'!T7</f>
        <v>16.666666666666664</v>
      </c>
      <c r="S6" s="215">
        <f>'Price_Technical Assumption'!U7</f>
        <v>17.666666666666664</v>
      </c>
      <c r="T6" s="215">
        <f>'Price_Technical Assumption'!V7</f>
        <v>18.666666666666664</v>
      </c>
      <c r="U6" s="215">
        <f>'Price_Technical Assumption'!W7</f>
        <v>19.666666666666664</v>
      </c>
      <c r="V6" s="215">
        <f>'Price_Technical Assumption'!X7</f>
        <v>20.666666666666664</v>
      </c>
      <c r="W6" s="215">
        <f>'Price_Technical Assumption'!Y7</f>
        <v>21.666666666666664</v>
      </c>
      <c r="X6" s="215">
        <f>'Price_Technical Assumption'!Z7</f>
        <v>22.666666666666664</v>
      </c>
      <c r="Y6" s="215">
        <f>'Price_Technical Assumption'!AA7</f>
        <v>23.666666666666664</v>
      </c>
      <c r="Z6" s="215">
        <f>'Price_Technical Assumption'!AB7</f>
        <v>24.666666666666664</v>
      </c>
      <c r="AA6" s="215">
        <f>'Price_Technical Assumption'!AC7</f>
        <v>25.666666666666664</v>
      </c>
      <c r="AB6" s="215">
        <f>'Price_Technical Assumption'!AD7</f>
        <v>26.666666666666664</v>
      </c>
      <c r="AC6" s="215">
        <f>'Price_Technical Assumption'!AE7</f>
        <v>27.666666666666664</v>
      </c>
      <c r="AD6" s="215">
        <f>'Price_Technical Assumption'!AF7</f>
        <v>28.666666666666664</v>
      </c>
      <c r="AE6" s="215">
        <f>'Price_Technical Assumption'!AG7</f>
        <v>29.666666666666664</v>
      </c>
      <c r="AF6" s="215">
        <f>'Price_Technical Assumption'!AH7</f>
        <v>30.666666666666664</v>
      </c>
    </row>
    <row r="7" spans="1:32" ht="13.8" thickBot="1">
      <c r="A7" s="122" t="s">
        <v>39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7"/>
      <c r="B8" s="206">
        <f>Depreciation!D8</f>
        <v>37256</v>
      </c>
      <c r="C8" s="206">
        <f>Depreciation!E8</f>
        <v>37621</v>
      </c>
      <c r="D8" s="206">
        <f>Depreciation!F8</f>
        <v>37986</v>
      </c>
      <c r="E8" s="206">
        <f>Depreciation!G8</f>
        <v>38352</v>
      </c>
      <c r="F8" s="206">
        <f>Depreciation!H8</f>
        <v>38717</v>
      </c>
      <c r="G8" s="206">
        <f>Depreciation!I8</f>
        <v>39082</v>
      </c>
      <c r="H8" s="206">
        <f>Depreciation!J8</f>
        <v>39447</v>
      </c>
      <c r="I8" s="206">
        <f>Depreciation!K8</f>
        <v>39813</v>
      </c>
      <c r="J8" s="206">
        <f>Depreciation!L8</f>
        <v>40178</v>
      </c>
      <c r="K8" s="206">
        <f>Depreciation!M8</f>
        <v>40543</v>
      </c>
      <c r="L8" s="206">
        <f>Depreciation!N8</f>
        <v>40908</v>
      </c>
      <c r="M8" s="206">
        <f>Depreciation!O8</f>
        <v>41274</v>
      </c>
      <c r="N8" s="206">
        <f>Depreciation!P8</f>
        <v>41639</v>
      </c>
      <c r="O8" s="206">
        <f>Depreciation!Q8</f>
        <v>42004</v>
      </c>
      <c r="P8" s="206">
        <f>Depreciation!R8</f>
        <v>42369</v>
      </c>
      <c r="Q8" s="206">
        <f>Depreciation!S8</f>
        <v>42735</v>
      </c>
      <c r="R8" s="206">
        <f>Depreciation!T8</f>
        <v>43100</v>
      </c>
      <c r="S8" s="206">
        <f>Depreciation!U8</f>
        <v>43465</v>
      </c>
      <c r="T8" s="206">
        <f>Depreciation!V8</f>
        <v>43830</v>
      </c>
      <c r="U8" s="206">
        <f>Depreciation!W8</f>
        <v>44196</v>
      </c>
      <c r="V8" s="206">
        <f>Depreciation!X8</f>
        <v>44561</v>
      </c>
      <c r="W8" s="206">
        <f>Depreciation!Y8</f>
        <v>44926</v>
      </c>
      <c r="X8" s="206">
        <f>Depreciation!Z8</f>
        <v>45291</v>
      </c>
      <c r="Y8" s="206">
        <f>Depreciation!AA8</f>
        <v>45657</v>
      </c>
      <c r="Z8" s="206">
        <f>Depreciation!AB8</f>
        <v>46022</v>
      </c>
      <c r="AA8" s="206">
        <f>Depreciation!AC8</f>
        <v>46387</v>
      </c>
      <c r="AB8" s="206">
        <f>Depreciation!AD8</f>
        <v>46752</v>
      </c>
      <c r="AC8" s="206">
        <f>Depreciation!AE8</f>
        <v>47118</v>
      </c>
      <c r="AD8" s="206">
        <f>Depreciation!AF8</f>
        <v>47483</v>
      </c>
      <c r="AE8" s="206">
        <f>Depreciation!AG8</f>
        <v>47848</v>
      </c>
      <c r="AF8" s="206">
        <f>Depreciation!AH8</f>
        <v>48213</v>
      </c>
    </row>
    <row r="9" spans="1:32">
      <c r="A9" s="128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204</v>
      </c>
      <c r="B10" s="19">
        <f>IS!C40</f>
        <v>6215.6560748230386</v>
      </c>
      <c r="C10" s="19">
        <f>IS!D40</f>
        <v>10292.091373187912</v>
      </c>
      <c r="D10" s="19">
        <f>IS!E40</f>
        <v>11358.051378177122</v>
      </c>
      <c r="E10" s="19">
        <f>IS!F40</f>
        <v>12514.350622879472</v>
      </c>
      <c r="F10" s="19">
        <f>IS!G40</f>
        <v>13771.603353806917</v>
      </c>
      <c r="G10" s="19">
        <f>IS!H40</f>
        <v>16621.456293309653</v>
      </c>
      <c r="H10" s="19">
        <f>IS!I40</f>
        <v>18249.435149457186</v>
      </c>
      <c r="I10" s="19">
        <f>IS!J40</f>
        <v>18297.654779208584</v>
      </c>
      <c r="J10" s="19">
        <f>IS!K40</f>
        <v>18288.46529386739</v>
      </c>
      <c r="K10" s="19">
        <f>IS!L40</f>
        <v>18279.09201881937</v>
      </c>
      <c r="L10" s="19">
        <f>IS!M40</f>
        <v>18269.531278270391</v>
      </c>
      <c r="M10" s="19">
        <f>IS!N40</f>
        <v>18259.779322910435</v>
      </c>
      <c r="N10" s="19">
        <f>IS!O40</f>
        <v>18249.832328443277</v>
      </c>
      <c r="O10" s="19">
        <f>IS!P40</f>
        <v>18239.686394086777</v>
      </c>
      <c r="P10" s="19">
        <f>IS!Q40</f>
        <v>18229.337541043147</v>
      </c>
      <c r="Q10" s="19">
        <f>IS!R40</f>
        <v>18218.781710938645</v>
      </c>
      <c r="R10" s="19">
        <f>IS!S40</f>
        <v>18208.014764232052</v>
      </c>
      <c r="S10" s="19">
        <f>IS!T40</f>
        <v>18197.032478591325</v>
      </c>
      <c r="T10" s="19">
        <f>IS!U40</f>
        <v>18185.830547237783</v>
      </c>
      <c r="U10" s="19">
        <f>IS!V40</f>
        <v>18174.404577257177</v>
      </c>
      <c r="V10" s="19">
        <f>IS!W40</f>
        <v>2916.757977638199</v>
      </c>
      <c r="W10" s="19">
        <f>IS!X40</f>
        <v>-6445.7774912908717</v>
      </c>
      <c r="X10" s="19">
        <f>IS!Y40</f>
        <v>-6477.6303103862001</v>
      </c>
      <c r="Y10" s="19">
        <f>IS!Z40</f>
        <v>-6531.8691009750346</v>
      </c>
      <c r="Z10" s="19">
        <f>IS!AA40</f>
        <v>-6590.785935381914</v>
      </c>
      <c r="AA10" s="19">
        <f>IS!AB40</f>
        <v>-6654.6019485740844</v>
      </c>
      <c r="AB10" s="19">
        <f>IS!AC40</f>
        <v>-6723.8181040744357</v>
      </c>
      <c r="AC10" s="19">
        <f>IS!AD40</f>
        <v>-6798.8252444354794</v>
      </c>
      <c r="AD10" s="19">
        <f>IS!AE40</f>
        <v>-6880.2773620395747</v>
      </c>
      <c r="AE10" s="19">
        <f>IS!AF40</f>
        <v>-6968.5117698130962</v>
      </c>
      <c r="AF10" s="19">
        <f>IS!AG40</f>
        <v>-3186.0629179582161</v>
      </c>
    </row>
    <row r="11" spans="1:32">
      <c r="A11" s="21" t="s">
        <v>69</v>
      </c>
      <c r="B11" s="19">
        <f>IS!C34</f>
        <v>5382.2947624878007</v>
      </c>
      <c r="C11" s="19">
        <f>IS!D34</f>
        <v>8073.4421437317014</v>
      </c>
      <c r="D11" s="19">
        <f>IS!E34</f>
        <v>8073.4421437317014</v>
      </c>
      <c r="E11" s="19">
        <f>IS!F34</f>
        <v>8073.4421437317014</v>
      </c>
      <c r="F11" s="19">
        <f>IS!G34</f>
        <v>8073.4421437317014</v>
      </c>
      <c r="G11" s="19">
        <f>IS!H34</f>
        <v>6584.1546837317019</v>
      </c>
      <c r="H11" s="19">
        <f>IS!I34</f>
        <v>5839.5109537317021</v>
      </c>
      <c r="I11" s="19">
        <f>IS!J34</f>
        <v>5839.5109537317021</v>
      </c>
      <c r="J11" s="19">
        <f>IS!K34</f>
        <v>5839.5109537317021</v>
      </c>
      <c r="K11" s="19">
        <f>IS!L34</f>
        <v>5839.5109537317021</v>
      </c>
      <c r="L11" s="19">
        <f>IS!M34</f>
        <v>5839.5109537317021</v>
      </c>
      <c r="M11" s="19">
        <f>IS!N34</f>
        <v>5839.5109537317021</v>
      </c>
      <c r="N11" s="19">
        <f>IS!O34</f>
        <v>5839.5109537317021</v>
      </c>
      <c r="O11" s="19">
        <f>IS!P34</f>
        <v>5839.5109537317021</v>
      </c>
      <c r="P11" s="19">
        <f>IS!Q34</f>
        <v>5839.5109537317021</v>
      </c>
      <c r="Q11" s="19">
        <f>IS!R34</f>
        <v>5839.5109537317021</v>
      </c>
      <c r="R11" s="19">
        <f>IS!S34</f>
        <v>5839.5109537317021</v>
      </c>
      <c r="S11" s="19">
        <f>IS!T34</f>
        <v>5839.5109537317021</v>
      </c>
      <c r="T11" s="19">
        <f>IS!U34</f>
        <v>5839.5109537317021</v>
      </c>
      <c r="U11" s="19">
        <f>IS!V34</f>
        <v>5839.5109537317021</v>
      </c>
      <c r="V11" s="19">
        <f>IS!W34</f>
        <v>5839.5109537317021</v>
      </c>
      <c r="W11" s="19">
        <f>IS!X34</f>
        <v>5839.5109537317021</v>
      </c>
      <c r="X11" s="19">
        <f>IS!Y34</f>
        <v>5839.5109537317021</v>
      </c>
      <c r="Y11" s="19">
        <f>IS!Z34</f>
        <v>5839.5109537317021</v>
      </c>
      <c r="Z11" s="19">
        <f>IS!AA34</f>
        <v>5839.5109537317021</v>
      </c>
      <c r="AA11" s="19">
        <f>IS!AB34</f>
        <v>5839.5109537317021</v>
      </c>
      <c r="AB11" s="19">
        <f>IS!AC34</f>
        <v>5839.5109537317021</v>
      </c>
      <c r="AC11" s="19">
        <f>IS!AD34</f>
        <v>5839.5109537317021</v>
      </c>
      <c r="AD11" s="19">
        <f>IS!AE34</f>
        <v>5839.5109537317021</v>
      </c>
      <c r="AE11" s="19">
        <f>IS!AF34</f>
        <v>5839.5109537317021</v>
      </c>
      <c r="AF11" s="19">
        <f>IS!AG34</f>
        <v>1946.5036512439012</v>
      </c>
    </row>
    <row r="12" spans="1:32" ht="15">
      <c r="A12" s="21" t="s">
        <v>70</v>
      </c>
      <c r="B12" s="130">
        <f>-Depreciation!D34</f>
        <v>-11221.805716219504</v>
      </c>
      <c r="C12" s="130">
        <f>-Depreciation!E34</f>
        <v>-20725.715876817056</v>
      </c>
      <c r="D12" s="130">
        <f>-Depreciation!F34</f>
        <v>-18876.537408135351</v>
      </c>
      <c r="E12" s="130">
        <f>-Depreciation!G34</f>
        <v>-17222.009304578038</v>
      </c>
      <c r="F12" s="130">
        <f>-Depreciation!H34</f>
        <v>-15723.201493120232</v>
      </c>
      <c r="G12" s="130">
        <f>-Depreciation!I34</f>
        <v>-12871.361477249502</v>
      </c>
      <c r="H12" s="130">
        <f>-Depreciation!J34</f>
        <v>-11484.371542339015</v>
      </c>
      <c r="I12" s="130">
        <f>-Depreciation!K34</f>
        <v>-11503.836578851453</v>
      </c>
      <c r="J12" s="130">
        <f>-Depreciation!L34</f>
        <v>-11484.371542339015</v>
      </c>
      <c r="K12" s="130">
        <f>-Depreciation!M34</f>
        <v>-11503.836578851453</v>
      </c>
      <c r="L12" s="130">
        <f>-Depreciation!N34</f>
        <v>-11484.371542339015</v>
      </c>
      <c r="M12" s="130">
        <f>-Depreciation!O34</f>
        <v>-11503.836578851453</v>
      </c>
      <c r="N12" s="130">
        <f>-Depreciation!P34</f>
        <v>-11484.371542339015</v>
      </c>
      <c r="O12" s="130">
        <f>-Depreciation!Q34</f>
        <v>-11503.836578851453</v>
      </c>
      <c r="P12" s="130">
        <f>-Depreciation!R34</f>
        <v>-11484.371542339015</v>
      </c>
      <c r="Q12" s="130">
        <f>-Depreciation!S34</f>
        <v>-5742.1857711695075</v>
      </c>
      <c r="R12" s="130">
        <f>-Depreciation!T34</f>
        <v>0</v>
      </c>
      <c r="S12" s="130">
        <f>-Depreciation!U34</f>
        <v>0</v>
      </c>
      <c r="T12" s="130">
        <f>-Depreciation!V34</f>
        <v>0</v>
      </c>
      <c r="U12" s="130">
        <f>-Depreciation!W34</f>
        <v>0</v>
      </c>
      <c r="V12" s="130">
        <f>-Depreciation!X34</f>
        <v>0</v>
      </c>
      <c r="W12" s="130">
        <f>-Depreciation!Y34</f>
        <v>0</v>
      </c>
      <c r="X12" s="130">
        <f>-Depreciation!Z34</f>
        <v>0</v>
      </c>
      <c r="Y12" s="130">
        <f>-Depreciation!AA34</f>
        <v>0</v>
      </c>
      <c r="Z12" s="130">
        <f>-Depreciation!AB34</f>
        <v>0</v>
      </c>
      <c r="AA12" s="130">
        <f>-Depreciation!AC34</f>
        <v>0</v>
      </c>
      <c r="AB12" s="130">
        <f>-Depreciation!AD34</f>
        <v>0</v>
      </c>
      <c r="AC12" s="130">
        <f>-Depreciation!AE34</f>
        <v>0</v>
      </c>
      <c r="AD12" s="130">
        <f>-Depreciation!AF34</f>
        <v>0</v>
      </c>
      <c r="AE12" s="130">
        <f>-Depreciation!AG34</f>
        <v>0</v>
      </c>
      <c r="AF12" s="130">
        <f>-Depreciation!AH34</f>
        <v>0</v>
      </c>
    </row>
    <row r="13" spans="1:32">
      <c r="A13" s="129" t="s">
        <v>71</v>
      </c>
      <c r="B13" s="23">
        <f>SUM(B10:B12)</f>
        <v>376.14512109133648</v>
      </c>
      <c r="C13" s="23">
        <f t="shared" ref="C13:W13" si="0">SUM(C10:C12)</f>
        <v>-2360.1823598974443</v>
      </c>
      <c r="D13" s="23">
        <f t="shared" si="0"/>
        <v>554.95611377347086</v>
      </c>
      <c r="E13" s="23">
        <f t="shared" si="0"/>
        <v>3365.7834620331341</v>
      </c>
      <c r="F13" s="23">
        <f t="shared" si="0"/>
        <v>6121.8440044183844</v>
      </c>
      <c r="G13" s="23">
        <f t="shared" si="0"/>
        <v>10334.249499791851</v>
      </c>
      <c r="H13" s="23">
        <f t="shared" si="0"/>
        <v>12604.574560849871</v>
      </c>
      <c r="I13" s="23">
        <f t="shared" si="0"/>
        <v>12633.329154088835</v>
      </c>
      <c r="J13" s="23">
        <f t="shared" si="0"/>
        <v>12643.604705260079</v>
      </c>
      <c r="K13" s="23">
        <f t="shared" si="0"/>
        <v>12614.766393699621</v>
      </c>
      <c r="L13" s="23">
        <f t="shared" si="0"/>
        <v>12624.67068966308</v>
      </c>
      <c r="M13" s="23">
        <f t="shared" si="0"/>
        <v>12595.453697790686</v>
      </c>
      <c r="N13" s="23">
        <f t="shared" si="0"/>
        <v>12604.971739835966</v>
      </c>
      <c r="O13" s="23">
        <f t="shared" si="0"/>
        <v>12575.360768967028</v>
      </c>
      <c r="P13" s="23">
        <f t="shared" si="0"/>
        <v>12584.476952435836</v>
      </c>
      <c r="Q13" s="23">
        <f t="shared" si="0"/>
        <v>18316.106893500841</v>
      </c>
      <c r="R13" s="23">
        <f t="shared" si="0"/>
        <v>24047.525717963756</v>
      </c>
      <c r="S13" s="23">
        <f t="shared" si="0"/>
        <v>24036.543432323029</v>
      </c>
      <c r="T13" s="23">
        <f t="shared" si="0"/>
        <v>24025.341500969487</v>
      </c>
      <c r="U13" s="23">
        <f t="shared" si="0"/>
        <v>24013.915530988881</v>
      </c>
      <c r="V13" s="23">
        <f t="shared" si="0"/>
        <v>8756.2689313699011</v>
      </c>
      <c r="W13" s="23">
        <f t="shared" si="0"/>
        <v>-606.26653755916959</v>
      </c>
      <c r="X13" s="23">
        <f t="shared" ref="X13:AF13" si="1">SUM(X10:X12)</f>
        <v>-638.11935665449801</v>
      </c>
      <c r="Y13" s="23">
        <f t="shared" si="1"/>
        <v>-692.3581472433325</v>
      </c>
      <c r="Z13" s="23">
        <f t="shared" si="1"/>
        <v>-751.27498165021188</v>
      </c>
      <c r="AA13" s="23">
        <f t="shared" si="1"/>
        <v>-815.09099484238232</v>
      </c>
      <c r="AB13" s="23">
        <f t="shared" si="1"/>
        <v>-884.30715034273362</v>
      </c>
      <c r="AC13" s="23">
        <f t="shared" si="1"/>
        <v>-959.31429070377726</v>
      </c>
      <c r="AD13" s="23">
        <f t="shared" si="1"/>
        <v>-1040.7664083078726</v>
      </c>
      <c r="AE13" s="23">
        <f t="shared" si="1"/>
        <v>-1129.0008160813941</v>
      </c>
      <c r="AF13" s="23">
        <f t="shared" si="1"/>
        <v>-1239.5592667143148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1">
        <f>Assumptions!$N$51</f>
        <v>7.0000000000000007E-2</v>
      </c>
      <c r="C15" s="131">
        <f>Assumptions!$N$51</f>
        <v>7.0000000000000007E-2</v>
      </c>
      <c r="D15" s="131">
        <f>Assumptions!$N$51</f>
        <v>7.0000000000000007E-2</v>
      </c>
      <c r="E15" s="131">
        <f>Assumptions!$N$51</f>
        <v>7.0000000000000007E-2</v>
      </c>
      <c r="F15" s="131">
        <f>Assumptions!$N$51</f>
        <v>7.0000000000000007E-2</v>
      </c>
      <c r="G15" s="131">
        <f>Assumptions!$N$51</f>
        <v>7.0000000000000007E-2</v>
      </c>
      <c r="H15" s="131">
        <f>Assumptions!$N$51</f>
        <v>7.0000000000000007E-2</v>
      </c>
      <c r="I15" s="131">
        <f>Assumptions!$N$51</f>
        <v>7.0000000000000007E-2</v>
      </c>
      <c r="J15" s="131">
        <f>Assumptions!$N$51</f>
        <v>7.0000000000000007E-2</v>
      </c>
      <c r="K15" s="131">
        <f>Assumptions!$N$51</f>
        <v>7.0000000000000007E-2</v>
      </c>
      <c r="L15" s="131">
        <f>Assumptions!$N$51</f>
        <v>7.0000000000000007E-2</v>
      </c>
      <c r="M15" s="131">
        <f>Assumptions!$N$51</f>
        <v>7.0000000000000007E-2</v>
      </c>
      <c r="N15" s="131">
        <f>Assumptions!$N$51</f>
        <v>7.0000000000000007E-2</v>
      </c>
      <c r="O15" s="131">
        <f>Assumptions!$N$51</f>
        <v>7.0000000000000007E-2</v>
      </c>
      <c r="P15" s="131">
        <f>Assumptions!$N$51</f>
        <v>7.0000000000000007E-2</v>
      </c>
      <c r="Q15" s="131">
        <f>Assumptions!$N$51</f>
        <v>7.0000000000000007E-2</v>
      </c>
      <c r="R15" s="131">
        <f>Assumptions!$N$51</f>
        <v>7.0000000000000007E-2</v>
      </c>
      <c r="S15" s="131">
        <f>Assumptions!$N$51</f>
        <v>7.0000000000000007E-2</v>
      </c>
      <c r="T15" s="131">
        <f>Assumptions!$N$51</f>
        <v>7.0000000000000007E-2</v>
      </c>
      <c r="U15" s="131">
        <f>Assumptions!$N$51</f>
        <v>7.0000000000000007E-2</v>
      </c>
      <c r="V15" s="131">
        <f>Assumptions!$N$51</f>
        <v>7.0000000000000007E-2</v>
      </c>
      <c r="W15" s="131">
        <f>Assumptions!$N$51</f>
        <v>7.0000000000000007E-2</v>
      </c>
      <c r="X15" s="131">
        <f>Assumptions!$N$51</f>
        <v>7.0000000000000007E-2</v>
      </c>
      <c r="Y15" s="131">
        <f>Assumptions!$N$51</f>
        <v>7.0000000000000007E-2</v>
      </c>
      <c r="Z15" s="131">
        <f>Assumptions!$N$51</f>
        <v>7.0000000000000007E-2</v>
      </c>
      <c r="AA15" s="131">
        <f>Assumptions!$N$51</f>
        <v>7.0000000000000007E-2</v>
      </c>
      <c r="AB15" s="131">
        <f>Assumptions!$N$51</f>
        <v>7.0000000000000007E-2</v>
      </c>
      <c r="AC15" s="131">
        <f>Assumptions!$N$51</f>
        <v>7.0000000000000007E-2</v>
      </c>
      <c r="AD15" s="131">
        <f>Assumptions!$N$51</f>
        <v>7.0000000000000007E-2</v>
      </c>
      <c r="AE15" s="131">
        <f>Assumptions!$N$51</f>
        <v>7.0000000000000007E-2</v>
      </c>
      <c r="AF15" s="131">
        <f>Assumptions!$N$51</f>
        <v>7.0000000000000007E-2</v>
      </c>
    </row>
    <row r="16" spans="1:32">
      <c r="A16" s="21" t="s">
        <v>72</v>
      </c>
      <c r="B16" s="19">
        <f t="shared" ref="B16:AF16" si="2">B13*B15</f>
        <v>26.330158476393557</v>
      </c>
      <c r="C16" s="19">
        <f t="shared" si="2"/>
        <v>-165.21276519282111</v>
      </c>
      <c r="D16" s="19">
        <f t="shared" si="2"/>
        <v>38.846927964142964</v>
      </c>
      <c r="E16" s="19">
        <f t="shared" si="2"/>
        <v>235.60484234231942</v>
      </c>
      <c r="F16" s="19">
        <f t="shared" si="2"/>
        <v>428.52908030928694</v>
      </c>
      <c r="G16" s="19">
        <f t="shared" si="2"/>
        <v>723.39746498542968</v>
      </c>
      <c r="H16" s="19">
        <f t="shared" si="2"/>
        <v>882.32021925949107</v>
      </c>
      <c r="I16" s="19">
        <f t="shared" si="2"/>
        <v>884.33304078621848</v>
      </c>
      <c r="J16" s="19">
        <f t="shared" si="2"/>
        <v>885.05232936820562</v>
      </c>
      <c r="K16" s="19">
        <f t="shared" si="2"/>
        <v>883.0336475589736</v>
      </c>
      <c r="L16" s="19">
        <f t="shared" si="2"/>
        <v>883.72694827641567</v>
      </c>
      <c r="M16" s="19">
        <f t="shared" si="2"/>
        <v>881.6817588453481</v>
      </c>
      <c r="N16" s="19">
        <f t="shared" si="2"/>
        <v>882.34802178851771</v>
      </c>
      <c r="O16" s="19">
        <f t="shared" si="2"/>
        <v>880.27525382769204</v>
      </c>
      <c r="P16" s="19">
        <f t="shared" si="2"/>
        <v>880.91338667050866</v>
      </c>
      <c r="Q16" s="19">
        <f t="shared" si="2"/>
        <v>1282.1274825450589</v>
      </c>
      <c r="R16" s="19">
        <f t="shared" si="2"/>
        <v>1683.326800257463</v>
      </c>
      <c r="S16" s="19">
        <f t="shared" si="2"/>
        <v>1682.5580402626122</v>
      </c>
      <c r="T16" s="19">
        <f t="shared" si="2"/>
        <v>1681.7739050678642</v>
      </c>
      <c r="U16" s="19">
        <f t="shared" si="2"/>
        <v>1680.9740871692218</v>
      </c>
      <c r="V16" s="19">
        <f t="shared" si="2"/>
        <v>612.93882519589317</v>
      </c>
      <c r="W16" s="19">
        <f t="shared" si="2"/>
        <v>-42.438657629141872</v>
      </c>
      <c r="X16" s="19">
        <f t="shared" si="2"/>
        <v>-44.668354965814864</v>
      </c>
      <c r="Y16" s="19">
        <f t="shared" si="2"/>
        <v>-48.46507030703328</v>
      </c>
      <c r="Z16" s="19">
        <f t="shared" si="2"/>
        <v>-52.589248715514834</v>
      </c>
      <c r="AA16" s="19">
        <f t="shared" si="2"/>
        <v>-57.056369638966764</v>
      </c>
      <c r="AB16" s="19">
        <f t="shared" si="2"/>
        <v>-61.901500523991359</v>
      </c>
      <c r="AC16" s="19">
        <f t="shared" si="2"/>
        <v>-67.152000349264412</v>
      </c>
      <c r="AD16" s="19">
        <f t="shared" si="2"/>
        <v>-72.853648581551084</v>
      </c>
      <c r="AE16" s="19">
        <f t="shared" si="2"/>
        <v>-79.030057125697596</v>
      </c>
      <c r="AF16" s="19">
        <f t="shared" si="2"/>
        <v>-86.769148670002053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0</v>
      </c>
      <c r="D18" s="19">
        <f t="shared" ref="D18:W18" si="3">C22</f>
        <v>165.21276519282111</v>
      </c>
      <c r="E18" s="19">
        <f t="shared" si="3"/>
        <v>126.36583722867815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0</v>
      </c>
      <c r="N18" s="19">
        <f t="shared" si="3"/>
        <v>0</v>
      </c>
      <c r="O18" s="19">
        <f t="shared" si="3"/>
        <v>0</v>
      </c>
      <c r="P18" s="19">
        <f>O22</f>
        <v>0</v>
      </c>
      <c r="Q18" s="19">
        <f t="shared" si="3"/>
        <v>0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42.438657629141872</v>
      </c>
      <c r="Y18" s="19">
        <f t="shared" si="4"/>
        <v>87.107012594956728</v>
      </c>
      <c r="Z18" s="19">
        <f t="shared" si="4"/>
        <v>135.57208290199</v>
      </c>
      <c r="AA18" s="19">
        <f t="shared" si="4"/>
        <v>188.16133161750483</v>
      </c>
      <c r="AB18" s="19">
        <f t="shared" si="4"/>
        <v>245.2177012564716</v>
      </c>
      <c r="AC18" s="19">
        <f t="shared" si="4"/>
        <v>307.11920178046296</v>
      </c>
      <c r="AD18" s="19">
        <f t="shared" si="4"/>
        <v>374.27120212972738</v>
      </c>
      <c r="AE18" s="19">
        <f t="shared" si="4"/>
        <v>447.12485071127844</v>
      </c>
      <c r="AF18" s="19">
        <f t="shared" si="4"/>
        <v>483.71625020783415</v>
      </c>
    </row>
    <row r="19" spans="1:32">
      <c r="A19" s="21" t="s">
        <v>74</v>
      </c>
      <c r="B19" s="139">
        <f>IF(B16&lt;0,-B16,0)</f>
        <v>0</v>
      </c>
      <c r="C19" s="139">
        <f t="shared" ref="C19:W19" si="5">IF(C16&lt;0,-C16,0)</f>
        <v>165.21276519282111</v>
      </c>
      <c r="D19" s="139">
        <f t="shared" si="5"/>
        <v>0</v>
      </c>
      <c r="E19" s="139">
        <f t="shared" si="5"/>
        <v>0</v>
      </c>
      <c r="F19" s="139">
        <f t="shared" si="5"/>
        <v>0</v>
      </c>
      <c r="G19" s="139">
        <f t="shared" si="5"/>
        <v>0</v>
      </c>
      <c r="H19" s="139">
        <f t="shared" si="5"/>
        <v>0</v>
      </c>
      <c r="I19" s="139">
        <f t="shared" si="5"/>
        <v>0</v>
      </c>
      <c r="J19" s="139">
        <f t="shared" si="5"/>
        <v>0</v>
      </c>
      <c r="K19" s="139">
        <f t="shared" si="5"/>
        <v>0</v>
      </c>
      <c r="L19" s="139">
        <f t="shared" si="5"/>
        <v>0</v>
      </c>
      <c r="M19" s="139">
        <f t="shared" si="5"/>
        <v>0</v>
      </c>
      <c r="N19" s="139">
        <f t="shared" si="5"/>
        <v>0</v>
      </c>
      <c r="O19" s="139">
        <f t="shared" si="5"/>
        <v>0</v>
      </c>
      <c r="P19" s="139">
        <f t="shared" si="5"/>
        <v>0</v>
      </c>
      <c r="Q19" s="139">
        <f t="shared" si="5"/>
        <v>0</v>
      </c>
      <c r="R19" s="139">
        <f t="shared" si="5"/>
        <v>0</v>
      </c>
      <c r="S19" s="139">
        <f t="shared" si="5"/>
        <v>0</v>
      </c>
      <c r="T19" s="139">
        <f t="shared" si="5"/>
        <v>0</v>
      </c>
      <c r="U19" s="139">
        <f t="shared" si="5"/>
        <v>0</v>
      </c>
      <c r="V19" s="139">
        <f t="shared" si="5"/>
        <v>0</v>
      </c>
      <c r="W19" s="139">
        <f t="shared" si="5"/>
        <v>42.438657629141872</v>
      </c>
      <c r="X19" s="139">
        <f t="shared" ref="X19:AF19" si="6">IF(X16&lt;0,-X16,0)</f>
        <v>44.668354965814864</v>
      </c>
      <c r="Y19" s="139">
        <f t="shared" si="6"/>
        <v>48.46507030703328</v>
      </c>
      <c r="Z19" s="139">
        <f t="shared" si="6"/>
        <v>52.589248715514834</v>
      </c>
      <c r="AA19" s="139">
        <f t="shared" si="6"/>
        <v>57.056369638966764</v>
      </c>
      <c r="AB19" s="139">
        <f t="shared" si="6"/>
        <v>61.901500523991359</v>
      </c>
      <c r="AC19" s="139">
        <f t="shared" si="6"/>
        <v>67.152000349264412</v>
      </c>
      <c r="AD19" s="139">
        <f t="shared" si="6"/>
        <v>72.853648581551084</v>
      </c>
      <c r="AE19" s="139">
        <f t="shared" si="6"/>
        <v>79.030057125697596</v>
      </c>
      <c r="AF19" s="139">
        <f t="shared" si="6"/>
        <v>86.769148670002053</v>
      </c>
    </row>
    <row r="20" spans="1:32">
      <c r="A20" s="13" t="s">
        <v>282</v>
      </c>
      <c r="B20" s="466">
        <v>0</v>
      </c>
      <c r="C20" s="467">
        <v>0</v>
      </c>
      <c r="D20" s="467">
        <v>0</v>
      </c>
      <c r="E20" s="467">
        <v>0</v>
      </c>
      <c r="F20" s="467">
        <v>0</v>
      </c>
      <c r="G20" s="467">
        <v>0</v>
      </c>
      <c r="H20" s="467">
        <v>0</v>
      </c>
      <c r="I20" s="468">
        <v>0</v>
      </c>
      <c r="J20" s="469">
        <f>IF(-SUM(B21:I21, B20:I20)&gt;B19,0,-B19-SUM(B21:I21,B20:I20))</f>
        <v>0</v>
      </c>
      <c r="K20" s="469">
        <f t="shared" ref="K20:AF20" si="7">IF(-SUM(C21:J21, C20:J20)&gt;C19,0,-C19-SUM(C21:J21,C20:J20))</f>
        <v>0</v>
      </c>
      <c r="L20" s="469">
        <f t="shared" si="7"/>
        <v>0</v>
      </c>
      <c r="M20" s="469">
        <f t="shared" si="7"/>
        <v>0</v>
      </c>
      <c r="N20" s="469">
        <f t="shared" si="7"/>
        <v>0</v>
      </c>
      <c r="O20" s="469">
        <f t="shared" si="7"/>
        <v>0</v>
      </c>
      <c r="P20" s="469">
        <f t="shared" si="7"/>
        <v>0</v>
      </c>
      <c r="Q20" s="469">
        <f t="shared" si="7"/>
        <v>0</v>
      </c>
      <c r="R20" s="469">
        <f t="shared" si="7"/>
        <v>0</v>
      </c>
      <c r="S20" s="469">
        <f t="shared" si="7"/>
        <v>0</v>
      </c>
      <c r="T20" s="469">
        <f t="shared" si="7"/>
        <v>0</v>
      </c>
      <c r="U20" s="469">
        <f t="shared" si="7"/>
        <v>0</v>
      </c>
      <c r="V20" s="469">
        <f t="shared" si="7"/>
        <v>0</v>
      </c>
      <c r="W20" s="469">
        <f t="shared" si="7"/>
        <v>0</v>
      </c>
      <c r="X20" s="469">
        <f t="shared" si="7"/>
        <v>0</v>
      </c>
      <c r="Y20" s="469">
        <f t="shared" si="7"/>
        <v>0</v>
      </c>
      <c r="Z20" s="469">
        <f t="shared" si="7"/>
        <v>0</v>
      </c>
      <c r="AA20" s="469">
        <f t="shared" si="7"/>
        <v>0</v>
      </c>
      <c r="AB20" s="469">
        <f t="shared" si="7"/>
        <v>0</v>
      </c>
      <c r="AC20" s="469">
        <f t="shared" si="7"/>
        <v>0</v>
      </c>
      <c r="AD20" s="469">
        <f t="shared" si="7"/>
        <v>0</v>
      </c>
      <c r="AE20" s="469">
        <f t="shared" si="7"/>
        <v>-42.438657629141872</v>
      </c>
      <c r="AF20" s="469">
        <f t="shared" si="7"/>
        <v>-2.2296973366729915</v>
      </c>
    </row>
    <row r="21" spans="1:32">
      <c r="A21" s="13" t="s">
        <v>281</v>
      </c>
      <c r="B21" s="132">
        <f>IF(B16&lt;0,0,IF(B18&gt;B16,-B16,-B18))</f>
        <v>0</v>
      </c>
      <c r="C21" s="132">
        <f t="shared" ref="C21:V21" si="8">IF(C16&lt;0,0,IF(C18&gt;C16,-C16,-C18))</f>
        <v>0</v>
      </c>
      <c r="D21" s="132">
        <f t="shared" si="8"/>
        <v>-38.846927964142964</v>
      </c>
      <c r="E21" s="132">
        <f t="shared" si="8"/>
        <v>-126.36583722867815</v>
      </c>
      <c r="F21" s="132">
        <f t="shared" si="8"/>
        <v>0</v>
      </c>
      <c r="G21" s="132">
        <f t="shared" si="8"/>
        <v>0</v>
      </c>
      <c r="H21" s="132">
        <f t="shared" si="8"/>
        <v>0</v>
      </c>
      <c r="I21" s="132">
        <f t="shared" si="8"/>
        <v>0</v>
      </c>
      <c r="J21" s="132">
        <f t="shared" si="8"/>
        <v>0</v>
      </c>
      <c r="K21" s="132">
        <f t="shared" si="8"/>
        <v>0</v>
      </c>
      <c r="L21" s="132">
        <f t="shared" si="8"/>
        <v>0</v>
      </c>
      <c r="M21" s="132">
        <f t="shared" si="8"/>
        <v>0</v>
      </c>
      <c r="N21" s="132">
        <f t="shared" si="8"/>
        <v>0</v>
      </c>
      <c r="O21" s="132">
        <f t="shared" si="8"/>
        <v>0</v>
      </c>
      <c r="P21" s="132">
        <f t="shared" si="8"/>
        <v>0</v>
      </c>
      <c r="Q21" s="132">
        <f t="shared" si="8"/>
        <v>0</v>
      </c>
      <c r="R21" s="132">
        <f t="shared" si="8"/>
        <v>0</v>
      </c>
      <c r="S21" s="132">
        <f t="shared" si="8"/>
        <v>0</v>
      </c>
      <c r="T21" s="132">
        <f t="shared" si="8"/>
        <v>0</v>
      </c>
      <c r="U21" s="132">
        <f t="shared" si="8"/>
        <v>0</v>
      </c>
      <c r="V21" s="132">
        <f t="shared" si="8"/>
        <v>0</v>
      </c>
      <c r="W21" s="132">
        <f>IF(W16&lt;0,0,IF(W18&gt;W16,-W16,-W18))</f>
        <v>0</v>
      </c>
      <c r="X21" s="132">
        <f t="shared" ref="X21:AF21" si="9">IF(X16&lt;0,0,IF(X18&gt;X16,-X16,-X18))</f>
        <v>0</v>
      </c>
      <c r="Y21" s="132">
        <f t="shared" si="9"/>
        <v>0</v>
      </c>
      <c r="Z21" s="132">
        <f t="shared" si="9"/>
        <v>0</v>
      </c>
      <c r="AA21" s="132">
        <f t="shared" si="9"/>
        <v>0</v>
      </c>
      <c r="AB21" s="132">
        <f t="shared" si="9"/>
        <v>0</v>
      </c>
      <c r="AC21" s="132">
        <f t="shared" si="9"/>
        <v>0</v>
      </c>
      <c r="AD21" s="132">
        <f t="shared" si="9"/>
        <v>0</v>
      </c>
      <c r="AE21" s="132">
        <f t="shared" si="9"/>
        <v>0</v>
      </c>
      <c r="AF21" s="132">
        <f t="shared" si="9"/>
        <v>0</v>
      </c>
    </row>
    <row r="22" spans="1:32">
      <c r="A22" s="13" t="s">
        <v>75</v>
      </c>
      <c r="B22" s="132">
        <f t="shared" ref="B22:AF22" si="10">SUM(B18:B21)</f>
        <v>0</v>
      </c>
      <c r="C22" s="132">
        <f t="shared" si="10"/>
        <v>165.21276519282111</v>
      </c>
      <c r="D22" s="132">
        <f t="shared" si="10"/>
        <v>126.36583722867815</v>
      </c>
      <c r="E22" s="132">
        <f t="shared" si="10"/>
        <v>0</v>
      </c>
      <c r="F22" s="132">
        <f t="shared" si="10"/>
        <v>0</v>
      </c>
      <c r="G22" s="132">
        <f t="shared" si="10"/>
        <v>0</v>
      </c>
      <c r="H22" s="132">
        <f t="shared" si="10"/>
        <v>0</v>
      </c>
      <c r="I22" s="132">
        <f t="shared" si="10"/>
        <v>0</v>
      </c>
      <c r="J22" s="132">
        <f t="shared" si="10"/>
        <v>0</v>
      </c>
      <c r="K22" s="132">
        <f t="shared" si="10"/>
        <v>0</v>
      </c>
      <c r="L22" s="132">
        <f t="shared" si="10"/>
        <v>0</v>
      </c>
      <c r="M22" s="132">
        <f t="shared" si="10"/>
        <v>0</v>
      </c>
      <c r="N22" s="132">
        <f t="shared" si="10"/>
        <v>0</v>
      </c>
      <c r="O22" s="132">
        <f t="shared" si="10"/>
        <v>0</v>
      </c>
      <c r="P22" s="132">
        <f t="shared" si="10"/>
        <v>0</v>
      </c>
      <c r="Q22" s="132">
        <f t="shared" si="10"/>
        <v>0</v>
      </c>
      <c r="R22" s="132">
        <f t="shared" si="10"/>
        <v>0</v>
      </c>
      <c r="S22" s="132">
        <f t="shared" si="10"/>
        <v>0</v>
      </c>
      <c r="T22" s="132">
        <f t="shared" si="10"/>
        <v>0</v>
      </c>
      <c r="U22" s="132">
        <f t="shared" si="10"/>
        <v>0</v>
      </c>
      <c r="V22" s="132">
        <f t="shared" si="10"/>
        <v>0</v>
      </c>
      <c r="W22" s="132">
        <f t="shared" si="10"/>
        <v>42.438657629141872</v>
      </c>
      <c r="X22" s="132">
        <f t="shared" si="10"/>
        <v>87.107012594956728</v>
      </c>
      <c r="Y22" s="132">
        <f t="shared" si="10"/>
        <v>135.57208290199</v>
      </c>
      <c r="Z22" s="132">
        <f t="shared" si="10"/>
        <v>188.16133161750483</v>
      </c>
      <c r="AA22" s="132">
        <f t="shared" si="10"/>
        <v>245.2177012564716</v>
      </c>
      <c r="AB22" s="132">
        <f t="shared" si="10"/>
        <v>307.11920178046296</v>
      </c>
      <c r="AC22" s="132">
        <f t="shared" si="10"/>
        <v>374.27120212972738</v>
      </c>
      <c r="AD22" s="132">
        <f t="shared" si="10"/>
        <v>447.12485071127844</v>
      </c>
      <c r="AE22" s="132">
        <f t="shared" si="10"/>
        <v>483.71625020783415</v>
      </c>
      <c r="AF22" s="132">
        <f t="shared" si="10"/>
        <v>568.25570154116326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206</v>
      </c>
      <c r="B24" s="136">
        <f>IF(B13&lt;0,0,B21+B16)</f>
        <v>26.330158476393557</v>
      </c>
      <c r="C24" s="136">
        <f t="shared" ref="C24:AF24" si="11">IF(C13&lt;0,0,C21+C16)</f>
        <v>0</v>
      </c>
      <c r="D24" s="136">
        <f t="shared" si="11"/>
        <v>0</v>
      </c>
      <c r="E24" s="136">
        <f t="shared" si="11"/>
        <v>109.23900511364127</v>
      </c>
      <c r="F24" s="136">
        <f t="shared" si="11"/>
        <v>428.52908030928694</v>
      </c>
      <c r="G24" s="136">
        <f t="shared" si="11"/>
        <v>723.39746498542968</v>
      </c>
      <c r="H24" s="136">
        <f t="shared" si="11"/>
        <v>882.32021925949107</v>
      </c>
      <c r="I24" s="136">
        <f t="shared" si="11"/>
        <v>884.33304078621848</v>
      </c>
      <c r="J24" s="136">
        <f t="shared" si="11"/>
        <v>885.05232936820562</v>
      </c>
      <c r="K24" s="136">
        <f t="shared" si="11"/>
        <v>883.0336475589736</v>
      </c>
      <c r="L24" s="136">
        <f t="shared" si="11"/>
        <v>883.72694827641567</v>
      </c>
      <c r="M24" s="136">
        <f t="shared" si="11"/>
        <v>881.6817588453481</v>
      </c>
      <c r="N24" s="136">
        <f t="shared" si="11"/>
        <v>882.34802178851771</v>
      </c>
      <c r="O24" s="136">
        <f t="shared" si="11"/>
        <v>880.27525382769204</v>
      </c>
      <c r="P24" s="136">
        <f t="shared" si="11"/>
        <v>880.91338667050866</v>
      </c>
      <c r="Q24" s="136">
        <f t="shared" si="11"/>
        <v>1282.1274825450589</v>
      </c>
      <c r="R24" s="136">
        <f t="shared" si="11"/>
        <v>1683.326800257463</v>
      </c>
      <c r="S24" s="136">
        <f t="shared" si="11"/>
        <v>1682.5580402626122</v>
      </c>
      <c r="T24" s="136">
        <f t="shared" si="11"/>
        <v>1681.7739050678642</v>
      </c>
      <c r="U24" s="136">
        <f t="shared" si="11"/>
        <v>1680.9740871692218</v>
      </c>
      <c r="V24" s="136">
        <f t="shared" si="11"/>
        <v>612.93882519589317</v>
      </c>
      <c r="W24" s="136">
        <f t="shared" si="11"/>
        <v>0</v>
      </c>
      <c r="X24" s="136">
        <f t="shared" si="11"/>
        <v>0</v>
      </c>
      <c r="Y24" s="136">
        <f t="shared" si="11"/>
        <v>0</v>
      </c>
      <c r="Z24" s="136">
        <f t="shared" si="11"/>
        <v>0</v>
      </c>
      <c r="AA24" s="136">
        <f t="shared" si="11"/>
        <v>0</v>
      </c>
      <c r="AB24" s="136">
        <f t="shared" si="11"/>
        <v>0</v>
      </c>
      <c r="AC24" s="136">
        <f t="shared" si="11"/>
        <v>0</v>
      </c>
      <c r="AD24" s="136">
        <f t="shared" si="11"/>
        <v>0</v>
      </c>
      <c r="AE24" s="136">
        <f t="shared" si="11"/>
        <v>0</v>
      </c>
      <c r="AF24" s="136">
        <f t="shared" si="11"/>
        <v>0</v>
      </c>
    </row>
    <row r="25" spans="1:32">
      <c r="A25" s="4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8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376.14512109133648</v>
      </c>
      <c r="C28" s="19">
        <f t="shared" ref="C28:AF28" si="12">C13</f>
        <v>-2360.1823598974443</v>
      </c>
      <c r="D28" s="19">
        <f t="shared" si="12"/>
        <v>554.95611377347086</v>
      </c>
      <c r="E28" s="19">
        <f t="shared" si="12"/>
        <v>3365.7834620331341</v>
      </c>
      <c r="F28" s="19">
        <f t="shared" si="12"/>
        <v>6121.8440044183844</v>
      </c>
      <c r="G28" s="19">
        <f t="shared" si="12"/>
        <v>10334.249499791851</v>
      </c>
      <c r="H28" s="19">
        <f t="shared" si="12"/>
        <v>12604.574560849871</v>
      </c>
      <c r="I28" s="19">
        <f t="shared" si="12"/>
        <v>12633.329154088835</v>
      </c>
      <c r="J28" s="19">
        <f t="shared" si="12"/>
        <v>12643.604705260079</v>
      </c>
      <c r="K28" s="19">
        <f t="shared" si="12"/>
        <v>12614.766393699621</v>
      </c>
      <c r="L28" s="19">
        <f t="shared" si="12"/>
        <v>12624.67068966308</v>
      </c>
      <c r="M28" s="19">
        <f t="shared" si="12"/>
        <v>12595.453697790686</v>
      </c>
      <c r="N28" s="19">
        <f t="shared" si="12"/>
        <v>12604.971739835966</v>
      </c>
      <c r="O28" s="19">
        <f t="shared" si="12"/>
        <v>12575.360768967028</v>
      </c>
      <c r="P28" s="19">
        <f t="shared" si="12"/>
        <v>12584.476952435836</v>
      </c>
      <c r="Q28" s="19">
        <f t="shared" si="12"/>
        <v>18316.106893500841</v>
      </c>
      <c r="R28" s="19">
        <f t="shared" si="12"/>
        <v>24047.525717963756</v>
      </c>
      <c r="S28" s="19">
        <f t="shared" si="12"/>
        <v>24036.543432323029</v>
      </c>
      <c r="T28" s="19">
        <f t="shared" si="12"/>
        <v>24025.341500969487</v>
      </c>
      <c r="U28" s="19">
        <f t="shared" si="12"/>
        <v>24013.915530988881</v>
      </c>
      <c r="V28" s="19">
        <f t="shared" si="12"/>
        <v>8756.2689313699011</v>
      </c>
      <c r="W28" s="19">
        <f t="shared" si="12"/>
        <v>-606.26653755916959</v>
      </c>
      <c r="X28" s="19">
        <f t="shared" si="12"/>
        <v>-638.11935665449801</v>
      </c>
      <c r="Y28" s="19">
        <f t="shared" si="12"/>
        <v>-692.3581472433325</v>
      </c>
      <c r="Z28" s="19">
        <f t="shared" si="12"/>
        <v>-751.27498165021188</v>
      </c>
      <c r="AA28" s="19">
        <f t="shared" si="12"/>
        <v>-815.09099484238232</v>
      </c>
      <c r="AB28" s="19">
        <f t="shared" si="12"/>
        <v>-884.30715034273362</v>
      </c>
      <c r="AC28" s="19">
        <f t="shared" si="12"/>
        <v>-959.31429070377726</v>
      </c>
      <c r="AD28" s="19">
        <f t="shared" si="12"/>
        <v>-1040.7664083078726</v>
      </c>
      <c r="AE28" s="19">
        <f t="shared" si="12"/>
        <v>-1129.0008160813941</v>
      </c>
      <c r="AF28" s="19">
        <f t="shared" si="12"/>
        <v>-1239.5592667143148</v>
      </c>
    </row>
    <row r="29" spans="1:32" ht="15">
      <c r="A29" s="21" t="s">
        <v>77</v>
      </c>
      <c r="B29" s="134">
        <f>-B24</f>
        <v>-26.330158476393557</v>
      </c>
      <c r="C29" s="134">
        <f t="shared" ref="C29:AF29" si="13">-C24</f>
        <v>0</v>
      </c>
      <c r="D29" s="134">
        <f t="shared" si="13"/>
        <v>0</v>
      </c>
      <c r="E29" s="134">
        <f t="shared" si="13"/>
        <v>-109.23900511364127</v>
      </c>
      <c r="F29" s="134">
        <f t="shared" si="13"/>
        <v>-428.52908030928694</v>
      </c>
      <c r="G29" s="134">
        <f t="shared" si="13"/>
        <v>-723.39746498542968</v>
      </c>
      <c r="H29" s="134">
        <f t="shared" si="13"/>
        <v>-882.32021925949107</v>
      </c>
      <c r="I29" s="134">
        <f t="shared" si="13"/>
        <v>-884.33304078621848</v>
      </c>
      <c r="J29" s="134">
        <f t="shared" si="13"/>
        <v>-885.05232936820562</v>
      </c>
      <c r="K29" s="134">
        <f t="shared" si="13"/>
        <v>-883.0336475589736</v>
      </c>
      <c r="L29" s="134">
        <f t="shared" si="13"/>
        <v>-883.72694827641567</v>
      </c>
      <c r="M29" s="134">
        <f t="shared" si="13"/>
        <v>-881.6817588453481</v>
      </c>
      <c r="N29" s="134">
        <f t="shared" si="13"/>
        <v>-882.34802178851771</v>
      </c>
      <c r="O29" s="134">
        <f t="shared" si="13"/>
        <v>-880.27525382769204</v>
      </c>
      <c r="P29" s="134">
        <f t="shared" si="13"/>
        <v>-880.91338667050866</v>
      </c>
      <c r="Q29" s="134">
        <f t="shared" si="13"/>
        <v>-1282.1274825450589</v>
      </c>
      <c r="R29" s="134">
        <f t="shared" si="13"/>
        <v>-1683.326800257463</v>
      </c>
      <c r="S29" s="134">
        <f t="shared" si="13"/>
        <v>-1682.5580402626122</v>
      </c>
      <c r="T29" s="134">
        <f t="shared" si="13"/>
        <v>-1681.7739050678642</v>
      </c>
      <c r="U29" s="134">
        <f t="shared" si="13"/>
        <v>-1680.9740871692218</v>
      </c>
      <c r="V29" s="134">
        <f t="shared" si="13"/>
        <v>-612.93882519589317</v>
      </c>
      <c r="W29" s="134">
        <f t="shared" si="13"/>
        <v>0</v>
      </c>
      <c r="X29" s="134">
        <f t="shared" si="13"/>
        <v>0</v>
      </c>
      <c r="Y29" s="134">
        <f t="shared" si="13"/>
        <v>0</v>
      </c>
      <c r="Z29" s="134">
        <f t="shared" si="13"/>
        <v>0</v>
      </c>
      <c r="AA29" s="134">
        <f t="shared" si="13"/>
        <v>0</v>
      </c>
      <c r="AB29" s="134">
        <f t="shared" si="13"/>
        <v>0</v>
      </c>
      <c r="AC29" s="134">
        <f t="shared" si="13"/>
        <v>0</v>
      </c>
      <c r="AD29" s="134">
        <f t="shared" si="13"/>
        <v>0</v>
      </c>
      <c r="AE29" s="134">
        <f t="shared" si="13"/>
        <v>0</v>
      </c>
      <c r="AF29" s="134">
        <f t="shared" si="13"/>
        <v>0</v>
      </c>
    </row>
    <row r="30" spans="1:32">
      <c r="A30" s="129" t="s">
        <v>205</v>
      </c>
      <c r="B30" s="44">
        <f t="shared" ref="B30:AF30" si="14">SUM(B28:B29)</f>
        <v>349.81496261494294</v>
      </c>
      <c r="C30" s="44">
        <f t="shared" si="14"/>
        <v>-2360.1823598974443</v>
      </c>
      <c r="D30" s="44">
        <f t="shared" si="14"/>
        <v>554.95611377347086</v>
      </c>
      <c r="E30" s="44">
        <f t="shared" si="14"/>
        <v>3256.5444569194929</v>
      </c>
      <c r="F30" s="44">
        <f t="shared" si="14"/>
        <v>5693.3149241090978</v>
      </c>
      <c r="G30" s="44">
        <f t="shared" si="14"/>
        <v>9610.8520348064212</v>
      </c>
      <c r="H30" s="44">
        <f t="shared" si="14"/>
        <v>11722.25434159038</v>
      </c>
      <c r="I30" s="44">
        <f t="shared" si="14"/>
        <v>11748.996113302617</v>
      </c>
      <c r="J30" s="44">
        <f t="shared" si="14"/>
        <v>11758.552375891873</v>
      </c>
      <c r="K30" s="44">
        <f t="shared" si="14"/>
        <v>11731.732746140648</v>
      </c>
      <c r="L30" s="44">
        <f t="shared" si="14"/>
        <v>11740.943741386665</v>
      </c>
      <c r="M30" s="44">
        <f t="shared" si="14"/>
        <v>11713.771938945338</v>
      </c>
      <c r="N30" s="44">
        <f t="shared" si="14"/>
        <v>11722.623718047449</v>
      </c>
      <c r="O30" s="44">
        <f t="shared" si="14"/>
        <v>11695.085515139335</v>
      </c>
      <c r="P30" s="44">
        <f t="shared" si="14"/>
        <v>11703.563565765327</v>
      </c>
      <c r="Q30" s="44">
        <f t="shared" si="14"/>
        <v>17033.979410955781</v>
      </c>
      <c r="R30" s="44">
        <f t="shared" si="14"/>
        <v>22364.198917706293</v>
      </c>
      <c r="S30" s="44">
        <f t="shared" si="14"/>
        <v>22353.985392060418</v>
      </c>
      <c r="T30" s="44">
        <f t="shared" si="14"/>
        <v>22343.567595901623</v>
      </c>
      <c r="U30" s="44">
        <f t="shared" si="14"/>
        <v>22332.941443819658</v>
      </c>
      <c r="V30" s="44">
        <f t="shared" si="14"/>
        <v>8143.3301061740076</v>
      </c>
      <c r="W30" s="44">
        <f t="shared" si="14"/>
        <v>-606.26653755916959</v>
      </c>
      <c r="X30" s="44">
        <f t="shared" si="14"/>
        <v>-638.11935665449801</v>
      </c>
      <c r="Y30" s="44">
        <f t="shared" si="14"/>
        <v>-692.3581472433325</v>
      </c>
      <c r="Z30" s="44">
        <f t="shared" si="14"/>
        <v>-751.27498165021188</v>
      </c>
      <c r="AA30" s="44">
        <f t="shared" si="14"/>
        <v>-815.09099484238232</v>
      </c>
      <c r="AB30" s="44">
        <f t="shared" si="14"/>
        <v>-884.30715034273362</v>
      </c>
      <c r="AC30" s="44">
        <f t="shared" si="14"/>
        <v>-959.31429070377726</v>
      </c>
      <c r="AD30" s="44">
        <f t="shared" si="14"/>
        <v>-1040.7664083078726</v>
      </c>
      <c r="AE30" s="44">
        <f t="shared" si="14"/>
        <v>-1129.0008160813941</v>
      </c>
      <c r="AF30" s="44">
        <f t="shared" si="14"/>
        <v>-1239.5592667143148</v>
      </c>
    </row>
    <row r="31" spans="1:32">
      <c r="A31" s="129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5">
        <f>Assumptions!$N$50</f>
        <v>0.35</v>
      </c>
      <c r="C32" s="135">
        <f>Assumptions!$N$50</f>
        <v>0.35</v>
      </c>
      <c r="D32" s="135">
        <f>Assumptions!$N$50</f>
        <v>0.35</v>
      </c>
      <c r="E32" s="135">
        <f>Assumptions!$N$50</f>
        <v>0.35</v>
      </c>
      <c r="F32" s="135">
        <f>Assumptions!$N$50</f>
        <v>0.35</v>
      </c>
      <c r="G32" s="135">
        <f>Assumptions!$N$50</f>
        <v>0.35</v>
      </c>
      <c r="H32" s="135">
        <f>Assumptions!$N$50</f>
        <v>0.35</v>
      </c>
      <c r="I32" s="135">
        <f>Assumptions!$N$50</f>
        <v>0.35</v>
      </c>
      <c r="J32" s="135">
        <f>Assumptions!$N$50</f>
        <v>0.35</v>
      </c>
      <c r="K32" s="135">
        <f>Assumptions!$N$50</f>
        <v>0.35</v>
      </c>
      <c r="L32" s="135">
        <f>Assumptions!$N$50</f>
        <v>0.35</v>
      </c>
      <c r="M32" s="135">
        <f>Assumptions!$N$50</f>
        <v>0.35</v>
      </c>
      <c r="N32" s="135">
        <f>Assumptions!$N$50</f>
        <v>0.35</v>
      </c>
      <c r="O32" s="135">
        <f>Assumptions!$N$50</f>
        <v>0.35</v>
      </c>
      <c r="P32" s="135">
        <f>Assumptions!$N$50</f>
        <v>0.35</v>
      </c>
      <c r="Q32" s="135">
        <f>Assumptions!$N$50</f>
        <v>0.35</v>
      </c>
      <c r="R32" s="135">
        <f>Assumptions!$N$50</f>
        <v>0.35</v>
      </c>
      <c r="S32" s="135">
        <f>Assumptions!$N$50</f>
        <v>0.35</v>
      </c>
      <c r="T32" s="135">
        <f>Assumptions!$N$50</f>
        <v>0.35</v>
      </c>
      <c r="U32" s="135">
        <f>Assumptions!$N$50</f>
        <v>0.35</v>
      </c>
      <c r="V32" s="135">
        <f>Assumptions!$N$50</f>
        <v>0.35</v>
      </c>
      <c r="W32" s="135">
        <f>Assumptions!$N$50</f>
        <v>0.35</v>
      </c>
      <c r="X32" s="135">
        <f>Assumptions!$N$50</f>
        <v>0.35</v>
      </c>
      <c r="Y32" s="135">
        <f>Assumptions!$N$50</f>
        <v>0.35</v>
      </c>
      <c r="Z32" s="135">
        <f>Assumptions!$N$50</f>
        <v>0.35</v>
      </c>
      <c r="AA32" s="135">
        <f>Assumptions!$N$50</f>
        <v>0.35</v>
      </c>
      <c r="AB32" s="135">
        <f>Assumptions!$N$50</f>
        <v>0.35</v>
      </c>
      <c r="AC32" s="135">
        <f>Assumptions!$N$50</f>
        <v>0.35</v>
      </c>
      <c r="AD32" s="135">
        <f>Assumptions!$N$50</f>
        <v>0.35</v>
      </c>
      <c r="AE32" s="135">
        <f>Assumptions!$N$50</f>
        <v>0.35</v>
      </c>
      <c r="AF32" s="135">
        <f>Assumptions!$N$50</f>
        <v>0.35</v>
      </c>
    </row>
    <row r="33" spans="1:32">
      <c r="A33" s="21" t="s">
        <v>79</v>
      </c>
      <c r="B33" s="19">
        <f>B30*B32</f>
        <v>122.43523691523002</v>
      </c>
      <c r="C33" s="19">
        <f t="shared" ref="C33:W33" si="15">C30*C32</f>
        <v>-826.06382596410549</v>
      </c>
      <c r="D33" s="19">
        <f t="shared" si="15"/>
        <v>194.23463982071479</v>
      </c>
      <c r="E33" s="19">
        <f t="shared" si="15"/>
        <v>1139.7905599218225</v>
      </c>
      <c r="F33" s="19">
        <f t="shared" si="15"/>
        <v>1992.6602234381842</v>
      </c>
      <c r="G33" s="19">
        <f t="shared" si="15"/>
        <v>3363.7982121822474</v>
      </c>
      <c r="H33" s="19">
        <f t="shared" si="15"/>
        <v>4102.7890195566324</v>
      </c>
      <c r="I33" s="19">
        <f t="shared" si="15"/>
        <v>4112.1486396559158</v>
      </c>
      <c r="J33" s="19">
        <f t="shared" si="15"/>
        <v>4115.4933315621556</v>
      </c>
      <c r="K33" s="19">
        <f t="shared" si="15"/>
        <v>4106.1064611492266</v>
      </c>
      <c r="L33" s="19">
        <f t="shared" si="15"/>
        <v>4109.3303094853327</v>
      </c>
      <c r="M33" s="19">
        <f t="shared" si="15"/>
        <v>4099.8201786308682</v>
      </c>
      <c r="N33" s="19">
        <f t="shared" si="15"/>
        <v>4102.9183013166066</v>
      </c>
      <c r="O33" s="19">
        <f t="shared" si="15"/>
        <v>4093.2799302987669</v>
      </c>
      <c r="P33" s="19">
        <f t="shared" si="15"/>
        <v>4096.247248017864</v>
      </c>
      <c r="Q33" s="19">
        <f t="shared" si="15"/>
        <v>5961.8927938345232</v>
      </c>
      <c r="R33" s="19">
        <f t="shared" si="15"/>
        <v>7827.4696211972023</v>
      </c>
      <c r="S33" s="19">
        <f t="shared" si="15"/>
        <v>7823.8948872211458</v>
      </c>
      <c r="T33" s="19">
        <f t="shared" si="15"/>
        <v>7820.248658565567</v>
      </c>
      <c r="U33" s="19">
        <f t="shared" si="15"/>
        <v>7816.52950533688</v>
      </c>
      <c r="V33" s="19">
        <f t="shared" si="15"/>
        <v>2850.1655371609027</v>
      </c>
      <c r="W33" s="19">
        <f t="shared" si="15"/>
        <v>-212.19328814570935</v>
      </c>
      <c r="X33" s="19">
        <f t="shared" ref="X33:AF33" si="16">X30*X32</f>
        <v>-223.3417748290743</v>
      </c>
      <c r="Y33" s="19">
        <f t="shared" si="16"/>
        <v>-242.32535153516636</v>
      </c>
      <c r="Z33" s="19">
        <f t="shared" si="16"/>
        <v>-262.94624357757414</v>
      </c>
      <c r="AA33" s="19">
        <f t="shared" si="16"/>
        <v>-285.2818481948338</v>
      </c>
      <c r="AB33" s="19">
        <f t="shared" si="16"/>
        <v>-309.50750261995677</v>
      </c>
      <c r="AC33" s="19">
        <f t="shared" si="16"/>
        <v>-335.76000174632202</v>
      </c>
      <c r="AD33" s="19">
        <f t="shared" si="16"/>
        <v>-364.26824290775539</v>
      </c>
      <c r="AE33" s="19">
        <f t="shared" si="16"/>
        <v>-395.15028562848789</v>
      </c>
      <c r="AF33" s="19">
        <f t="shared" si="16"/>
        <v>-433.8457433500102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0</v>
      </c>
      <c r="D35" s="19">
        <f t="shared" si="17"/>
        <v>826.06382596410549</v>
      </c>
      <c r="E35" s="19">
        <f t="shared" si="17"/>
        <v>631.82918614339064</v>
      </c>
      <c r="F35" s="19">
        <f t="shared" si="17"/>
        <v>0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0</v>
      </c>
      <c r="N35" s="19">
        <f t="shared" si="17"/>
        <v>0</v>
      </c>
      <c r="O35" s="19">
        <f t="shared" si="17"/>
        <v>0</v>
      </c>
      <c r="P35" s="19">
        <f t="shared" si="17"/>
        <v>0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212.19328814570935</v>
      </c>
      <c r="Y35" s="19">
        <f t="shared" si="18"/>
        <v>435.53506297478361</v>
      </c>
      <c r="Z35" s="19">
        <f t="shared" si="18"/>
        <v>677.86041450995003</v>
      </c>
      <c r="AA35" s="19">
        <f t="shared" si="18"/>
        <v>940.80665808752417</v>
      </c>
      <c r="AB35" s="19">
        <f t="shared" si="18"/>
        <v>1226.0885062823579</v>
      </c>
      <c r="AC35" s="19">
        <f t="shared" si="18"/>
        <v>1535.5960089023147</v>
      </c>
      <c r="AD35" s="19">
        <f t="shared" si="18"/>
        <v>1871.3560106486366</v>
      </c>
      <c r="AE35" s="19">
        <f t="shared" si="18"/>
        <v>2235.624253556392</v>
      </c>
      <c r="AF35" s="19">
        <f t="shared" si="18"/>
        <v>2630.7745391848798</v>
      </c>
    </row>
    <row r="36" spans="1:32">
      <c r="A36" s="21" t="s">
        <v>74</v>
      </c>
      <c r="B36" s="139">
        <f>IF(B33&lt;0,-B33,0)</f>
        <v>0</v>
      </c>
      <c r="C36" s="139">
        <f t="shared" ref="C36:AF36" si="19">IF(C33&lt;0,-C33,0)</f>
        <v>826.06382596410549</v>
      </c>
      <c r="D36" s="139">
        <f t="shared" si="19"/>
        <v>0</v>
      </c>
      <c r="E36" s="139">
        <f t="shared" si="19"/>
        <v>0</v>
      </c>
      <c r="F36" s="139">
        <f t="shared" si="19"/>
        <v>0</v>
      </c>
      <c r="G36" s="139">
        <f t="shared" si="19"/>
        <v>0</v>
      </c>
      <c r="H36" s="139">
        <f t="shared" si="19"/>
        <v>0</v>
      </c>
      <c r="I36" s="139">
        <f t="shared" si="19"/>
        <v>0</v>
      </c>
      <c r="J36" s="139">
        <f t="shared" si="19"/>
        <v>0</v>
      </c>
      <c r="K36" s="139">
        <f t="shared" si="19"/>
        <v>0</v>
      </c>
      <c r="L36" s="139">
        <f t="shared" si="19"/>
        <v>0</v>
      </c>
      <c r="M36" s="139">
        <f t="shared" si="19"/>
        <v>0</v>
      </c>
      <c r="N36" s="139">
        <f t="shared" si="19"/>
        <v>0</v>
      </c>
      <c r="O36" s="139">
        <f t="shared" si="19"/>
        <v>0</v>
      </c>
      <c r="P36" s="139">
        <f t="shared" si="19"/>
        <v>0</v>
      </c>
      <c r="Q36" s="139">
        <f t="shared" si="19"/>
        <v>0</v>
      </c>
      <c r="R36" s="139">
        <f t="shared" si="19"/>
        <v>0</v>
      </c>
      <c r="S36" s="139">
        <f t="shared" si="19"/>
        <v>0</v>
      </c>
      <c r="T36" s="139">
        <f t="shared" si="19"/>
        <v>0</v>
      </c>
      <c r="U36" s="139">
        <f t="shared" si="19"/>
        <v>0</v>
      </c>
      <c r="V36" s="139">
        <f t="shared" si="19"/>
        <v>0</v>
      </c>
      <c r="W36" s="139">
        <f t="shared" si="19"/>
        <v>212.19328814570935</v>
      </c>
      <c r="X36" s="139">
        <f t="shared" si="19"/>
        <v>223.3417748290743</v>
      </c>
      <c r="Y36" s="139">
        <f t="shared" si="19"/>
        <v>242.32535153516636</v>
      </c>
      <c r="Z36" s="139">
        <f t="shared" si="19"/>
        <v>262.94624357757414</v>
      </c>
      <c r="AA36" s="139">
        <f t="shared" si="19"/>
        <v>285.2818481948338</v>
      </c>
      <c r="AB36" s="139">
        <f t="shared" si="19"/>
        <v>309.50750261995677</v>
      </c>
      <c r="AC36" s="139">
        <f t="shared" si="19"/>
        <v>335.76000174632202</v>
      </c>
      <c r="AD36" s="139">
        <f t="shared" si="19"/>
        <v>364.26824290775539</v>
      </c>
      <c r="AE36" s="139">
        <f t="shared" si="19"/>
        <v>395.15028562848789</v>
      </c>
      <c r="AF36" s="139">
        <f t="shared" si="19"/>
        <v>433.8457433500102</v>
      </c>
    </row>
    <row r="37" spans="1:32">
      <c r="A37" s="13" t="s">
        <v>282</v>
      </c>
      <c r="B37" s="466">
        <v>0</v>
      </c>
      <c r="C37" s="467">
        <v>0</v>
      </c>
      <c r="D37" s="467">
        <v>0</v>
      </c>
      <c r="E37" s="467">
        <v>0</v>
      </c>
      <c r="F37" s="467">
        <v>0</v>
      </c>
      <c r="G37" s="467">
        <v>0</v>
      </c>
      <c r="H37" s="467">
        <v>0</v>
      </c>
      <c r="I37" s="467">
        <v>0</v>
      </c>
      <c r="J37" s="467">
        <v>0</v>
      </c>
      <c r="K37" s="467">
        <v>0</v>
      </c>
      <c r="L37" s="467">
        <v>0</v>
      </c>
      <c r="M37" s="467">
        <v>0</v>
      </c>
      <c r="N37" s="467">
        <v>0</v>
      </c>
      <c r="O37" s="467">
        <v>0</v>
      </c>
      <c r="P37" s="468">
        <v>0</v>
      </c>
      <c r="Q37" s="469">
        <f>IF(-SUM(B38:P38, B37:P37)&gt;B36,0,-B36-SUM(B38:P38,B37:P37))</f>
        <v>0</v>
      </c>
      <c r="R37" s="469">
        <f t="shared" ref="R37:AF37" si="20">IF(-SUM(C38:Q38, C37:Q37)&gt;C36,0,-C36-SUM(C38:Q38,C37:Q37))</f>
        <v>0</v>
      </c>
      <c r="S37" s="469">
        <f t="shared" si="20"/>
        <v>0</v>
      </c>
      <c r="T37" s="469">
        <f t="shared" si="20"/>
        <v>0</v>
      </c>
      <c r="U37" s="469">
        <f t="shared" si="20"/>
        <v>0</v>
      </c>
      <c r="V37" s="469">
        <f t="shared" si="20"/>
        <v>0</v>
      </c>
      <c r="W37" s="469">
        <f t="shared" si="20"/>
        <v>0</v>
      </c>
      <c r="X37" s="469">
        <f t="shared" si="20"/>
        <v>0</v>
      </c>
      <c r="Y37" s="469">
        <f t="shared" si="20"/>
        <v>0</v>
      </c>
      <c r="Z37" s="469">
        <f t="shared" si="20"/>
        <v>0</v>
      </c>
      <c r="AA37" s="469">
        <f t="shared" si="20"/>
        <v>0</v>
      </c>
      <c r="AB37" s="469">
        <f t="shared" si="20"/>
        <v>0</v>
      </c>
      <c r="AC37" s="469">
        <f t="shared" si="20"/>
        <v>0</v>
      </c>
      <c r="AD37" s="469">
        <f t="shared" si="20"/>
        <v>0</v>
      </c>
      <c r="AE37" s="469">
        <f t="shared" si="20"/>
        <v>0</v>
      </c>
      <c r="AF37" s="469">
        <f t="shared" si="20"/>
        <v>0</v>
      </c>
    </row>
    <row r="38" spans="1:32">
      <c r="A38" s="13" t="s">
        <v>283</v>
      </c>
      <c r="B38" s="132">
        <f>IF(B33&lt;0,0,IF(B35&gt;B33,-B33,-B35))</f>
        <v>0</v>
      </c>
      <c r="C38" s="132">
        <f t="shared" ref="C38:V38" si="21">IF(C33&lt;0,0,IF(C35&gt;C33,-C33,-C35))</f>
        <v>0</v>
      </c>
      <c r="D38" s="132">
        <f t="shared" si="21"/>
        <v>-194.23463982071479</v>
      </c>
      <c r="E38" s="132">
        <f t="shared" si="21"/>
        <v>-631.82918614339064</v>
      </c>
      <c r="F38" s="132">
        <f t="shared" si="21"/>
        <v>0</v>
      </c>
      <c r="G38" s="132">
        <f t="shared" si="21"/>
        <v>0</v>
      </c>
      <c r="H38" s="132">
        <f t="shared" si="21"/>
        <v>0</v>
      </c>
      <c r="I38" s="132">
        <f t="shared" si="21"/>
        <v>0</v>
      </c>
      <c r="J38" s="132">
        <f t="shared" si="21"/>
        <v>0</v>
      </c>
      <c r="K38" s="132">
        <f t="shared" si="21"/>
        <v>0</v>
      </c>
      <c r="L38" s="132">
        <f t="shared" si="21"/>
        <v>0</v>
      </c>
      <c r="M38" s="132">
        <f t="shared" si="21"/>
        <v>0</v>
      </c>
      <c r="N38" s="132">
        <f t="shared" si="21"/>
        <v>0</v>
      </c>
      <c r="O38" s="132">
        <f t="shared" si="21"/>
        <v>0</v>
      </c>
      <c r="P38" s="132">
        <f t="shared" si="21"/>
        <v>0</v>
      </c>
      <c r="Q38" s="132">
        <f t="shared" si="21"/>
        <v>0</v>
      </c>
      <c r="R38" s="132">
        <f t="shared" si="21"/>
        <v>0</v>
      </c>
      <c r="S38" s="132">
        <f t="shared" si="21"/>
        <v>0</v>
      </c>
      <c r="T38" s="132">
        <f t="shared" si="21"/>
        <v>0</v>
      </c>
      <c r="U38" s="132">
        <f t="shared" si="21"/>
        <v>0</v>
      </c>
      <c r="V38" s="132">
        <f t="shared" si="21"/>
        <v>0</v>
      </c>
      <c r="W38" s="132">
        <f>IF(W33&lt;0,0,IF(W35&gt;W33,-W33,-W35))</f>
        <v>0</v>
      </c>
      <c r="X38" s="132">
        <f t="shared" ref="X38:AF38" si="22">IF(X33&lt;0,0,IF(X35&gt;X33,-X33,-X35))</f>
        <v>0</v>
      </c>
      <c r="Y38" s="132">
        <f t="shared" si="22"/>
        <v>0</v>
      </c>
      <c r="Z38" s="132">
        <f t="shared" si="22"/>
        <v>0</v>
      </c>
      <c r="AA38" s="132">
        <f t="shared" si="22"/>
        <v>0</v>
      </c>
      <c r="AB38" s="132">
        <f t="shared" si="22"/>
        <v>0</v>
      </c>
      <c r="AC38" s="132">
        <f t="shared" si="22"/>
        <v>0</v>
      </c>
      <c r="AD38" s="132">
        <f t="shared" si="22"/>
        <v>0</v>
      </c>
      <c r="AE38" s="132">
        <f t="shared" si="22"/>
        <v>0</v>
      </c>
      <c r="AF38" s="132">
        <f t="shared" si="22"/>
        <v>0</v>
      </c>
    </row>
    <row r="39" spans="1:32">
      <c r="A39" s="13" t="s">
        <v>75</v>
      </c>
      <c r="B39" s="132">
        <f t="shared" ref="B39:AF39" si="23">SUM(B35:B38)</f>
        <v>0</v>
      </c>
      <c r="C39" s="132">
        <f t="shared" si="23"/>
        <v>826.06382596410549</v>
      </c>
      <c r="D39" s="132">
        <f t="shared" si="23"/>
        <v>631.82918614339064</v>
      </c>
      <c r="E39" s="132">
        <f t="shared" si="23"/>
        <v>0</v>
      </c>
      <c r="F39" s="132">
        <f t="shared" si="23"/>
        <v>0</v>
      </c>
      <c r="G39" s="132">
        <f t="shared" si="23"/>
        <v>0</v>
      </c>
      <c r="H39" s="132">
        <f t="shared" si="23"/>
        <v>0</v>
      </c>
      <c r="I39" s="132">
        <f t="shared" si="23"/>
        <v>0</v>
      </c>
      <c r="J39" s="132">
        <f t="shared" si="23"/>
        <v>0</v>
      </c>
      <c r="K39" s="132">
        <f t="shared" si="23"/>
        <v>0</v>
      </c>
      <c r="L39" s="132">
        <f t="shared" si="23"/>
        <v>0</v>
      </c>
      <c r="M39" s="132">
        <f t="shared" si="23"/>
        <v>0</v>
      </c>
      <c r="N39" s="132">
        <f t="shared" si="23"/>
        <v>0</v>
      </c>
      <c r="O39" s="132">
        <f t="shared" si="23"/>
        <v>0</v>
      </c>
      <c r="P39" s="132">
        <f t="shared" si="23"/>
        <v>0</v>
      </c>
      <c r="Q39" s="132">
        <f t="shared" si="23"/>
        <v>0</v>
      </c>
      <c r="R39" s="132">
        <f t="shared" si="23"/>
        <v>0</v>
      </c>
      <c r="S39" s="132">
        <f t="shared" si="23"/>
        <v>0</v>
      </c>
      <c r="T39" s="132">
        <f t="shared" si="23"/>
        <v>0</v>
      </c>
      <c r="U39" s="132">
        <f t="shared" si="23"/>
        <v>0</v>
      </c>
      <c r="V39" s="132">
        <f t="shared" si="23"/>
        <v>0</v>
      </c>
      <c r="W39" s="132">
        <f t="shared" si="23"/>
        <v>212.19328814570935</v>
      </c>
      <c r="X39" s="132">
        <f t="shared" si="23"/>
        <v>435.53506297478361</v>
      </c>
      <c r="Y39" s="132">
        <f t="shared" si="23"/>
        <v>677.86041450995003</v>
      </c>
      <c r="Z39" s="132">
        <f t="shared" si="23"/>
        <v>940.80665808752417</v>
      </c>
      <c r="AA39" s="132">
        <f t="shared" si="23"/>
        <v>1226.0885062823579</v>
      </c>
      <c r="AB39" s="132">
        <f t="shared" si="23"/>
        <v>1535.5960089023147</v>
      </c>
      <c r="AC39" s="132">
        <f t="shared" si="23"/>
        <v>1871.3560106486366</v>
      </c>
      <c r="AD39" s="132">
        <f t="shared" si="23"/>
        <v>2235.624253556392</v>
      </c>
      <c r="AE39" s="132">
        <f t="shared" si="23"/>
        <v>2630.7745391848798</v>
      </c>
      <c r="AF39" s="132">
        <f t="shared" si="23"/>
        <v>3064.6202825348901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206</v>
      </c>
      <c r="B41" s="136">
        <f>IF(B30&lt;0,0,B38+B33)</f>
        <v>122.43523691523002</v>
      </c>
      <c r="C41" s="136">
        <f t="shared" ref="C41:AF41" si="24">IF(C30&lt;0,0,C38+C33)</f>
        <v>0</v>
      </c>
      <c r="D41" s="136">
        <f t="shared" si="24"/>
        <v>0</v>
      </c>
      <c r="E41" s="136">
        <f t="shared" si="24"/>
        <v>507.96137377843183</v>
      </c>
      <c r="F41" s="136">
        <f t="shared" si="24"/>
        <v>1992.6602234381842</v>
      </c>
      <c r="G41" s="136">
        <f t="shared" si="24"/>
        <v>3363.7982121822474</v>
      </c>
      <c r="H41" s="136">
        <f t="shared" si="24"/>
        <v>4102.7890195566324</v>
      </c>
      <c r="I41" s="136">
        <f t="shared" si="24"/>
        <v>4112.1486396559158</v>
      </c>
      <c r="J41" s="136">
        <f t="shared" si="24"/>
        <v>4115.4933315621556</v>
      </c>
      <c r="K41" s="136">
        <f t="shared" si="24"/>
        <v>4106.1064611492266</v>
      </c>
      <c r="L41" s="136">
        <f t="shared" si="24"/>
        <v>4109.3303094853327</v>
      </c>
      <c r="M41" s="136">
        <f t="shared" si="24"/>
        <v>4099.8201786308682</v>
      </c>
      <c r="N41" s="136">
        <f t="shared" si="24"/>
        <v>4102.9183013166066</v>
      </c>
      <c r="O41" s="136">
        <f t="shared" si="24"/>
        <v>4093.2799302987669</v>
      </c>
      <c r="P41" s="136">
        <f t="shared" si="24"/>
        <v>4096.247248017864</v>
      </c>
      <c r="Q41" s="136">
        <f t="shared" si="24"/>
        <v>5961.8927938345232</v>
      </c>
      <c r="R41" s="136">
        <f t="shared" si="24"/>
        <v>7827.4696211972023</v>
      </c>
      <c r="S41" s="136">
        <f t="shared" si="24"/>
        <v>7823.8948872211458</v>
      </c>
      <c r="T41" s="136">
        <f t="shared" si="24"/>
        <v>7820.248658565567</v>
      </c>
      <c r="U41" s="136">
        <f t="shared" si="24"/>
        <v>7816.52950533688</v>
      </c>
      <c r="V41" s="136">
        <f t="shared" si="24"/>
        <v>2850.1655371609027</v>
      </c>
      <c r="W41" s="136">
        <f t="shared" si="24"/>
        <v>0</v>
      </c>
      <c r="X41" s="136">
        <f t="shared" si="24"/>
        <v>0</v>
      </c>
      <c r="Y41" s="136">
        <f t="shared" si="24"/>
        <v>0</v>
      </c>
      <c r="Z41" s="136">
        <f t="shared" si="24"/>
        <v>0</v>
      </c>
      <c r="AA41" s="136">
        <f t="shared" si="24"/>
        <v>0</v>
      </c>
      <c r="AB41" s="136">
        <f t="shared" si="24"/>
        <v>0</v>
      </c>
      <c r="AC41" s="136">
        <f t="shared" si="24"/>
        <v>0</v>
      </c>
      <c r="AD41" s="136">
        <f t="shared" si="24"/>
        <v>0</v>
      </c>
      <c r="AE41" s="136">
        <f t="shared" si="24"/>
        <v>0</v>
      </c>
      <c r="AF41" s="136">
        <f t="shared" si="24"/>
        <v>0</v>
      </c>
    </row>
    <row r="42" spans="1:32">
      <c r="A42" s="43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C1" zoomScale="75" zoomScaleNormal="75" workbookViewId="0">
      <selection activeCell="K21" sqref="K21"/>
    </sheetView>
  </sheetViews>
  <sheetFormatPr defaultColWidth="9.109375" defaultRowHeight="13.2"/>
  <cols>
    <col min="1" max="1" width="29.5546875" style="12" customWidth="1"/>
    <col min="2" max="16" width="16.33203125" style="12" customWidth="1"/>
    <col min="17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25" ht="17.399999999999999">
      <c r="A2" s="86" t="str">
        <f>Assumptions!A3</f>
        <v>PROJECT NAME: Homestead, Florida</v>
      </c>
    </row>
    <row r="4" spans="1:25" ht="17.399999999999999">
      <c r="A4" s="61" t="s">
        <v>183</v>
      </c>
      <c r="B4" s="216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343</v>
      </c>
      <c r="B6" s="232"/>
      <c r="C6" s="442">
        <f>Assumptions!C25</f>
        <v>26093.300000000003</v>
      </c>
      <c r="D6" s="233"/>
      <c r="E6" s="233"/>
      <c r="F6" s="233"/>
      <c r="G6" s="233"/>
      <c r="H6" s="233"/>
      <c r="I6" s="234"/>
      <c r="J6" s="233"/>
      <c r="K6" s="233"/>
      <c r="L6" s="233"/>
      <c r="M6" s="233"/>
      <c r="N6" s="233"/>
      <c r="O6" s="234"/>
      <c r="P6" s="233"/>
      <c r="Q6" s="233"/>
      <c r="R6" s="233"/>
      <c r="S6" s="233"/>
      <c r="T6" s="233"/>
      <c r="U6" s="234"/>
      <c r="V6" s="233"/>
      <c r="W6" s="233"/>
      <c r="X6" s="236"/>
      <c r="Y6" s="236"/>
    </row>
    <row r="7" spans="1:25">
      <c r="A7" s="63" t="s">
        <v>190</v>
      </c>
      <c r="B7" s="232"/>
      <c r="C7" s="452">
        <f>Assumptions!H16</f>
        <v>7</v>
      </c>
      <c r="D7" s="233"/>
      <c r="E7" s="233"/>
      <c r="F7" s="233"/>
      <c r="G7" s="233"/>
      <c r="H7" s="233"/>
      <c r="I7" s="234"/>
      <c r="J7" s="233"/>
      <c r="K7" s="233"/>
      <c r="L7" s="233"/>
      <c r="M7" s="233"/>
      <c r="N7" s="233"/>
      <c r="O7" s="234"/>
      <c r="P7" s="233"/>
      <c r="Q7" s="233"/>
      <c r="R7" s="233"/>
      <c r="S7" s="233"/>
      <c r="T7" s="233"/>
      <c r="U7" s="234"/>
      <c r="V7" s="233"/>
      <c r="W7" s="233"/>
      <c r="X7" s="236"/>
      <c r="Y7" s="236"/>
    </row>
    <row r="8" spans="1:25">
      <c r="A8" s="63" t="s">
        <v>188</v>
      </c>
      <c r="B8" s="232"/>
      <c r="C8" s="525">
        <f>Assumptions!H39</f>
        <v>8.2500000000000004E-2</v>
      </c>
      <c r="D8" s="241">
        <f>C8/360</f>
        <v>2.2916666666666669E-4</v>
      </c>
      <c r="E8" s="233"/>
      <c r="F8" s="233"/>
      <c r="G8" s="233"/>
      <c r="H8" s="233"/>
      <c r="I8" s="234"/>
      <c r="J8" s="233"/>
      <c r="K8" s="233"/>
      <c r="L8" s="233"/>
      <c r="M8" s="233"/>
      <c r="N8" s="233"/>
      <c r="O8" s="234"/>
      <c r="P8" s="233"/>
      <c r="Q8" s="233"/>
      <c r="R8" s="233"/>
      <c r="S8" s="233"/>
      <c r="T8" s="233"/>
      <c r="U8" s="234"/>
      <c r="V8" s="233"/>
      <c r="W8" s="233"/>
      <c r="X8" s="236"/>
      <c r="Y8" s="236"/>
    </row>
    <row r="9" spans="1:25">
      <c r="A9" s="63"/>
      <c r="B9" s="232"/>
      <c r="C9" s="240" t="s">
        <v>189</v>
      </c>
      <c r="D9" s="240" t="s">
        <v>225</v>
      </c>
      <c r="E9" s="233"/>
      <c r="F9" s="233"/>
      <c r="G9" s="233"/>
      <c r="H9" s="233"/>
      <c r="I9" s="234"/>
      <c r="J9" s="233"/>
      <c r="K9" s="233"/>
      <c r="L9" s="233"/>
      <c r="M9" s="233"/>
      <c r="N9" s="233"/>
      <c r="O9" s="234"/>
      <c r="P9" s="233"/>
      <c r="Q9" s="233"/>
      <c r="R9" s="233"/>
      <c r="S9" s="233"/>
      <c r="T9" s="233"/>
      <c r="U9" s="234"/>
      <c r="V9" s="233"/>
      <c r="W9" s="233"/>
      <c r="X9" s="236"/>
      <c r="Y9" s="236"/>
    </row>
    <row r="10" spans="1:25">
      <c r="A10" s="63"/>
      <c r="B10" s="232"/>
      <c r="C10" s="240"/>
      <c r="D10" s="240"/>
      <c r="E10" s="233"/>
      <c r="F10" s="233"/>
      <c r="G10" s="233"/>
      <c r="H10" s="233"/>
      <c r="I10" s="234"/>
      <c r="J10" s="233"/>
      <c r="K10" s="233"/>
      <c r="L10" s="233"/>
      <c r="M10" s="233"/>
      <c r="N10" s="233"/>
      <c r="O10" s="234"/>
      <c r="P10" s="233"/>
      <c r="Q10" s="233"/>
      <c r="R10" s="233"/>
      <c r="S10" s="233"/>
      <c r="T10" s="233"/>
      <c r="U10" s="234"/>
      <c r="V10" s="233"/>
      <c r="W10" s="233"/>
      <c r="X10" s="236"/>
      <c r="Y10" s="236"/>
    </row>
    <row r="11" spans="1:25">
      <c r="A11" s="63"/>
      <c r="B11" s="232"/>
      <c r="C11" s="240"/>
      <c r="D11" s="240"/>
      <c r="E11" s="233"/>
      <c r="F11" s="233"/>
      <c r="G11" s="233"/>
      <c r="H11" s="233"/>
      <c r="I11" s="234"/>
      <c r="J11" s="233"/>
      <c r="K11" s="233"/>
      <c r="L11" s="233"/>
      <c r="M11" s="233"/>
      <c r="N11" s="233"/>
      <c r="O11" s="234"/>
      <c r="P11" s="233"/>
      <c r="Q11" s="233"/>
      <c r="R11" s="233"/>
      <c r="S11" s="233"/>
      <c r="T11" s="233"/>
      <c r="U11" s="234"/>
      <c r="V11" s="233"/>
      <c r="W11" s="233"/>
      <c r="X11" s="236"/>
      <c r="Y11" s="236"/>
    </row>
    <row r="12" spans="1:25">
      <c r="A12" s="5"/>
      <c r="B12" s="229"/>
      <c r="C12" s="229"/>
      <c r="D12" s="230" t="s">
        <v>177</v>
      </c>
      <c r="E12" s="228" t="s">
        <v>184</v>
      </c>
      <c r="F12" s="229"/>
      <c r="G12" s="229"/>
      <c r="H12" s="229"/>
      <c r="I12" s="229"/>
      <c r="J12" s="224"/>
    </row>
    <row r="13" spans="1:25">
      <c r="A13" s="228" t="s">
        <v>174</v>
      </c>
      <c r="B13" s="5"/>
      <c r="C13" s="5"/>
      <c r="D13" s="230" t="s">
        <v>185</v>
      </c>
      <c r="E13" s="230" t="s">
        <v>178</v>
      </c>
      <c r="F13" s="230" t="s">
        <v>179</v>
      </c>
      <c r="G13" s="235" t="s">
        <v>180</v>
      </c>
      <c r="H13" s="230" t="s">
        <v>181</v>
      </c>
      <c r="I13" s="230" t="s">
        <v>182</v>
      </c>
      <c r="J13" s="66"/>
    </row>
    <row r="14" spans="1:25">
      <c r="A14" s="225" t="s">
        <v>175</v>
      </c>
      <c r="B14" s="225" t="s">
        <v>128</v>
      </c>
      <c r="C14" s="225" t="s">
        <v>176</v>
      </c>
      <c r="D14" s="225" t="s">
        <v>187</v>
      </c>
      <c r="E14" s="225" t="s">
        <v>187</v>
      </c>
      <c r="F14" s="225" t="s">
        <v>187</v>
      </c>
      <c r="G14" s="225" t="s">
        <v>187</v>
      </c>
      <c r="H14" s="225" t="s">
        <v>187</v>
      </c>
      <c r="I14" s="225" t="s">
        <v>187</v>
      </c>
      <c r="J14" s="66"/>
    </row>
    <row r="15" spans="1:25">
      <c r="A15" s="226">
        <v>1</v>
      </c>
      <c r="B15" s="227">
        <v>36617</v>
      </c>
      <c r="C15" s="266">
        <f>HLOOKUP(Assumptions!$H$12,IDC!$H$40:$L$56,2+F42)</f>
        <v>0.17</v>
      </c>
      <c r="D15" s="237">
        <f>D59*Assumptions!H12</f>
        <v>85562.69764399025</v>
      </c>
      <c r="E15" s="238">
        <f t="shared" ref="E15:E33" si="0">C15*$C$6</f>
        <v>4435.8610000000008</v>
      </c>
      <c r="F15" s="238">
        <f t="shared" ref="F15:F33" si="1">+E15+D15</f>
        <v>89998.558643990254</v>
      </c>
      <c r="G15" s="238">
        <f>F15+H15</f>
        <v>89998.558643990254</v>
      </c>
      <c r="H15" s="238">
        <v>0</v>
      </c>
      <c r="I15" s="238">
        <v>0</v>
      </c>
      <c r="K15" s="440"/>
    </row>
    <row r="16" spans="1:25">
      <c r="A16" s="226">
        <f t="shared" ref="A16:A33" si="2">A15+1</f>
        <v>2</v>
      </c>
      <c r="B16" s="227">
        <v>36647</v>
      </c>
      <c r="C16" s="266">
        <f>HLOOKUP(Assumptions!$H$12,IDC!$H$40:$L$56,2+F43)</f>
        <v>0.12</v>
      </c>
      <c r="D16" s="237">
        <v>0</v>
      </c>
      <c r="E16" s="238">
        <f t="shared" si="0"/>
        <v>3131.1960000000004</v>
      </c>
      <c r="F16" s="238">
        <f t="shared" si="1"/>
        <v>3131.1960000000004</v>
      </c>
      <c r="G16" s="238">
        <f t="shared" ref="G16:G33" si="3">F16+G15+H16</f>
        <v>93748.494734667678</v>
      </c>
      <c r="H16" s="238">
        <f>IF(A16&gt;$C$7+1,0,G15*(B16-B15)*$D$8)</f>
        <v>618.74009067743305</v>
      </c>
      <c r="I16" s="238">
        <f>IF(A16&lt;=$C$7+1,H16+I15,I15)</f>
        <v>618.74009067743305</v>
      </c>
      <c r="K16" s="440"/>
    </row>
    <row r="17" spans="1:11">
      <c r="A17" s="226">
        <f t="shared" si="2"/>
        <v>3</v>
      </c>
      <c r="B17" s="227">
        <v>36678</v>
      </c>
      <c r="C17" s="266">
        <f>HLOOKUP(Assumptions!$H$12,IDC!$H$40:$L$56,2+F44)</f>
        <v>0.12</v>
      </c>
      <c r="D17" s="237">
        <v>0</v>
      </c>
      <c r="E17" s="238">
        <f t="shared" si="0"/>
        <v>3131.1960000000004</v>
      </c>
      <c r="F17" s="238">
        <f t="shared" si="1"/>
        <v>3131.1960000000004</v>
      </c>
      <c r="G17" s="238">
        <f t="shared" si="3"/>
        <v>97545.695666011874</v>
      </c>
      <c r="H17" s="238">
        <f t="shared" ref="H17:H33" si="4">IF(A17&gt;$C$7+1,0,G16*(B17-B16)*$D$8)</f>
        <v>666.00493134420174</v>
      </c>
      <c r="I17" s="238">
        <f t="shared" ref="I17:I33" si="5">IF(A17&lt;=$C$7+1,H17+I16,I16)</f>
        <v>1284.7450220216347</v>
      </c>
      <c r="K17" s="440"/>
    </row>
    <row r="18" spans="1:11">
      <c r="A18" s="226">
        <f t="shared" si="2"/>
        <v>4</v>
      </c>
      <c r="B18" s="227">
        <v>36708</v>
      </c>
      <c r="C18" s="266">
        <f>HLOOKUP(Assumptions!$H$12,IDC!$H$40:$L$56,2+F45)</f>
        <v>0.14000000000000001</v>
      </c>
      <c r="D18" s="237">
        <v>0</v>
      </c>
      <c r="E18" s="238">
        <f t="shared" si="0"/>
        <v>3653.0620000000008</v>
      </c>
      <c r="F18" s="238">
        <f t="shared" si="1"/>
        <v>3653.0620000000008</v>
      </c>
      <c r="G18" s="238">
        <f t="shared" si="3"/>
        <v>101869.38432371571</v>
      </c>
      <c r="H18" s="238">
        <f t="shared" si="4"/>
        <v>670.62665770383171</v>
      </c>
      <c r="I18" s="238">
        <f t="shared" si="5"/>
        <v>1955.3716797254665</v>
      </c>
      <c r="K18" s="440"/>
    </row>
    <row r="19" spans="1:11">
      <c r="A19" s="226">
        <f t="shared" si="2"/>
        <v>5</v>
      </c>
      <c r="B19" s="227">
        <v>36739</v>
      </c>
      <c r="C19" s="266">
        <f>HLOOKUP(Assumptions!$H$12,IDC!$H$40:$L$56,2+F46)</f>
        <v>0.13</v>
      </c>
      <c r="D19" s="237">
        <v>0</v>
      </c>
      <c r="E19" s="238">
        <f t="shared" si="0"/>
        <v>3392.1290000000004</v>
      </c>
      <c r="F19" s="238">
        <f t="shared" si="1"/>
        <v>3392.1290000000004</v>
      </c>
      <c r="G19" s="238">
        <f t="shared" si="3"/>
        <v>105985.21040818212</v>
      </c>
      <c r="H19" s="238">
        <f t="shared" si="4"/>
        <v>723.69708446639709</v>
      </c>
      <c r="I19" s="238">
        <f t="shared" si="5"/>
        <v>2679.0687641918635</v>
      </c>
      <c r="K19" s="440"/>
    </row>
    <row r="20" spans="1:11">
      <c r="A20" s="226">
        <f t="shared" si="2"/>
        <v>6</v>
      </c>
      <c r="B20" s="227">
        <v>36770</v>
      </c>
      <c r="C20" s="266">
        <f>HLOOKUP(Assumptions!$H$12,IDC!$H$40:$L$56,2+F47)</f>
        <v>0.12</v>
      </c>
      <c r="D20" s="237">
        <v>0</v>
      </c>
      <c r="E20" s="238">
        <f t="shared" si="0"/>
        <v>3131.1960000000004</v>
      </c>
      <c r="F20" s="238">
        <f t="shared" si="1"/>
        <v>3131.1960000000004</v>
      </c>
      <c r="G20" s="238">
        <f t="shared" si="3"/>
        <v>109869.34300712358</v>
      </c>
      <c r="H20" s="238">
        <f t="shared" si="4"/>
        <v>752.9365989414606</v>
      </c>
      <c r="I20" s="238">
        <f t="shared" si="5"/>
        <v>3432.005363133324</v>
      </c>
      <c r="K20" s="440"/>
    </row>
    <row r="21" spans="1:11">
      <c r="A21" s="226">
        <f t="shared" si="2"/>
        <v>7</v>
      </c>
      <c r="B21" s="227">
        <v>36800</v>
      </c>
      <c r="C21" s="266">
        <f>HLOOKUP(Assumptions!$H$12,IDC!$H$40:$L$56,2+F48)</f>
        <v>0.1</v>
      </c>
      <c r="D21" s="237">
        <v>0</v>
      </c>
      <c r="E21" s="238">
        <f t="shared" si="0"/>
        <v>2609.3300000000004</v>
      </c>
      <c r="F21" s="238">
        <f t="shared" si="1"/>
        <v>2609.3300000000004</v>
      </c>
      <c r="G21" s="238">
        <f t="shared" si="3"/>
        <v>113234.02474029755</v>
      </c>
      <c r="H21" s="238">
        <f t="shared" si="4"/>
        <v>755.35173317397471</v>
      </c>
      <c r="I21" s="238">
        <f t="shared" si="5"/>
        <v>4187.3570963072989</v>
      </c>
      <c r="K21" s="440"/>
    </row>
    <row r="22" spans="1:11">
      <c r="A22" s="226">
        <f t="shared" si="2"/>
        <v>8</v>
      </c>
      <c r="B22" s="227">
        <v>36831</v>
      </c>
      <c r="C22" s="266">
        <f>HLOOKUP(Assumptions!$H$12,IDC!$H$40:$L$56,2+F49)</f>
        <v>0.1</v>
      </c>
      <c r="D22" s="237">
        <v>0</v>
      </c>
      <c r="E22" s="238">
        <f t="shared" si="0"/>
        <v>2609.3300000000004</v>
      </c>
      <c r="F22" s="238">
        <f t="shared" si="1"/>
        <v>2609.3300000000004</v>
      </c>
      <c r="G22" s="238">
        <f t="shared" si="3"/>
        <v>116647.78812439008</v>
      </c>
      <c r="H22" s="238">
        <f t="shared" si="4"/>
        <v>804.43338409253067</v>
      </c>
      <c r="I22" s="238">
        <f t="shared" si="5"/>
        <v>4991.7904803998299</v>
      </c>
      <c r="K22" s="440"/>
    </row>
    <row r="23" spans="1:11">
      <c r="A23" s="226">
        <f t="shared" si="2"/>
        <v>9</v>
      </c>
      <c r="B23" s="227">
        <v>36861</v>
      </c>
      <c r="C23" s="266">
        <f>HLOOKUP(Assumptions!$H$12,IDC!$H$40:$L$56,2+F50)</f>
        <v>0</v>
      </c>
      <c r="D23" s="237">
        <v>0</v>
      </c>
      <c r="E23" s="238">
        <f t="shared" si="0"/>
        <v>0</v>
      </c>
      <c r="F23" s="238">
        <f t="shared" si="1"/>
        <v>0</v>
      </c>
      <c r="G23" s="238">
        <f t="shared" si="3"/>
        <v>116647.78812439008</v>
      </c>
      <c r="H23" s="238">
        <f t="shared" si="4"/>
        <v>0</v>
      </c>
      <c r="I23" s="238">
        <f t="shared" si="5"/>
        <v>4991.7904803998299</v>
      </c>
      <c r="K23" s="440"/>
    </row>
    <row r="24" spans="1:11">
      <c r="A24" s="226">
        <f t="shared" si="2"/>
        <v>10</v>
      </c>
      <c r="B24" s="227">
        <v>36892</v>
      </c>
      <c r="C24" s="266">
        <f>HLOOKUP(Assumptions!$H$12,IDC!$H$40:$L$56,2+F51)</f>
        <v>0</v>
      </c>
      <c r="D24" s="237">
        <v>0</v>
      </c>
      <c r="E24" s="238">
        <f t="shared" si="0"/>
        <v>0</v>
      </c>
      <c r="F24" s="238">
        <f t="shared" si="1"/>
        <v>0</v>
      </c>
      <c r="G24" s="238">
        <f t="shared" si="3"/>
        <v>116647.78812439008</v>
      </c>
      <c r="H24" s="238">
        <f t="shared" si="4"/>
        <v>0</v>
      </c>
      <c r="I24" s="238">
        <f t="shared" si="5"/>
        <v>4991.7904803998299</v>
      </c>
      <c r="K24" s="440"/>
    </row>
    <row r="25" spans="1:11">
      <c r="A25" s="226">
        <f t="shared" si="2"/>
        <v>11</v>
      </c>
      <c r="B25" s="227">
        <v>36923</v>
      </c>
      <c r="C25" s="266">
        <f>HLOOKUP(Assumptions!$H$12,IDC!$H$40:$L$56,2+F52)</f>
        <v>0</v>
      </c>
      <c r="D25" s="237">
        <v>0</v>
      </c>
      <c r="E25" s="238">
        <f t="shared" si="0"/>
        <v>0</v>
      </c>
      <c r="F25" s="238">
        <f t="shared" si="1"/>
        <v>0</v>
      </c>
      <c r="G25" s="238">
        <f t="shared" si="3"/>
        <v>116647.78812439008</v>
      </c>
      <c r="H25" s="238">
        <f t="shared" si="4"/>
        <v>0</v>
      </c>
      <c r="I25" s="238">
        <f t="shared" si="5"/>
        <v>4991.7904803998299</v>
      </c>
      <c r="K25" s="440"/>
    </row>
    <row r="26" spans="1:11">
      <c r="A26" s="226">
        <f t="shared" si="2"/>
        <v>12</v>
      </c>
      <c r="B26" s="227">
        <v>36951</v>
      </c>
      <c r="C26" s="266">
        <f>HLOOKUP(Assumptions!$H$12,IDC!$H$40:$L$56,2+F53)</f>
        <v>0</v>
      </c>
      <c r="D26" s="237">
        <v>0</v>
      </c>
      <c r="E26" s="238">
        <f t="shared" si="0"/>
        <v>0</v>
      </c>
      <c r="F26" s="238">
        <f t="shared" si="1"/>
        <v>0</v>
      </c>
      <c r="G26" s="238">
        <f t="shared" si="3"/>
        <v>116647.78812439008</v>
      </c>
      <c r="H26" s="238">
        <f t="shared" si="4"/>
        <v>0</v>
      </c>
      <c r="I26" s="238">
        <f t="shared" si="5"/>
        <v>4991.7904803998299</v>
      </c>
      <c r="K26" s="440"/>
    </row>
    <row r="27" spans="1:11">
      <c r="A27" s="226">
        <f t="shared" si="2"/>
        <v>13</v>
      </c>
      <c r="B27" s="227">
        <v>36982</v>
      </c>
      <c r="C27" s="266">
        <f>HLOOKUP(Assumptions!$H$12,IDC!$H$40:$L$56,2+F54)</f>
        <v>0</v>
      </c>
      <c r="D27" s="237">
        <v>0</v>
      </c>
      <c r="E27" s="238">
        <f t="shared" si="0"/>
        <v>0</v>
      </c>
      <c r="F27" s="238">
        <f t="shared" si="1"/>
        <v>0</v>
      </c>
      <c r="G27" s="238">
        <f t="shared" si="3"/>
        <v>116647.78812439008</v>
      </c>
      <c r="H27" s="238">
        <f t="shared" si="4"/>
        <v>0</v>
      </c>
      <c r="I27" s="238">
        <f t="shared" si="5"/>
        <v>4991.7904803998299</v>
      </c>
      <c r="K27" s="440"/>
    </row>
    <row r="28" spans="1:11">
      <c r="A28" s="226">
        <f t="shared" si="2"/>
        <v>14</v>
      </c>
      <c r="B28" s="227">
        <v>37012</v>
      </c>
      <c r="C28" s="266">
        <f>HLOOKUP(Assumptions!$H$12,IDC!$H$40:$L$56,2+F55)</f>
        <v>0</v>
      </c>
      <c r="D28" s="237">
        <v>0</v>
      </c>
      <c r="E28" s="238">
        <f t="shared" si="0"/>
        <v>0</v>
      </c>
      <c r="F28" s="238">
        <f t="shared" si="1"/>
        <v>0</v>
      </c>
      <c r="G28" s="238">
        <f t="shared" si="3"/>
        <v>116647.78812439008</v>
      </c>
      <c r="H28" s="238">
        <f t="shared" si="4"/>
        <v>0</v>
      </c>
      <c r="I28" s="238">
        <f t="shared" si="5"/>
        <v>4991.7904803998299</v>
      </c>
      <c r="K28" s="440"/>
    </row>
    <row r="29" spans="1:11">
      <c r="A29" s="226">
        <f t="shared" si="2"/>
        <v>15</v>
      </c>
      <c r="B29" s="227">
        <v>37043</v>
      </c>
      <c r="C29" s="266">
        <f>HLOOKUP(Assumptions!$H$12,IDC!$H$40:$L$56,2+F56)</f>
        <v>0</v>
      </c>
      <c r="D29" s="237">
        <v>0</v>
      </c>
      <c r="E29" s="238">
        <f t="shared" si="0"/>
        <v>0</v>
      </c>
      <c r="F29" s="238">
        <f t="shared" si="1"/>
        <v>0</v>
      </c>
      <c r="G29" s="238">
        <f t="shared" si="3"/>
        <v>116647.78812439008</v>
      </c>
      <c r="H29" s="238">
        <f t="shared" si="4"/>
        <v>0</v>
      </c>
      <c r="I29" s="238">
        <f t="shared" si="5"/>
        <v>4991.7904803998299</v>
      </c>
      <c r="K29" s="440"/>
    </row>
    <row r="30" spans="1:11">
      <c r="A30" s="226">
        <f t="shared" si="2"/>
        <v>16</v>
      </c>
      <c r="B30" s="227">
        <v>37073</v>
      </c>
      <c r="C30" s="266">
        <v>0</v>
      </c>
      <c r="D30" s="237">
        <v>0</v>
      </c>
      <c r="E30" s="238">
        <f t="shared" si="0"/>
        <v>0</v>
      </c>
      <c r="F30" s="238">
        <f t="shared" si="1"/>
        <v>0</v>
      </c>
      <c r="G30" s="238">
        <f t="shared" si="3"/>
        <v>116647.78812439008</v>
      </c>
      <c r="H30" s="238">
        <f t="shared" si="4"/>
        <v>0</v>
      </c>
      <c r="I30" s="238">
        <f t="shared" si="5"/>
        <v>4991.7904803998299</v>
      </c>
      <c r="K30" s="440"/>
    </row>
    <row r="31" spans="1:11">
      <c r="A31" s="226">
        <f t="shared" si="2"/>
        <v>17</v>
      </c>
      <c r="B31" s="227">
        <v>37104</v>
      </c>
      <c r="C31" s="266">
        <v>0</v>
      </c>
      <c r="D31" s="237">
        <v>0</v>
      </c>
      <c r="E31" s="238">
        <f t="shared" si="0"/>
        <v>0</v>
      </c>
      <c r="F31" s="238">
        <f t="shared" si="1"/>
        <v>0</v>
      </c>
      <c r="G31" s="238">
        <f t="shared" si="3"/>
        <v>116647.78812439008</v>
      </c>
      <c r="H31" s="238">
        <f t="shared" si="4"/>
        <v>0</v>
      </c>
      <c r="I31" s="238">
        <f t="shared" si="5"/>
        <v>4991.7904803998299</v>
      </c>
      <c r="K31" s="440"/>
    </row>
    <row r="32" spans="1:11">
      <c r="A32" s="226">
        <f t="shared" si="2"/>
        <v>18</v>
      </c>
      <c r="B32" s="227">
        <v>37135</v>
      </c>
      <c r="C32" s="266">
        <v>0</v>
      </c>
      <c r="D32" s="237">
        <v>0</v>
      </c>
      <c r="E32" s="238">
        <f t="shared" si="0"/>
        <v>0</v>
      </c>
      <c r="F32" s="238">
        <f t="shared" si="1"/>
        <v>0</v>
      </c>
      <c r="G32" s="238">
        <f t="shared" si="3"/>
        <v>116647.78812439008</v>
      </c>
      <c r="H32" s="238">
        <f t="shared" si="4"/>
        <v>0</v>
      </c>
      <c r="I32" s="238">
        <f t="shared" si="5"/>
        <v>4991.7904803998299</v>
      </c>
      <c r="K32" s="440"/>
    </row>
    <row r="33" spans="1:12">
      <c r="A33" s="226">
        <f t="shared" si="2"/>
        <v>19</v>
      </c>
      <c r="B33" s="227">
        <v>37165</v>
      </c>
      <c r="C33" s="439">
        <v>0</v>
      </c>
      <c r="D33" s="242">
        <v>0</v>
      </c>
      <c r="E33" s="243">
        <f t="shared" si="0"/>
        <v>0</v>
      </c>
      <c r="F33" s="243">
        <f t="shared" si="1"/>
        <v>0</v>
      </c>
      <c r="G33" s="243">
        <f t="shared" si="3"/>
        <v>116647.78812439008</v>
      </c>
      <c r="H33" s="243">
        <f t="shared" si="4"/>
        <v>0</v>
      </c>
      <c r="I33" s="243">
        <f t="shared" si="5"/>
        <v>4991.7904803998299</v>
      </c>
      <c r="K33" s="440"/>
    </row>
    <row r="34" spans="1:12">
      <c r="C34" s="231">
        <f>SUM(C15:C33)</f>
        <v>1</v>
      </c>
      <c r="D34" s="239">
        <f>SUM(D15:D33)</f>
        <v>85562.69764399025</v>
      </c>
      <c r="E34" s="239">
        <f>SUM(E15:E33)</f>
        <v>26093.300000000007</v>
      </c>
      <c r="F34" s="239">
        <f>SUM(F15:F33)</f>
        <v>111655.99764399025</v>
      </c>
      <c r="G34" s="18"/>
      <c r="H34" s="239">
        <f>SUM(H15:H33)</f>
        <v>4991.7904803998299</v>
      </c>
      <c r="I34" s="239"/>
    </row>
    <row r="38" spans="1:12" ht="17.399999999999999">
      <c r="A38" s="61" t="s">
        <v>221</v>
      </c>
      <c r="B38" s="282"/>
      <c r="F38"/>
      <c r="G38"/>
      <c r="H38"/>
      <c r="I38"/>
      <c r="J38"/>
      <c r="K38"/>
      <c r="L38"/>
    </row>
    <row r="39" spans="1:12" ht="13.8" thickBot="1">
      <c r="F39" s="405" t="s">
        <v>419</v>
      </c>
    </row>
    <row r="40" spans="1:12">
      <c r="F40" s="422"/>
      <c r="G40" s="419" t="s">
        <v>329</v>
      </c>
      <c r="H40" s="419">
        <v>2</v>
      </c>
      <c r="I40" s="419">
        <v>3</v>
      </c>
      <c r="J40" s="419">
        <v>4</v>
      </c>
      <c r="K40" s="537">
        <v>5</v>
      </c>
      <c r="L40" s="420">
        <v>6</v>
      </c>
    </row>
    <row r="41" spans="1:12" ht="13.8" thickBot="1">
      <c r="A41" s="228" t="s">
        <v>330</v>
      </c>
      <c r="B41" s="228" t="s">
        <v>332</v>
      </c>
      <c r="C41" s="228" t="s">
        <v>334</v>
      </c>
      <c r="D41" s="228" t="s">
        <v>220</v>
      </c>
      <c r="F41" s="423" t="s">
        <v>175</v>
      </c>
      <c r="G41" s="421" t="s">
        <v>339</v>
      </c>
      <c r="H41" s="539">
        <v>6</v>
      </c>
      <c r="I41" s="539">
        <v>6.5</v>
      </c>
      <c r="J41" s="539">
        <v>7</v>
      </c>
      <c r="K41" s="540">
        <v>7.5</v>
      </c>
      <c r="L41" s="541">
        <v>8</v>
      </c>
    </row>
    <row r="42" spans="1:12" ht="13.8" thickBot="1">
      <c r="A42" s="228" t="s">
        <v>331</v>
      </c>
      <c r="B42" s="228" t="s">
        <v>333</v>
      </c>
      <c r="C42" s="228" t="s">
        <v>335</v>
      </c>
      <c r="D42" s="228" t="s">
        <v>336</v>
      </c>
      <c r="F42" s="424">
        <v>1</v>
      </c>
      <c r="G42" s="411"/>
      <c r="H42" s="522">
        <v>0.17</v>
      </c>
      <c r="I42" s="522">
        <v>0.17</v>
      </c>
      <c r="J42" s="412">
        <v>0.17</v>
      </c>
      <c r="K42" s="412">
        <v>0.17</v>
      </c>
      <c r="L42" s="413">
        <v>0.17</v>
      </c>
    </row>
    <row r="43" spans="1:12">
      <c r="A43" s="428" t="s">
        <v>219</v>
      </c>
      <c r="B43" s="429">
        <v>3</v>
      </c>
      <c r="C43" s="430">
        <v>36737</v>
      </c>
      <c r="D43" s="431">
        <v>36829</v>
      </c>
      <c r="F43" s="425">
        <v>2</v>
      </c>
      <c r="G43" s="180"/>
      <c r="H43" s="523">
        <v>0.16</v>
      </c>
      <c r="I43" s="523">
        <v>0.16</v>
      </c>
      <c r="J43" s="414">
        <v>0.12</v>
      </c>
      <c r="K43" s="414">
        <v>0.12</v>
      </c>
      <c r="L43" s="415">
        <v>0.12</v>
      </c>
    </row>
    <row r="44" spans="1:12">
      <c r="A44" s="432" t="s">
        <v>218</v>
      </c>
      <c r="B44" s="426">
        <v>3</v>
      </c>
      <c r="C44" s="427">
        <v>36768</v>
      </c>
      <c r="D44" s="433">
        <v>36829</v>
      </c>
      <c r="F44" s="425">
        <v>3</v>
      </c>
      <c r="G44" s="180"/>
      <c r="H44" s="523">
        <v>0.16</v>
      </c>
      <c r="I44" s="523">
        <v>0.13</v>
      </c>
      <c r="J44" s="414">
        <v>0.12</v>
      </c>
      <c r="K44" s="414">
        <v>0.12</v>
      </c>
      <c r="L44" s="415">
        <v>0.12</v>
      </c>
    </row>
    <row r="45" spans="1:12">
      <c r="A45" s="432" t="s">
        <v>217</v>
      </c>
      <c r="B45" s="426">
        <v>2</v>
      </c>
      <c r="C45" s="427">
        <v>36799</v>
      </c>
      <c r="D45" s="433">
        <v>36829</v>
      </c>
      <c r="F45" s="425">
        <v>4</v>
      </c>
      <c r="G45" s="180"/>
      <c r="H45" s="523">
        <v>0.16</v>
      </c>
      <c r="I45" s="523">
        <v>0.16</v>
      </c>
      <c r="J45" s="414">
        <v>0.14000000000000001</v>
      </c>
      <c r="K45" s="414">
        <v>0.14000000000000001</v>
      </c>
      <c r="L45" s="415">
        <v>0.14000000000000001</v>
      </c>
    </row>
    <row r="46" spans="1:12">
      <c r="A46" s="432" t="s">
        <v>216</v>
      </c>
      <c r="B46" s="426">
        <v>3</v>
      </c>
      <c r="C46" s="427">
        <v>36829</v>
      </c>
      <c r="D46" s="433">
        <v>36829</v>
      </c>
      <c r="F46" s="425">
        <v>5</v>
      </c>
      <c r="G46" s="180"/>
      <c r="H46" s="523">
        <v>0.17</v>
      </c>
      <c r="I46" s="523">
        <v>0.16</v>
      </c>
      <c r="J46" s="414">
        <v>0.18</v>
      </c>
      <c r="K46" s="414">
        <v>0.13</v>
      </c>
      <c r="L46" s="415">
        <v>0.13</v>
      </c>
    </row>
    <row r="47" spans="1:12">
      <c r="A47" s="432" t="s">
        <v>215</v>
      </c>
      <c r="B47" s="426">
        <v>2</v>
      </c>
      <c r="C47" s="427">
        <v>36860</v>
      </c>
      <c r="D47" s="433">
        <v>36860</v>
      </c>
      <c r="F47" s="425">
        <v>6</v>
      </c>
      <c r="G47" s="180"/>
      <c r="H47" s="523">
        <v>0.18</v>
      </c>
      <c r="I47" s="523">
        <v>0.12</v>
      </c>
      <c r="J47" s="414">
        <v>0.12</v>
      </c>
      <c r="K47" s="414">
        <v>0.12</v>
      </c>
      <c r="L47" s="415">
        <v>0.12</v>
      </c>
    </row>
    <row r="48" spans="1:12">
      <c r="A48" s="434" t="s">
        <v>214</v>
      </c>
      <c r="B48" s="426">
        <v>2</v>
      </c>
      <c r="C48" s="427">
        <v>36890</v>
      </c>
      <c r="D48" s="433">
        <v>36890</v>
      </c>
      <c r="F48" s="425">
        <v>7</v>
      </c>
      <c r="G48" s="180"/>
      <c r="H48" s="523">
        <v>0</v>
      </c>
      <c r="I48" s="523">
        <v>0.1</v>
      </c>
      <c r="J48" s="414">
        <v>0.15</v>
      </c>
      <c r="K48" s="414">
        <v>0.1</v>
      </c>
      <c r="L48" s="415">
        <v>0.1</v>
      </c>
    </row>
    <row r="49" spans="1:12">
      <c r="A49" s="434" t="s">
        <v>213</v>
      </c>
      <c r="B49" s="426">
        <v>3</v>
      </c>
      <c r="C49" s="427">
        <v>36555</v>
      </c>
      <c r="D49" s="433">
        <v>36555</v>
      </c>
      <c r="F49" s="425">
        <v>8</v>
      </c>
      <c r="G49" s="180"/>
      <c r="H49" s="523">
        <v>0</v>
      </c>
      <c r="I49" s="523">
        <v>0</v>
      </c>
      <c r="J49" s="414">
        <v>0</v>
      </c>
      <c r="K49" s="414">
        <v>0.1</v>
      </c>
      <c r="L49" s="415">
        <v>0.1</v>
      </c>
    </row>
    <row r="50" spans="1:12">
      <c r="A50" s="434" t="s">
        <v>212</v>
      </c>
      <c r="B50" s="426">
        <v>2</v>
      </c>
      <c r="C50" s="427">
        <v>36950</v>
      </c>
      <c r="D50" s="433">
        <v>36950</v>
      </c>
      <c r="F50" s="425">
        <v>9</v>
      </c>
      <c r="G50" s="180"/>
      <c r="H50" s="523">
        <v>0</v>
      </c>
      <c r="I50" s="523">
        <v>0</v>
      </c>
      <c r="J50" s="414">
        <v>0</v>
      </c>
      <c r="K50" s="414">
        <v>0</v>
      </c>
      <c r="L50" s="415">
        <v>0</v>
      </c>
    </row>
    <row r="51" spans="1:12">
      <c r="A51" s="434" t="s">
        <v>211</v>
      </c>
      <c r="B51" s="426">
        <v>2</v>
      </c>
      <c r="C51" s="427">
        <v>36980</v>
      </c>
      <c r="D51" s="433">
        <v>36980</v>
      </c>
      <c r="F51" s="425">
        <v>10</v>
      </c>
      <c r="G51" s="180"/>
      <c r="H51" s="523">
        <v>0</v>
      </c>
      <c r="I51" s="523">
        <v>0</v>
      </c>
      <c r="J51" s="414">
        <v>0</v>
      </c>
      <c r="K51" s="414">
        <v>0</v>
      </c>
      <c r="L51" s="415">
        <v>0</v>
      </c>
    </row>
    <row r="52" spans="1:12" ht="13.8" thickBot="1">
      <c r="A52" s="435" t="s">
        <v>210</v>
      </c>
      <c r="B52" s="436">
        <v>2</v>
      </c>
      <c r="C52" s="437">
        <v>37011</v>
      </c>
      <c r="D52" s="438">
        <v>37011</v>
      </c>
      <c r="F52" s="425">
        <v>11</v>
      </c>
      <c r="G52" s="180"/>
      <c r="H52" s="523">
        <v>0</v>
      </c>
      <c r="I52" s="523">
        <v>0</v>
      </c>
      <c r="J52" s="414">
        <v>0</v>
      </c>
      <c r="K52" s="414">
        <v>0</v>
      </c>
      <c r="L52" s="415">
        <v>0</v>
      </c>
    </row>
    <row r="53" spans="1:12">
      <c r="F53" s="425">
        <v>12</v>
      </c>
      <c r="G53" s="180"/>
      <c r="H53" s="523">
        <v>0</v>
      </c>
      <c r="I53" s="523">
        <v>0</v>
      </c>
      <c r="J53" s="414">
        <v>0</v>
      </c>
      <c r="K53" s="414">
        <v>0</v>
      </c>
      <c r="L53" s="415">
        <v>0</v>
      </c>
    </row>
    <row r="54" spans="1:12" ht="13.8" thickBot="1">
      <c r="F54" s="425">
        <v>13</v>
      </c>
      <c r="G54" s="180"/>
      <c r="H54" s="523">
        <v>0</v>
      </c>
      <c r="I54" s="523">
        <v>0</v>
      </c>
      <c r="J54" s="414">
        <v>0</v>
      </c>
      <c r="K54" s="414">
        <v>0</v>
      </c>
      <c r="L54" s="415">
        <v>0</v>
      </c>
    </row>
    <row r="55" spans="1:12">
      <c r="A55" s="286" t="s">
        <v>337</v>
      </c>
      <c r="B55" s="38"/>
      <c r="C55" s="38"/>
      <c r="D55" s="283"/>
      <c r="F55" s="425">
        <v>14</v>
      </c>
      <c r="G55" s="180"/>
      <c r="H55" s="414">
        <v>0</v>
      </c>
      <c r="I55" s="414">
        <v>0</v>
      </c>
      <c r="J55" s="414">
        <v>0</v>
      </c>
      <c r="K55" s="414">
        <v>0</v>
      </c>
      <c r="L55" s="415">
        <v>0</v>
      </c>
    </row>
    <row r="56" spans="1:12" ht="13.8" thickBot="1">
      <c r="A56" s="41" t="s">
        <v>223</v>
      </c>
      <c r="B56" s="13"/>
      <c r="C56" s="13"/>
      <c r="D56" s="284">
        <v>13950</v>
      </c>
      <c r="F56" s="470">
        <v>15</v>
      </c>
      <c r="G56" s="416"/>
      <c r="H56" s="417">
        <v>0</v>
      </c>
      <c r="I56" s="417">
        <v>0</v>
      </c>
      <c r="J56" s="417">
        <v>0</v>
      </c>
      <c r="K56" s="417">
        <v>0</v>
      </c>
      <c r="L56" s="418">
        <v>0</v>
      </c>
    </row>
    <row r="57" spans="1:12" ht="13.8" thickBot="1">
      <c r="A57" s="41" t="s">
        <v>224</v>
      </c>
      <c r="B57" s="13"/>
      <c r="C57" s="13"/>
      <c r="D57" s="284">
        <v>289.6162739983738</v>
      </c>
      <c r="F57" s="441" t="s">
        <v>340</v>
      </c>
      <c r="G57" s="416"/>
      <c r="H57" s="417">
        <f>SUM(H42:H56)</f>
        <v>1</v>
      </c>
      <c r="I57" s="417">
        <f>SUM(I42:I56)</f>
        <v>1</v>
      </c>
      <c r="J57" s="417">
        <f>SUM(J42:J56)</f>
        <v>1</v>
      </c>
      <c r="K57" s="538">
        <f>SUM(K42:K56)</f>
        <v>1</v>
      </c>
      <c r="L57" s="418">
        <f>SUM(L42:L56)</f>
        <v>1</v>
      </c>
    </row>
    <row r="58" spans="1:12" ht="13.8" thickBot="1">
      <c r="A58" s="172" t="s">
        <v>222</v>
      </c>
      <c r="B58" s="42"/>
      <c r="C58" s="42"/>
      <c r="D58" s="285">
        <v>20.833333333333314</v>
      </c>
      <c r="E58" s="66"/>
    </row>
    <row r="59" spans="1:12" ht="13.8" thickBot="1">
      <c r="A59" s="287" t="s">
        <v>338</v>
      </c>
      <c r="B59" s="288"/>
      <c r="C59" s="288"/>
      <c r="D59" s="289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33203125" defaultRowHeight="13.2"/>
  <cols>
    <col min="1" max="1" width="63.88671875" style="12" bestFit="1" customWidth="1"/>
    <col min="2" max="6" width="24.5546875" style="12" customWidth="1"/>
    <col min="7" max="16384" width="9.33203125" style="12"/>
  </cols>
  <sheetData>
    <row r="2" spans="1:4" ht="17.399999999999999">
      <c r="A2" s="86" t="str">
        <f>Assumptions!A3</f>
        <v>PROJECT NAME: Homestead, Florida</v>
      </c>
    </row>
    <row r="4" spans="1:4" ht="17.399999999999999">
      <c r="A4" s="170" t="s">
        <v>119</v>
      </c>
    </row>
    <row r="6" spans="1:4" ht="13.8" thickBot="1"/>
    <row r="7" spans="1:4" ht="13.8" thickBot="1">
      <c r="A7" s="520"/>
      <c r="B7" s="476" t="s">
        <v>402</v>
      </c>
      <c r="C7" s="477" t="s">
        <v>0</v>
      </c>
      <c r="D7" s="478"/>
    </row>
    <row r="8" spans="1:4">
      <c r="A8" s="479"/>
      <c r="B8" s="292" t="s">
        <v>121</v>
      </c>
      <c r="C8" s="292" t="s">
        <v>2</v>
      </c>
      <c r="D8" s="480" t="s">
        <v>409</v>
      </c>
    </row>
    <row r="9" spans="1:4" ht="13.8" thickBot="1">
      <c r="A9" s="481" t="s">
        <v>118</v>
      </c>
      <c r="B9" s="482">
        <f>'Returns Analysis'!C39</f>
        <v>6.4528879523277266E-2</v>
      </c>
      <c r="C9" s="483">
        <f>Debt!E69</f>
        <v>1.2999999999999987</v>
      </c>
      <c r="D9" s="484">
        <f>Debt!E68</f>
        <v>1.3</v>
      </c>
    </row>
    <row r="10" spans="1:4">
      <c r="A10" s="63"/>
      <c r="C10" s="485"/>
      <c r="D10" s="485"/>
    </row>
    <row r="11" spans="1:4" ht="13.8" thickBot="1"/>
    <row r="12" spans="1:4">
      <c r="A12" s="486" t="s">
        <v>368</v>
      </c>
      <c r="B12" s="487">
        <f>B9</f>
        <v>6.4528879523277266E-2</v>
      </c>
      <c r="C12" s="488">
        <f>C9</f>
        <v>1.2999999999999987</v>
      </c>
      <c r="D12" s="489">
        <f>D9</f>
        <v>1.3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8" thickBot="1">
      <c r="A18" s="172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B2" zoomScale="75" zoomScaleNormal="75" workbookViewId="0">
      <selection activeCell="F20" sqref="F20"/>
    </sheetView>
  </sheetViews>
  <sheetFormatPr defaultColWidth="9.109375" defaultRowHeight="13.2"/>
  <cols>
    <col min="1" max="1" width="52.6640625" style="12" customWidth="1"/>
    <col min="2" max="2" width="20.109375" style="12" customWidth="1"/>
    <col min="3" max="3" width="20.6640625" style="12" bestFit="1" customWidth="1"/>
    <col min="4" max="4" width="17.88671875" style="12" customWidth="1"/>
    <col min="5" max="5" width="4.33203125" style="12" customWidth="1"/>
    <col min="6" max="6" width="35" style="12" customWidth="1"/>
    <col min="7" max="7" width="18" style="12" customWidth="1"/>
    <col min="8" max="8" width="18.33203125" style="12" customWidth="1"/>
    <col min="9" max="10" width="17.88671875" style="12" customWidth="1"/>
    <col min="11" max="11" width="5" style="12" customWidth="1"/>
    <col min="12" max="12" width="34.6640625" style="12" customWidth="1"/>
    <col min="13" max="13" width="13.33203125" style="12" customWidth="1"/>
    <col min="14" max="23" width="12.88671875" style="12" customWidth="1"/>
    <col min="24" max="24" width="16" style="12" bestFit="1" customWidth="1"/>
    <col min="25" max="25" width="17.88671875" style="12" bestFit="1" customWidth="1"/>
    <col min="26" max="27" width="12" style="12" customWidth="1"/>
    <col min="28" max="28" width="13.6640625" style="12" bestFit="1" customWidth="1"/>
    <col min="29" max="33" width="12" style="12" customWidth="1"/>
    <col min="34" max="34" width="9.109375" style="12"/>
    <col min="35" max="37" width="10" style="12" customWidth="1"/>
    <col min="38" max="38" width="12" style="12" customWidth="1"/>
    <col min="39" max="39" width="17.5546875" style="12" customWidth="1"/>
    <col min="40" max="40" width="22.44140625" style="12" customWidth="1"/>
    <col min="41" max="41" width="19" style="12" customWidth="1"/>
    <col min="42" max="42" width="10.33203125" style="12" customWidth="1"/>
    <col min="43" max="62" width="13.109375" style="12" customWidth="1"/>
    <col min="63" max="63" width="9.109375" style="12"/>
    <col min="64" max="73" width="10" style="12" customWidth="1"/>
    <col min="74" max="74" width="9.109375" style="12"/>
    <col min="75" max="80" width="10" style="12" customWidth="1"/>
    <col min="81" max="81" width="9.109375" style="12"/>
    <col min="82" max="87" width="10" style="12" customWidth="1"/>
    <col min="88" max="16384" width="9.109375" style="12"/>
  </cols>
  <sheetData>
    <row r="1" spans="1:38" ht="24.6" hidden="1">
      <c r="A1" s="244" t="s">
        <v>83</v>
      </c>
      <c r="I1" s="80"/>
      <c r="AL1" s="80"/>
    </row>
    <row r="2" spans="1:38" ht="13.5" customHeight="1">
      <c r="A2" s="244"/>
      <c r="I2" s="80"/>
      <c r="AL2" s="80"/>
    </row>
    <row r="3" spans="1:38" ht="19.5" customHeight="1">
      <c r="A3" s="179" t="s">
        <v>430</v>
      </c>
      <c r="I3" s="80"/>
      <c r="AL3" s="80"/>
    </row>
    <row r="4" spans="1:38" s="5" customFormat="1" ht="19.5" customHeight="1">
      <c r="A4" s="245"/>
      <c r="I4" s="177"/>
      <c r="AL4" s="177"/>
    </row>
    <row r="5" spans="1:38" ht="19.5" customHeight="1">
      <c r="A5" s="170" t="s">
        <v>3</v>
      </c>
      <c r="C5" s="5"/>
      <c r="D5" s="5"/>
    </row>
    <row r="7" spans="1:38" ht="13.8" thickBot="1"/>
    <row r="8" spans="1:38" ht="15.6">
      <c r="A8" s="94" t="s">
        <v>4</v>
      </c>
      <c r="B8" s="38"/>
      <c r="C8" s="38"/>
      <c r="D8" s="185"/>
      <c r="E8" s="13"/>
      <c r="F8" s="93" t="s">
        <v>91</v>
      </c>
      <c r="G8" s="113"/>
      <c r="H8" s="114"/>
      <c r="I8" s="200"/>
      <c r="J8" s="39"/>
      <c r="L8" s="94" t="s">
        <v>196</v>
      </c>
      <c r="M8" s="119"/>
      <c r="N8" s="38"/>
      <c r="O8" s="38"/>
      <c r="P8" s="39"/>
      <c r="U8" s="336" t="s">
        <v>229</v>
      </c>
      <c r="V8" s="337" t="s">
        <v>234</v>
      </c>
      <c r="W8" s="337" t="s">
        <v>238</v>
      </c>
      <c r="X8" s="337" t="s">
        <v>120</v>
      </c>
      <c r="Y8" s="337" t="s">
        <v>253</v>
      </c>
      <c r="Z8" s="337" t="s">
        <v>254</v>
      </c>
      <c r="AA8" s="337" t="s">
        <v>255</v>
      </c>
      <c r="AB8" s="359" t="s">
        <v>313</v>
      </c>
    </row>
    <row r="9" spans="1:38" ht="15.6">
      <c r="A9" s="41"/>
      <c r="B9" s="13"/>
      <c r="C9" s="13"/>
      <c r="D9" s="40"/>
      <c r="E9" s="13"/>
      <c r="F9" s="116"/>
      <c r="G9" s="176"/>
      <c r="H9" s="176"/>
      <c r="I9" s="13"/>
      <c r="J9" s="40"/>
      <c r="L9" s="118" t="s">
        <v>301</v>
      </c>
      <c r="M9" s="13"/>
      <c r="N9" s="13"/>
      <c r="O9" s="13"/>
      <c r="P9" s="40"/>
      <c r="U9" s="326" t="s">
        <v>233</v>
      </c>
      <c r="V9" s="327" t="s">
        <v>235</v>
      </c>
      <c r="W9" s="327" t="s">
        <v>307</v>
      </c>
      <c r="X9" s="327" t="s">
        <v>249</v>
      </c>
      <c r="Y9" s="327" t="s">
        <v>258</v>
      </c>
      <c r="Z9" s="327" t="s">
        <v>256</v>
      </c>
      <c r="AA9" s="327" t="s">
        <v>256</v>
      </c>
      <c r="AB9" s="360" t="s">
        <v>316</v>
      </c>
    </row>
    <row r="10" spans="1:38" ht="15.6">
      <c r="A10" s="95" t="s">
        <v>6</v>
      </c>
      <c r="B10" s="96" t="s">
        <v>7</v>
      </c>
      <c r="C10" s="195" t="s">
        <v>8</v>
      </c>
      <c r="D10" s="345" t="s">
        <v>191</v>
      </c>
      <c r="E10" s="13"/>
      <c r="F10" s="116" t="s">
        <v>104</v>
      </c>
      <c r="G10" s="13"/>
      <c r="H10" s="281" t="s">
        <v>113</v>
      </c>
      <c r="I10" s="542" t="s">
        <v>436</v>
      </c>
      <c r="J10" s="40"/>
      <c r="L10" s="41"/>
      <c r="M10" s="13"/>
      <c r="N10" s="13"/>
      <c r="O10" s="13"/>
      <c r="P10" s="40"/>
      <c r="U10" s="290" t="s">
        <v>230</v>
      </c>
      <c r="V10" s="205" t="s">
        <v>236</v>
      </c>
      <c r="W10" s="205" t="s">
        <v>308</v>
      </c>
      <c r="X10" s="205" t="s">
        <v>248</v>
      </c>
      <c r="Y10" s="205" t="s">
        <v>322</v>
      </c>
      <c r="Z10" s="205" t="s">
        <v>257</v>
      </c>
      <c r="AA10" s="205" t="s">
        <v>257</v>
      </c>
      <c r="AB10" s="361" t="s">
        <v>314</v>
      </c>
    </row>
    <row r="11" spans="1:38" ht="15.6">
      <c r="A11" s="98" t="s">
        <v>9</v>
      </c>
      <c r="B11" s="267">
        <f>C11/C14</f>
        <v>0.61392322102973551</v>
      </c>
      <c r="C11" s="561">
        <f>C60-C12</f>
        <v>129849.15023056601</v>
      </c>
      <c r="D11" s="346">
        <f>C11/$H$68</f>
        <v>373.12974204185633</v>
      </c>
      <c r="E11" s="13"/>
      <c r="F11" s="116" t="s">
        <v>208</v>
      </c>
      <c r="G11" s="13"/>
      <c r="H11" s="281">
        <v>14260.449607331708</v>
      </c>
      <c r="I11" s="546">
        <f>16800+8000</f>
        <v>24800</v>
      </c>
      <c r="J11" s="40"/>
      <c r="L11" s="118" t="s">
        <v>126</v>
      </c>
      <c r="M11" s="13"/>
      <c r="N11" s="258">
        <v>0.03</v>
      </c>
      <c r="O11" s="220"/>
      <c r="P11" s="40"/>
      <c r="U11" s="290" t="s">
        <v>38</v>
      </c>
      <c r="V11" s="205" t="s">
        <v>233</v>
      </c>
      <c r="W11" s="205"/>
      <c r="X11" s="205" t="s">
        <v>309</v>
      </c>
      <c r="Y11" s="205"/>
      <c r="Z11" s="205"/>
      <c r="AA11" s="205"/>
      <c r="AB11" s="361" t="s">
        <v>315</v>
      </c>
    </row>
    <row r="12" spans="1:38" ht="15.6">
      <c r="A12" s="98" t="s">
        <v>86</v>
      </c>
      <c r="B12" s="151">
        <f>C12/C14</f>
        <v>0.38607677897026449</v>
      </c>
      <c r="C12" s="561">
        <f>Debt!B19</f>
        <v>81657.998843824083</v>
      </c>
      <c r="D12" s="346">
        <f>C12/$H$68</f>
        <v>234.64942196501173</v>
      </c>
      <c r="E12" s="13"/>
      <c r="F12" s="116" t="s">
        <v>11</v>
      </c>
      <c r="G12" s="176"/>
      <c r="H12" s="248">
        <v>6</v>
      </c>
      <c r="I12" s="248">
        <v>1</v>
      </c>
      <c r="J12" s="40"/>
      <c r="L12" s="101"/>
      <c r="M12" s="13"/>
      <c r="N12" s="13"/>
      <c r="O12" s="220"/>
      <c r="P12" s="40"/>
      <c r="U12" s="338"/>
      <c r="V12" s="205" t="s">
        <v>38</v>
      </c>
      <c r="W12" s="13"/>
      <c r="X12" s="205" t="s">
        <v>252</v>
      </c>
      <c r="Y12" s="13"/>
      <c r="Z12" s="13"/>
      <c r="AA12" s="13"/>
      <c r="AB12" s="332"/>
    </row>
    <row r="13" spans="1:38" ht="15.6">
      <c r="A13" s="99"/>
      <c r="B13" s="246"/>
      <c r="C13" s="196"/>
      <c r="D13" s="346"/>
      <c r="E13" s="13"/>
      <c r="F13" s="116" t="s">
        <v>261</v>
      </c>
      <c r="G13" s="176"/>
      <c r="H13" s="249">
        <v>45.5</v>
      </c>
      <c r="I13" s="249">
        <v>75</v>
      </c>
      <c r="J13" s="40"/>
      <c r="L13" s="118" t="s">
        <v>88</v>
      </c>
      <c r="M13" s="13"/>
      <c r="N13" s="97"/>
      <c r="O13" s="220"/>
      <c r="P13" s="40"/>
      <c r="U13" s="326">
        <v>1</v>
      </c>
      <c r="V13" s="327">
        <v>1</v>
      </c>
      <c r="W13" s="327">
        <v>1</v>
      </c>
      <c r="X13" s="327">
        <v>1</v>
      </c>
      <c r="Y13" s="327">
        <v>2</v>
      </c>
      <c r="Z13" s="327">
        <v>1</v>
      </c>
      <c r="AA13" s="327">
        <f>IF(C30&gt;0,1,2)</f>
        <v>1</v>
      </c>
      <c r="AB13" s="360">
        <v>1</v>
      </c>
    </row>
    <row r="14" spans="1:38" ht="15.6">
      <c r="A14" s="100" t="s">
        <v>10</v>
      </c>
      <c r="B14" s="148">
        <f>C14/$C$14</f>
        <v>1</v>
      </c>
      <c r="C14" s="197">
        <f>SUM(C11:C12)</f>
        <v>211507.14907439009</v>
      </c>
      <c r="D14" s="451">
        <f>C14/$H$68</f>
        <v>607.77916400686809</v>
      </c>
      <c r="E14" s="13"/>
      <c r="F14" s="116" t="s">
        <v>370</v>
      </c>
      <c r="G14" s="176"/>
      <c r="H14" s="248">
        <v>10155</v>
      </c>
      <c r="I14" s="248">
        <v>8175</v>
      </c>
      <c r="J14" s="40"/>
      <c r="L14" s="41"/>
      <c r="M14" s="13"/>
      <c r="N14" s="270" t="s">
        <v>193</v>
      </c>
      <c r="O14" s="204" t="s">
        <v>170</v>
      </c>
      <c r="P14" s="201" t="s">
        <v>417</v>
      </c>
      <c r="U14" s="291" t="str">
        <f>CHOOSE(U13,U9,U10,U11)</f>
        <v>Index</v>
      </c>
      <c r="V14" s="292" t="str">
        <f>CHOOSE(V13,V9,V10,V11,V12)</f>
        <v>Base</v>
      </c>
      <c r="W14" s="292" t="str">
        <f>CHOOSE(W13,W9,W10,W11,W12)</f>
        <v>Pass-through</v>
      </c>
      <c r="X14" s="292" t="str">
        <f>CHOOSE(X13,X9,X10,X11,X12)</f>
        <v>EBITDA Exit Multiple</v>
      </c>
      <c r="Y14" s="292">
        <f>IF(Y13=1,1,2)</f>
        <v>2</v>
      </c>
      <c r="Z14" s="292">
        <f>IF(C33&gt;0,10,20)</f>
        <v>10</v>
      </c>
      <c r="AA14" s="292" t="str">
        <f>CHOOSE(AA13,AA9,AA10,AA11,AA12)</f>
        <v>Yes</v>
      </c>
      <c r="AB14" s="328" t="str">
        <f>CHOOSE(AB13,AB9,AB10,AB11,AB12)</f>
        <v>Bank LT Debt</v>
      </c>
    </row>
    <row r="15" spans="1:38" ht="15.6">
      <c r="A15" s="41"/>
      <c r="B15" s="13"/>
      <c r="C15" s="13"/>
      <c r="D15" s="348"/>
      <c r="E15" s="13"/>
      <c r="F15" s="116" t="s">
        <v>371</v>
      </c>
      <c r="G15" s="176"/>
      <c r="H15" s="248">
        <v>10155</v>
      </c>
      <c r="I15" s="248">
        <v>8175</v>
      </c>
      <c r="J15" s="40"/>
      <c r="L15" s="101" t="s">
        <v>194</v>
      </c>
      <c r="M15" s="13"/>
      <c r="N15" s="530">
        <v>0</v>
      </c>
      <c r="O15" s="221"/>
      <c r="P15" s="259">
        <v>0</v>
      </c>
    </row>
    <row r="16" spans="1:38" ht="15.6">
      <c r="A16" s="41"/>
      <c r="B16" s="13"/>
      <c r="C16" s="13"/>
      <c r="D16" s="348"/>
      <c r="E16" s="13"/>
      <c r="F16" s="116" t="s">
        <v>186</v>
      </c>
      <c r="G16" s="13"/>
      <c r="H16" s="532">
        <v>7</v>
      </c>
      <c r="I16" s="13"/>
      <c r="J16" s="40"/>
      <c r="L16" s="104" t="s">
        <v>242</v>
      </c>
      <c r="M16" s="13"/>
      <c r="N16" s="531">
        <v>0</v>
      </c>
      <c r="O16" s="295"/>
      <c r="P16" s="296">
        <v>0</v>
      </c>
      <c r="U16" s="330"/>
      <c r="V16" s="57" t="s">
        <v>262</v>
      </c>
      <c r="W16" s="331" t="s">
        <v>263</v>
      </c>
    </row>
    <row r="17" spans="1:23" ht="15.6">
      <c r="A17" s="95" t="s">
        <v>103</v>
      </c>
      <c r="B17" s="96"/>
      <c r="C17" s="198"/>
      <c r="D17" s="346"/>
      <c r="E17" s="13"/>
      <c r="F17" s="116" t="s">
        <v>106</v>
      </c>
      <c r="G17" s="176"/>
      <c r="H17" s="251">
        <v>37012</v>
      </c>
      <c r="I17" s="13"/>
      <c r="J17" s="40"/>
      <c r="L17" s="116" t="s">
        <v>239</v>
      </c>
      <c r="M17" s="6"/>
      <c r="N17" s="273">
        <f>SUM(N15:N16)</f>
        <v>0</v>
      </c>
      <c r="O17" s="222"/>
      <c r="P17" s="297">
        <f>SUM(P15:P16)</f>
        <v>0</v>
      </c>
      <c r="U17" s="55" t="s">
        <v>258</v>
      </c>
      <c r="V17" s="13">
        <v>11</v>
      </c>
      <c r="W17" s="332">
        <v>21</v>
      </c>
    </row>
    <row r="18" spans="1:23" ht="15.6">
      <c r="A18" s="186"/>
      <c r="B18" s="167"/>
      <c r="C18" s="13"/>
      <c r="D18" s="348"/>
      <c r="E18" s="13"/>
      <c r="F18" s="101" t="s">
        <v>129</v>
      </c>
      <c r="G18" s="97"/>
      <c r="H18" s="273">
        <v>8</v>
      </c>
      <c r="I18" s="110"/>
      <c r="J18" s="40"/>
      <c r="L18" s="41"/>
      <c r="M18" s="13"/>
      <c r="N18" s="13"/>
      <c r="O18" s="13"/>
      <c r="P18" s="189" t="s">
        <v>421</v>
      </c>
      <c r="U18" s="333" t="s">
        <v>259</v>
      </c>
      <c r="V18" s="58">
        <v>12</v>
      </c>
      <c r="W18" s="293">
        <v>22</v>
      </c>
    </row>
    <row r="19" spans="1:23" ht="15.6">
      <c r="A19" s="98" t="s">
        <v>411</v>
      </c>
      <c r="B19" s="13"/>
      <c r="C19" s="13"/>
      <c r="D19" s="348"/>
      <c r="E19" s="13"/>
      <c r="F19" s="116" t="s">
        <v>105</v>
      </c>
      <c r="G19" s="13"/>
      <c r="H19" s="248">
        <v>20</v>
      </c>
      <c r="I19" s="110"/>
      <c r="J19" s="40"/>
      <c r="L19" s="101" t="s">
        <v>195</v>
      </c>
      <c r="M19" s="13"/>
      <c r="N19" s="250">
        <v>0</v>
      </c>
      <c r="O19" s="269">
        <f t="shared" ref="O19:O25" si="0">N19/$H$68</f>
        <v>0</v>
      </c>
      <c r="P19" s="40"/>
    </row>
    <row r="20" spans="1:23" ht="15.6">
      <c r="A20" s="101" t="s">
        <v>412</v>
      </c>
      <c r="B20" s="168">
        <f t="shared" ref="B20:B33" si="1">C20/$C$60</f>
        <v>0.5217918076384932</v>
      </c>
      <c r="C20" s="557">
        <f>(H11*H12)+(I11*I12)</f>
        <v>110362.69764399025</v>
      </c>
      <c r="D20" s="346">
        <f t="shared" ref="D20:D26" si="2">C20/$H$68</f>
        <v>317.13418863215588</v>
      </c>
      <c r="E20" s="13"/>
      <c r="F20" s="116" t="s">
        <v>295</v>
      </c>
      <c r="G20" s="13"/>
      <c r="H20" s="335" t="s">
        <v>435</v>
      </c>
      <c r="I20" s="110"/>
      <c r="J20" s="40"/>
      <c r="L20" s="101" t="s">
        <v>35</v>
      </c>
      <c r="M20" s="13"/>
      <c r="N20" s="250">
        <v>0</v>
      </c>
      <c r="O20" s="269">
        <f t="shared" si="0"/>
        <v>0</v>
      </c>
      <c r="P20" s="40"/>
    </row>
    <row r="21" spans="1:23" ht="15.6">
      <c r="A21" s="101" t="s">
        <v>250</v>
      </c>
      <c r="B21" s="168">
        <f t="shared" si="1"/>
        <v>1.7588057974776176E-3</v>
      </c>
      <c r="C21" s="557">
        <f>62*H12</f>
        <v>372</v>
      </c>
      <c r="D21" s="346">
        <f t="shared" si="2"/>
        <v>1.0689655172413792</v>
      </c>
      <c r="E21" s="13"/>
      <c r="F21" s="41"/>
      <c r="G21" s="13"/>
      <c r="H21" s="13"/>
      <c r="I21" s="13"/>
      <c r="J21" s="40"/>
      <c r="L21" s="101" t="s">
        <v>36</v>
      </c>
      <c r="M21" s="13"/>
      <c r="N21" s="250">
        <v>0</v>
      </c>
      <c r="O21" s="269">
        <f t="shared" si="0"/>
        <v>0</v>
      </c>
      <c r="P21" s="40"/>
    </row>
    <row r="22" spans="1:23" ht="15.6">
      <c r="A22" s="46" t="s">
        <v>437</v>
      </c>
      <c r="B22" s="168">
        <f t="shared" si="1"/>
        <v>2.8367835443187379E-3</v>
      </c>
      <c r="C22" s="564">
        <v>600</v>
      </c>
      <c r="D22" s="346">
        <f t="shared" si="2"/>
        <v>1.7241379310344827</v>
      </c>
      <c r="E22" s="13"/>
      <c r="F22" s="115" t="s">
        <v>422</v>
      </c>
      <c r="G22" s="13"/>
      <c r="H22" s="325"/>
      <c r="I22" s="13"/>
      <c r="J22" s="40"/>
      <c r="L22" s="101" t="s">
        <v>344</v>
      </c>
      <c r="M22" s="13"/>
      <c r="N22" s="250">
        <v>0</v>
      </c>
      <c r="O22" s="269">
        <f t="shared" si="0"/>
        <v>0</v>
      </c>
      <c r="P22" s="40"/>
    </row>
    <row r="23" spans="1:23" ht="15.6">
      <c r="A23" s="46" t="s">
        <v>529</v>
      </c>
      <c r="B23" s="168">
        <f t="shared" si="1"/>
        <v>1.0411123262909263E-2</v>
      </c>
      <c r="C23" s="555">
        <f>'Cost Details'!D12</f>
        <v>2202.027</v>
      </c>
      <c r="D23" s="346">
        <f t="shared" si="2"/>
        <v>6.3276637931034481</v>
      </c>
      <c r="E23" s="13"/>
      <c r="F23" s="324" t="s">
        <v>249</v>
      </c>
      <c r="G23" s="176"/>
      <c r="H23" s="323">
        <v>5</v>
      </c>
      <c r="I23" s="357"/>
      <c r="J23" s="40"/>
      <c r="L23" s="101" t="s">
        <v>44</v>
      </c>
      <c r="M23" s="13"/>
      <c r="N23" s="250">
        <v>0</v>
      </c>
      <c r="O23" s="269">
        <f t="shared" si="0"/>
        <v>0</v>
      </c>
      <c r="P23" s="40"/>
    </row>
    <row r="24" spans="1:23" ht="15.6">
      <c r="A24" s="46" t="s">
        <v>530</v>
      </c>
      <c r="B24" s="168">
        <f t="shared" si="1"/>
        <v>1.3704742429205089E-2</v>
      </c>
      <c r="C24" s="555">
        <f>'Cost Details'!D21</f>
        <v>2898.6509999999998</v>
      </c>
      <c r="D24" s="346">
        <f t="shared" si="2"/>
        <v>8.3294568965517239</v>
      </c>
      <c r="E24" s="13"/>
      <c r="F24" s="324" t="s">
        <v>369</v>
      </c>
      <c r="G24" s="13"/>
      <c r="H24" s="356">
        <v>0.2</v>
      </c>
      <c r="I24" s="110"/>
      <c r="J24" s="40"/>
      <c r="L24" s="101" t="s">
        <v>37</v>
      </c>
      <c r="M24" s="13"/>
      <c r="N24" s="250">
        <v>0</v>
      </c>
      <c r="O24" s="269">
        <f t="shared" si="0"/>
        <v>0</v>
      </c>
      <c r="P24" s="40"/>
    </row>
    <row r="25" spans="1:23" ht="16.2" thickBot="1">
      <c r="A25" s="101" t="s">
        <v>532</v>
      </c>
      <c r="B25" s="168">
        <f t="shared" si="1"/>
        <v>0.12336840676162023</v>
      </c>
      <c r="C25" s="556">
        <f>'Cost Details'!D67</f>
        <v>26093.300000000003</v>
      </c>
      <c r="D25" s="346">
        <f t="shared" si="2"/>
        <v>74.980747126436796</v>
      </c>
      <c r="E25" s="13"/>
      <c r="F25" s="247" t="s">
        <v>191</v>
      </c>
      <c r="G25" s="42"/>
      <c r="H25" s="355">
        <v>200</v>
      </c>
      <c r="I25" s="42"/>
      <c r="J25" s="81"/>
      <c r="L25" s="104" t="s">
        <v>424</v>
      </c>
      <c r="M25" s="217"/>
      <c r="N25" s="294">
        <v>0</v>
      </c>
      <c r="O25" s="298">
        <f t="shared" si="0"/>
        <v>0</v>
      </c>
      <c r="P25" s="40"/>
    </row>
    <row r="26" spans="1:23" ht="16.2" thickBot="1">
      <c r="A26" s="101" t="s">
        <v>533</v>
      </c>
      <c r="B26" s="168">
        <f t="shared" si="1"/>
        <v>8.4656363051361469E-2</v>
      </c>
      <c r="C26" s="556">
        <f>'Cost Details'!D86</f>
        <v>17905.425999999999</v>
      </c>
      <c r="D26" s="346">
        <f t="shared" si="2"/>
        <v>51.452373563218387</v>
      </c>
      <c r="E26" s="13"/>
      <c r="L26" s="116" t="s">
        <v>240</v>
      </c>
      <c r="M26" s="6"/>
      <c r="N26" s="273">
        <f>SUM(N19:N25)</f>
        <v>0</v>
      </c>
      <c r="O26" s="299">
        <f>SUM(O19:O25)</f>
        <v>0</v>
      </c>
      <c r="P26" s="362"/>
    </row>
    <row r="27" spans="1:23" ht="15.6">
      <c r="A27" s="101" t="s">
        <v>108</v>
      </c>
      <c r="B27" s="168">
        <f t="shared" si="1"/>
        <v>1.8911890295458252E-2</v>
      </c>
      <c r="C27" s="563">
        <v>4000</v>
      </c>
      <c r="D27" s="346">
        <f t="shared" ref="D27:D33" si="3">C27/$H$68</f>
        <v>11.494252873563218</v>
      </c>
      <c r="E27" s="13"/>
      <c r="F27" s="94" t="s">
        <v>112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6.2">
      <c r="A28" s="101" t="s">
        <v>109</v>
      </c>
      <c r="B28" s="168">
        <f t="shared" si="1"/>
        <v>7.9429939240924664E-3</v>
      </c>
      <c r="C28" s="563">
        <v>1680</v>
      </c>
      <c r="D28" s="346">
        <f t="shared" si="3"/>
        <v>4.8275862068965516</v>
      </c>
      <c r="E28" s="13"/>
      <c r="F28" s="353" t="s">
        <v>110</v>
      </c>
      <c r="G28" s="354"/>
      <c r="H28" s="354" t="s">
        <v>312</v>
      </c>
      <c r="I28" s="180"/>
      <c r="J28" s="329"/>
      <c r="L28" s="118" t="s">
        <v>89</v>
      </c>
      <c r="M28" s="13"/>
      <c r="N28" s="161"/>
      <c r="O28" s="222"/>
      <c r="P28" s="40"/>
      <c r="R28" s="3"/>
    </row>
    <row r="29" spans="1:23" ht="15.6">
      <c r="A29" s="101" t="s">
        <v>531</v>
      </c>
      <c r="B29" s="168">
        <f t="shared" si="1"/>
        <v>8.1182409555153306E-3</v>
      </c>
      <c r="C29" s="556">
        <f>'Cost Details'!D24</f>
        <v>1717.066</v>
      </c>
      <c r="D29" s="346">
        <f t="shared" si="3"/>
        <v>4.9340977011494251</v>
      </c>
      <c r="E29" s="13"/>
      <c r="F29" s="324" t="s">
        <v>84</v>
      </c>
      <c r="G29" s="251">
        <v>36800</v>
      </c>
      <c r="H29" s="352"/>
      <c r="I29" s="180"/>
      <c r="J29" s="329"/>
      <c r="L29" s="101" t="s">
        <v>229</v>
      </c>
      <c r="M29" s="13"/>
      <c r="N29" s="273">
        <f>IS!C16</f>
        <v>22457.521079834998</v>
      </c>
      <c r="O29" s="222">
        <f>N29/$H$68</f>
        <v>64.53310655125</v>
      </c>
      <c r="P29" s="40"/>
      <c r="R29" s="340"/>
    </row>
    <row r="30" spans="1:23" ht="15.6">
      <c r="A30" s="101" t="s">
        <v>535</v>
      </c>
      <c r="B30" s="168">
        <f t="shared" si="1"/>
        <v>5.2898448345426279E-2</v>
      </c>
      <c r="C30" s="556">
        <f>'Cost Details'!D108</f>
        <v>11188.4</v>
      </c>
      <c r="D30" s="346">
        <f t="shared" si="3"/>
        <v>32.150574712643675</v>
      </c>
      <c r="E30" s="13"/>
      <c r="F30" s="324" t="s">
        <v>122</v>
      </c>
      <c r="G30" s="251">
        <v>36571</v>
      </c>
      <c r="H30" s="352"/>
      <c r="I30" s="180"/>
      <c r="J30" s="329"/>
      <c r="L30" s="101" t="s">
        <v>207</v>
      </c>
      <c r="M30" s="13"/>
      <c r="N30" s="273">
        <f>IS!C23/IS!C6</f>
        <v>600</v>
      </c>
      <c r="O30" s="222">
        <f>N30/$H$68</f>
        <v>1.7241379310344827</v>
      </c>
      <c r="P30" s="529">
        <v>0.02</v>
      </c>
      <c r="R30" s="3"/>
    </row>
    <row r="31" spans="1:23" ht="15.6">
      <c r="A31" s="101" t="s">
        <v>534</v>
      </c>
      <c r="B31" s="168">
        <f t="shared" si="1"/>
        <v>7.2401666170697774E-3</v>
      </c>
      <c r="C31" s="556">
        <f>'Cost Details'!D94</f>
        <v>1531.347</v>
      </c>
      <c r="D31" s="346">
        <f t="shared" si="3"/>
        <v>4.4004224137931036</v>
      </c>
      <c r="E31" s="13"/>
      <c r="F31" s="41"/>
      <c r="G31" s="13"/>
      <c r="H31" s="6"/>
      <c r="I31" s="180"/>
      <c r="J31" s="329"/>
      <c r="L31" s="101" t="s">
        <v>197</v>
      </c>
      <c r="M31" s="13"/>
      <c r="N31" s="273">
        <f>IS!C24/IS!C6</f>
        <v>0</v>
      </c>
      <c r="O31" s="222">
        <f>N31/$H$68</f>
        <v>0</v>
      </c>
      <c r="P31" s="40"/>
      <c r="R31" s="3"/>
    </row>
    <row r="32" spans="1:23" ht="15.6">
      <c r="A32" s="101" t="s">
        <v>172</v>
      </c>
      <c r="B32" s="168">
        <f t="shared" si="1"/>
        <v>0</v>
      </c>
      <c r="C32" s="556">
        <v>0</v>
      </c>
      <c r="D32" s="346">
        <f t="shared" si="3"/>
        <v>0</v>
      </c>
      <c r="E32" s="13"/>
      <c r="F32" s="105" t="s">
        <v>14</v>
      </c>
      <c r="G32" s="106">
        <f>Debt!B19</f>
        <v>81657.998843824083</v>
      </c>
      <c r="H32" s="106"/>
      <c r="I32" s="180"/>
      <c r="J32" s="329"/>
      <c r="L32" s="101" t="s">
        <v>201</v>
      </c>
      <c r="M32" s="13"/>
      <c r="N32" s="273">
        <f>IS!C25/IS!C6</f>
        <v>0</v>
      </c>
      <c r="O32" s="222">
        <f>N32/$H$68</f>
        <v>0</v>
      </c>
      <c r="P32" s="40"/>
      <c r="Q32" s="66"/>
      <c r="R32" s="3"/>
    </row>
    <row r="33" spans="1:18" ht="16.2" thickBot="1">
      <c r="A33" s="101" t="s">
        <v>490</v>
      </c>
      <c r="B33" s="184">
        <f t="shared" si="1"/>
        <v>4.3060766692083328E-2</v>
      </c>
      <c r="C33" s="558">
        <f>'Cost Details'!D69</f>
        <v>9107.66</v>
      </c>
      <c r="D33" s="347">
        <f t="shared" si="3"/>
        <v>26.171436781609195</v>
      </c>
      <c r="E33" s="13"/>
      <c r="F33" s="105" t="s">
        <v>15</v>
      </c>
      <c r="G33" s="252">
        <v>20</v>
      </c>
      <c r="H33" s="106"/>
      <c r="I33" s="180"/>
      <c r="J33" s="329"/>
      <c r="L33" s="103" t="s">
        <v>418</v>
      </c>
      <c r="M33" s="42"/>
      <c r="N33" s="276">
        <f>IS!C26/IS!C6</f>
        <v>0</v>
      </c>
      <c r="O33" s="223">
        <f>N33/$H$68</f>
        <v>0</v>
      </c>
      <c r="P33" s="81"/>
      <c r="R33" s="3"/>
    </row>
    <row r="34" spans="1:18" ht="16.2" thickBot="1">
      <c r="A34" s="101" t="s">
        <v>107</v>
      </c>
      <c r="B34" s="168">
        <f>SUM(B20:B33)</f>
        <v>0.89670053931503102</v>
      </c>
      <c r="C34" s="557">
        <f>SUM(C20:C33)</f>
        <v>189658.57464399026</v>
      </c>
      <c r="D34" s="346">
        <f>SUM(D20:D33)</f>
        <v>544.99590414939723</v>
      </c>
      <c r="E34" s="13"/>
      <c r="F34" s="105" t="s">
        <v>16</v>
      </c>
      <c r="G34" s="352">
        <v>42826</v>
      </c>
      <c r="H34" s="352"/>
      <c r="I34" s="180"/>
      <c r="J34" s="329"/>
      <c r="N34" s="199"/>
      <c r="R34" s="3"/>
    </row>
    <row r="35" spans="1:18" ht="15.6">
      <c r="E35" s="13"/>
      <c r="F35" s="105" t="s">
        <v>17</v>
      </c>
      <c r="G35" s="121">
        <f>Debt!E66</f>
        <v>1.1742164101531707</v>
      </c>
      <c r="H35" s="381" t="str">
        <f>IF(H32,Debt!#REF!," ")</f>
        <v xml:space="preserve"> </v>
      </c>
      <c r="I35" s="180"/>
      <c r="J35" s="329"/>
      <c r="L35" s="93" t="s">
        <v>22</v>
      </c>
      <c r="M35" s="114"/>
      <c r="N35" s="260"/>
      <c r="O35" s="119"/>
      <c r="P35" s="39"/>
      <c r="R35" s="5"/>
    </row>
    <row r="36" spans="1:18" ht="15.6">
      <c r="E36" s="13"/>
      <c r="F36" s="105"/>
      <c r="G36" s="13"/>
      <c r="H36" s="13"/>
      <c r="I36" s="180"/>
      <c r="J36" s="329"/>
      <c r="L36" s="41"/>
      <c r="M36" s="169"/>
      <c r="N36" s="13"/>
      <c r="O36" s="13"/>
      <c r="P36" s="40"/>
      <c r="R36" s="5"/>
    </row>
    <row r="37" spans="1:18" ht="15.6">
      <c r="A37" s="98" t="s">
        <v>372</v>
      </c>
      <c r="B37" s="13"/>
      <c r="C37" s="560"/>
      <c r="D37" s="349"/>
      <c r="E37" s="13"/>
      <c r="F37" s="101" t="s">
        <v>18</v>
      </c>
      <c r="G37" s="253">
        <v>6.5000000000000002E-2</v>
      </c>
      <c r="H37" s="253">
        <v>6.5000000000000002E-2</v>
      </c>
      <c r="I37" s="180"/>
      <c r="J37" s="329"/>
      <c r="L37" s="101"/>
      <c r="M37" s="13"/>
      <c r="N37" s="147" t="s">
        <v>23</v>
      </c>
      <c r="O37" s="147" t="s">
        <v>24</v>
      </c>
      <c r="P37" s="171" t="s">
        <v>25</v>
      </c>
      <c r="R37" s="13"/>
    </row>
    <row r="38" spans="1:18" ht="15.6">
      <c r="A38" s="101" t="s">
        <v>524</v>
      </c>
      <c r="B38" s="168">
        <f t="shared" ref="B38:B51" si="4">C38/$C$60</f>
        <v>1.7574238110942771E-2</v>
      </c>
      <c r="C38" s="556">
        <f>'Cost Details'!D113</f>
        <v>3717.0770000000002</v>
      </c>
      <c r="D38" s="346">
        <f t="shared" ref="D38:D52" si="5">C38/$H$68</f>
        <v>10.681255747126437</v>
      </c>
      <c r="E38" s="13"/>
      <c r="F38" s="101" t="s">
        <v>19</v>
      </c>
      <c r="G38" s="254">
        <v>1.7500000000000002E-2</v>
      </c>
      <c r="H38" s="254">
        <v>1.7500000000000002E-2</v>
      </c>
      <c r="I38" s="180"/>
      <c r="J38" s="329"/>
      <c r="L38" s="115" t="s">
        <v>26</v>
      </c>
      <c r="M38" s="13"/>
      <c r="N38" s="261"/>
      <c r="O38" s="261"/>
      <c r="P38" s="102"/>
      <c r="R38" s="13"/>
    </row>
    <row r="39" spans="1:18" ht="15.6">
      <c r="A39" s="98" t="s">
        <v>427</v>
      </c>
      <c r="B39" s="168">
        <f t="shared" si="4"/>
        <v>0</v>
      </c>
      <c r="C39" s="556">
        <v>0</v>
      </c>
      <c r="D39" s="346">
        <f t="shared" si="5"/>
        <v>0</v>
      </c>
      <c r="E39" s="13"/>
      <c r="F39" s="105" t="s">
        <v>317</v>
      </c>
      <c r="G39" s="107">
        <f>Debt!E64</f>
        <v>8.2500000000000004E-2</v>
      </c>
      <c r="H39" s="107">
        <f>SUM(H37:H38)</f>
        <v>8.2500000000000004E-2</v>
      </c>
      <c r="I39" s="180"/>
      <c r="J39" s="329"/>
      <c r="L39" s="116" t="s">
        <v>27</v>
      </c>
      <c r="M39" s="13"/>
      <c r="N39" s="271">
        <v>15</v>
      </c>
      <c r="O39" s="262" t="s">
        <v>28</v>
      </c>
      <c r="P39" s="190">
        <v>0</v>
      </c>
      <c r="R39" s="3"/>
    </row>
    <row r="40" spans="1:18" ht="15.6">
      <c r="A40" s="98" t="s">
        <v>167</v>
      </c>
      <c r="B40" s="168">
        <f t="shared" si="4"/>
        <v>0</v>
      </c>
      <c r="C40" s="556">
        <v>0</v>
      </c>
      <c r="D40" s="346">
        <f t="shared" si="5"/>
        <v>0</v>
      </c>
      <c r="E40" s="13"/>
      <c r="F40" s="101"/>
      <c r="G40" s="97"/>
      <c r="H40" s="97"/>
      <c r="I40" s="97"/>
      <c r="J40" s="188"/>
      <c r="L40" s="116" t="s">
        <v>245</v>
      </c>
      <c r="M40" s="13"/>
      <c r="N40" s="271">
        <v>5</v>
      </c>
      <c r="O40" s="262" t="s">
        <v>30</v>
      </c>
      <c r="P40" s="190">
        <v>0</v>
      </c>
      <c r="R40" s="3"/>
    </row>
    <row r="41" spans="1:18" ht="15.6">
      <c r="A41" s="98" t="s">
        <v>161</v>
      </c>
      <c r="B41" s="168">
        <f t="shared" si="4"/>
        <v>0</v>
      </c>
      <c r="C41" s="556">
        <v>0</v>
      </c>
      <c r="D41" s="346">
        <f t="shared" si="5"/>
        <v>0</v>
      </c>
      <c r="E41" s="13"/>
      <c r="F41" s="101" t="s">
        <v>123</v>
      </c>
      <c r="G41" s="252">
        <v>0</v>
      </c>
      <c r="H41" s="252">
        <v>0</v>
      </c>
      <c r="I41" s="97" t="s">
        <v>124</v>
      </c>
      <c r="J41" s="189"/>
      <c r="L41" s="116" t="s">
        <v>29</v>
      </c>
      <c r="M41" s="13"/>
      <c r="N41" s="271">
        <v>20</v>
      </c>
      <c r="O41" s="262" t="s">
        <v>30</v>
      </c>
      <c r="P41" s="190">
        <v>0</v>
      </c>
      <c r="R41" s="340"/>
    </row>
    <row r="42" spans="1:18" ht="15.6">
      <c r="A42" s="101" t="s">
        <v>425</v>
      </c>
      <c r="B42" s="168">
        <f t="shared" si="4"/>
        <v>0</v>
      </c>
      <c r="C42" s="556">
        <v>0</v>
      </c>
      <c r="D42" s="346">
        <f t="shared" si="5"/>
        <v>0</v>
      </c>
      <c r="E42" s="13"/>
      <c r="F42" s="101" t="s">
        <v>20</v>
      </c>
      <c r="G42" s="255">
        <v>0.02</v>
      </c>
      <c r="H42" s="97"/>
      <c r="I42" s="97"/>
      <c r="J42" s="189"/>
      <c r="L42" s="116"/>
      <c r="M42" s="13"/>
      <c r="N42" s="263"/>
      <c r="O42" s="263"/>
      <c r="P42" s="264"/>
      <c r="R42" s="224"/>
    </row>
    <row r="43" spans="1:18" ht="15.6">
      <c r="A43" s="98" t="s">
        <v>162</v>
      </c>
      <c r="B43" s="168">
        <f t="shared" si="4"/>
        <v>0</v>
      </c>
      <c r="C43" s="556">
        <v>0</v>
      </c>
      <c r="D43" s="346">
        <f t="shared" si="5"/>
        <v>0</v>
      </c>
      <c r="E43" s="13"/>
      <c r="F43" s="101" t="s">
        <v>21</v>
      </c>
      <c r="G43" s="255">
        <v>0</v>
      </c>
      <c r="H43" s="13"/>
      <c r="I43" s="13"/>
      <c r="J43" s="40"/>
      <c r="L43" s="115" t="s">
        <v>31</v>
      </c>
      <c r="M43" s="13"/>
      <c r="N43" s="263"/>
      <c r="O43" s="263"/>
      <c r="P43" s="191"/>
    </row>
    <row r="44" spans="1:18" ht="15.6">
      <c r="A44" s="98" t="s">
        <v>171</v>
      </c>
      <c r="B44" s="168">
        <f t="shared" si="4"/>
        <v>0</v>
      </c>
      <c r="C44" s="556">
        <v>0</v>
      </c>
      <c r="D44" s="346">
        <f t="shared" si="5"/>
        <v>0</v>
      </c>
      <c r="E44" s="13"/>
      <c r="F44" s="41"/>
      <c r="G44" s="13"/>
      <c r="H44" s="13"/>
      <c r="I44" s="13"/>
      <c r="J44" s="40"/>
      <c r="L44" s="116" t="s">
        <v>27</v>
      </c>
      <c r="M44" s="13"/>
      <c r="N44" s="271">
        <v>30</v>
      </c>
      <c r="O44" s="262" t="s">
        <v>30</v>
      </c>
      <c r="P44" s="191">
        <v>0.1</v>
      </c>
    </row>
    <row r="45" spans="1:18" ht="15.6">
      <c r="A45" s="98" t="s">
        <v>163</v>
      </c>
      <c r="B45" s="168">
        <f t="shared" si="4"/>
        <v>0</v>
      </c>
      <c r="C45" s="556">
        <v>0</v>
      </c>
      <c r="D45" s="346">
        <f t="shared" si="5"/>
        <v>0</v>
      </c>
      <c r="E45" s="13"/>
      <c r="F45" s="353" t="s">
        <v>111</v>
      </c>
      <c r="G45" s="13"/>
      <c r="H45" s="13"/>
      <c r="I45" s="13"/>
      <c r="J45" s="40"/>
      <c r="L45" s="116" t="s">
        <v>245</v>
      </c>
      <c r="M45" s="13"/>
      <c r="N45" s="271">
        <v>5</v>
      </c>
      <c r="O45" s="262" t="s">
        <v>30</v>
      </c>
      <c r="P45" s="190">
        <v>0</v>
      </c>
    </row>
    <row r="46" spans="1:18" ht="16.2" thickBot="1">
      <c r="A46" s="98" t="s">
        <v>164</v>
      </c>
      <c r="B46" s="168">
        <f t="shared" si="4"/>
        <v>0</v>
      </c>
      <c r="C46" s="556">
        <v>0</v>
      </c>
      <c r="D46" s="346">
        <f t="shared" si="5"/>
        <v>0</v>
      </c>
      <c r="E46" s="13"/>
      <c r="F46" s="324" t="s">
        <v>85</v>
      </c>
      <c r="G46" s="251">
        <v>36617</v>
      </c>
      <c r="H46" s="13"/>
      <c r="I46" s="13"/>
      <c r="J46" s="40"/>
      <c r="L46" s="117" t="s">
        <v>29</v>
      </c>
      <c r="M46" s="42"/>
      <c r="N46" s="272">
        <v>20</v>
      </c>
      <c r="O46" s="265" t="s">
        <v>30</v>
      </c>
      <c r="P46" s="192">
        <v>0</v>
      </c>
    </row>
    <row r="47" spans="1:18" ht="16.2" thickBot="1">
      <c r="A47" s="98" t="s">
        <v>168</v>
      </c>
      <c r="B47" s="168">
        <f t="shared" si="4"/>
        <v>0</v>
      </c>
      <c r="C47" s="556">
        <v>0</v>
      </c>
      <c r="D47" s="346">
        <f t="shared" si="5"/>
        <v>0</v>
      </c>
      <c r="E47" s="13"/>
      <c r="F47" s="101" t="s">
        <v>12</v>
      </c>
      <c r="G47" s="256">
        <v>0</v>
      </c>
      <c r="H47" s="144">
        <f>G47*C11</f>
        <v>0</v>
      </c>
      <c r="I47" s="13"/>
      <c r="J47" s="40"/>
    </row>
    <row r="48" spans="1:18" ht="16.2" thickBot="1">
      <c r="A48" s="101" t="s">
        <v>209</v>
      </c>
      <c r="B48" s="168">
        <f t="shared" si="4"/>
        <v>2.3601048485808608E-2</v>
      </c>
      <c r="C48" s="557">
        <f>IDC!H34</f>
        <v>4991.7904803998299</v>
      </c>
      <c r="D48" s="346">
        <f t="shared" si="5"/>
        <v>14.344225518390315</v>
      </c>
      <c r="E48" s="64"/>
      <c r="F48" s="103" t="s">
        <v>13</v>
      </c>
      <c r="G48" s="268">
        <f>1-G47</f>
        <v>1</v>
      </c>
      <c r="H48" s="145">
        <f>G48*C11</f>
        <v>129849.15023056601</v>
      </c>
      <c r="I48" s="42"/>
      <c r="J48" s="81"/>
      <c r="L48" s="93" t="s">
        <v>373</v>
      </c>
      <c r="M48" s="114"/>
      <c r="N48" s="278"/>
      <c r="O48" s="279"/>
      <c r="P48" s="363"/>
    </row>
    <row r="49" spans="1:16" ht="16.2" thickBot="1">
      <c r="A49" s="101" t="s">
        <v>536</v>
      </c>
      <c r="B49" s="168">
        <f t="shared" si="4"/>
        <v>2.6888585208057224E-2</v>
      </c>
      <c r="C49" s="556">
        <f>'Cost Details'!D118</f>
        <v>5687.1279999999997</v>
      </c>
      <c r="D49" s="346">
        <f t="shared" si="5"/>
        <v>16.342321839080459</v>
      </c>
      <c r="E49" s="43"/>
      <c r="L49" s="182"/>
      <c r="M49" s="176"/>
      <c r="N49" s="157"/>
      <c r="O49" s="6"/>
      <c r="P49" s="362"/>
    </row>
    <row r="50" spans="1:16" ht="15.6">
      <c r="A50" s="101" t="s">
        <v>266</v>
      </c>
      <c r="B50" s="168">
        <f t="shared" si="4"/>
        <v>1.7309863832131359E-2</v>
      </c>
      <c r="C50" s="557">
        <f>SUM(C25:C33)*N55</f>
        <v>3661.1599500000007</v>
      </c>
      <c r="D50" s="346">
        <f t="shared" si="5"/>
        <v>10.52057456896552</v>
      </c>
      <c r="E50" s="13"/>
      <c r="F50" s="93" t="s">
        <v>192</v>
      </c>
      <c r="G50" s="113"/>
      <c r="H50" s="119"/>
      <c r="I50" s="202"/>
      <c r="J50" s="39"/>
      <c r="L50" s="116" t="s">
        <v>127</v>
      </c>
      <c r="M50" s="6"/>
      <c r="N50" s="261">
        <v>0.35</v>
      </c>
      <c r="O50" s="6"/>
      <c r="P50" s="362"/>
    </row>
    <row r="51" spans="1:16" ht="15.6">
      <c r="A51" s="95" t="s">
        <v>173</v>
      </c>
      <c r="B51" s="184">
        <f t="shared" si="4"/>
        <v>1.7925725048029008E-2</v>
      </c>
      <c r="C51" s="558">
        <f>'Cost Details'!D117</f>
        <v>3791.4189999999999</v>
      </c>
      <c r="D51" s="347">
        <f t="shared" si="5"/>
        <v>10.894882183908045</v>
      </c>
      <c r="E51" s="84"/>
      <c r="F51" s="41"/>
      <c r="G51" s="13"/>
      <c r="H51" s="13"/>
      <c r="I51" s="110"/>
      <c r="J51" s="40"/>
      <c r="L51" s="116" t="s">
        <v>280</v>
      </c>
      <c r="M51" s="6"/>
      <c r="N51" s="258">
        <v>7.0000000000000007E-2</v>
      </c>
      <c r="O51" s="364" t="s">
        <v>227</v>
      </c>
      <c r="P51" s="362"/>
    </row>
    <row r="52" spans="1:16" ht="15.6">
      <c r="A52" s="101" t="s">
        <v>107</v>
      </c>
      <c r="B52" s="168">
        <f>SUM(B38:B51)</f>
        <v>0.10329946068496898</v>
      </c>
      <c r="C52" s="557">
        <f>SUM(C38:C51)</f>
        <v>21848.574430399829</v>
      </c>
      <c r="D52" s="346">
        <f t="shared" si="5"/>
        <v>62.783259857470775</v>
      </c>
      <c r="E52" s="84"/>
      <c r="F52" s="104" t="s">
        <v>296</v>
      </c>
      <c r="G52" s="13"/>
      <c r="H52" s="13"/>
      <c r="I52" s="13"/>
      <c r="J52" s="40"/>
      <c r="L52" s="116" t="s">
        <v>247</v>
      </c>
      <c r="M52" s="6"/>
      <c r="N52" s="258">
        <v>0</v>
      </c>
      <c r="O52" s="364" t="s">
        <v>227</v>
      </c>
      <c r="P52" s="362"/>
    </row>
    <row r="53" spans="1:16" ht="15.6">
      <c r="C53" s="559"/>
      <c r="E53" s="13"/>
      <c r="F53" s="101" t="s">
        <v>298</v>
      </c>
      <c r="G53" s="13"/>
      <c r="H53" s="250">
        <v>20</v>
      </c>
      <c r="I53" s="110"/>
      <c r="J53" s="40"/>
      <c r="L53" s="116" t="s">
        <v>202</v>
      </c>
      <c r="M53" s="6"/>
      <c r="N53" s="258">
        <v>0</v>
      </c>
      <c r="O53" s="364" t="s">
        <v>227</v>
      </c>
      <c r="P53" s="362"/>
    </row>
    <row r="54" spans="1:16" ht="15.6">
      <c r="A54" s="98" t="s">
        <v>101</v>
      </c>
      <c r="B54" s="13"/>
      <c r="C54" s="557"/>
      <c r="D54" s="348"/>
      <c r="E54" s="13"/>
      <c r="F54" s="101" t="s">
        <v>408</v>
      </c>
      <c r="G54" s="13"/>
      <c r="H54" s="249">
        <v>5.89</v>
      </c>
      <c r="I54" s="13"/>
      <c r="J54" s="40"/>
      <c r="L54" s="116" t="s">
        <v>232</v>
      </c>
      <c r="M54" s="13"/>
      <c r="N54" s="258">
        <v>1.4999999999999999E-2</v>
      </c>
      <c r="O54" s="364" t="s">
        <v>227</v>
      </c>
      <c r="P54" s="40"/>
    </row>
    <row r="55" spans="1:16" ht="16.2" thickBot="1">
      <c r="A55" s="98" t="s">
        <v>165</v>
      </c>
      <c r="B55" s="168">
        <f>C55/$C$60</f>
        <v>0</v>
      </c>
      <c r="C55" s="556">
        <v>0</v>
      </c>
      <c r="D55" s="346">
        <f>C55/$H$68</f>
        <v>0</v>
      </c>
      <c r="E55" s="13"/>
      <c r="F55" s="41"/>
      <c r="G55" s="13"/>
      <c r="H55" s="13"/>
      <c r="I55" s="13"/>
      <c r="J55" s="40"/>
      <c r="L55" s="117" t="s">
        <v>267</v>
      </c>
      <c r="M55" s="42"/>
      <c r="N55" s="274">
        <v>0.05</v>
      </c>
      <c r="O55" s="365" t="s">
        <v>227</v>
      </c>
      <c r="P55" s="81"/>
    </row>
    <row r="56" spans="1:16" ht="15.6">
      <c r="A56" s="98" t="s">
        <v>166</v>
      </c>
      <c r="B56" s="168">
        <f>C56/$C$60</f>
        <v>0</v>
      </c>
      <c r="C56" s="556">
        <v>0</v>
      </c>
      <c r="D56" s="346">
        <f>C56/$H$68</f>
        <v>0</v>
      </c>
      <c r="E56" s="13"/>
      <c r="F56" s="104" t="s">
        <v>299</v>
      </c>
      <c r="G56" s="13"/>
      <c r="H56" s="13"/>
      <c r="I56" s="13"/>
      <c r="J56" s="40"/>
    </row>
    <row r="57" spans="1:16" ht="15.6">
      <c r="A57" s="104" t="s">
        <v>423</v>
      </c>
      <c r="B57" s="184">
        <f>C57/$C$60</f>
        <v>0</v>
      </c>
      <c r="C57" s="558">
        <v>0</v>
      </c>
      <c r="D57" s="346">
        <f>C57/$H$68</f>
        <v>0</v>
      </c>
      <c r="E57" s="13"/>
      <c r="F57" s="101" t="s">
        <v>298</v>
      </c>
      <c r="G57" s="13"/>
      <c r="H57" s="273">
        <f>H19-H53</f>
        <v>0</v>
      </c>
      <c r="I57" s="110"/>
      <c r="J57" s="40"/>
    </row>
    <row r="58" spans="1:16" ht="15.6">
      <c r="A58" s="101" t="s">
        <v>107</v>
      </c>
      <c r="B58" s="168">
        <f>SUM(B55:B57)</f>
        <v>0</v>
      </c>
      <c r="C58" s="561">
        <f>SUM(C55:C57)</f>
        <v>0</v>
      </c>
      <c r="D58" s="346">
        <f>C58/$H$68</f>
        <v>0</v>
      </c>
      <c r="E58" s="13"/>
      <c r="F58" s="101" t="s">
        <v>408</v>
      </c>
      <c r="G58" s="97"/>
      <c r="H58" s="154"/>
      <c r="I58" s="110"/>
      <c r="J58" s="40"/>
    </row>
    <row r="59" spans="1:16">
      <c r="A59" s="41"/>
      <c r="B59" s="13"/>
      <c r="C59" s="560"/>
      <c r="D59" s="349"/>
      <c r="E59" s="13"/>
      <c r="F59" s="41"/>
      <c r="G59" s="13"/>
      <c r="H59" s="13"/>
      <c r="I59" s="13"/>
      <c r="J59" s="40"/>
    </row>
    <row r="60" spans="1:16" ht="16.8" thickBot="1">
      <c r="A60" s="187" t="s">
        <v>102</v>
      </c>
      <c r="B60" s="183">
        <f>B58+B52+B34</f>
        <v>1</v>
      </c>
      <c r="C60" s="562">
        <f>C58+C52+C34</f>
        <v>211507.14907439009</v>
      </c>
      <c r="D60" s="350">
        <f>C60/$H$68</f>
        <v>607.77916400686809</v>
      </c>
      <c r="E60" s="13"/>
      <c r="F60" s="101" t="s">
        <v>416</v>
      </c>
      <c r="G60" s="97"/>
      <c r="H60" s="154">
        <f>P17</f>
        <v>0</v>
      </c>
      <c r="I60" s="110"/>
      <c r="J60" s="40"/>
    </row>
    <row r="61" spans="1:16" ht="15.6">
      <c r="E61" s="13"/>
      <c r="F61" s="101"/>
      <c r="G61" s="13"/>
      <c r="H61" s="261"/>
      <c r="I61" s="110"/>
      <c r="J61" s="40"/>
    </row>
    <row r="62" spans="1:16" ht="16.2" thickBot="1">
      <c r="E62" s="13"/>
      <c r="F62" s="103" t="s">
        <v>420</v>
      </c>
      <c r="G62" s="42"/>
      <c r="H62" s="275">
        <f>H68*H72</f>
        <v>487200</v>
      </c>
      <c r="I62" s="203"/>
      <c r="J62" s="81"/>
    </row>
    <row r="63" spans="1:16" ht="13.8" thickBot="1">
      <c r="E63" s="13"/>
    </row>
    <row r="64" spans="1:16" ht="15.6">
      <c r="A64" s="94" t="s">
        <v>32</v>
      </c>
      <c r="B64" s="119"/>
      <c r="C64" s="202"/>
      <c r="D64" s="120"/>
      <c r="E64" s="13"/>
      <c r="F64" s="93" t="s">
        <v>5</v>
      </c>
      <c r="G64" s="200"/>
      <c r="H64" s="202"/>
      <c r="I64" s="38"/>
      <c r="J64" s="39"/>
    </row>
    <row r="65" spans="1:10" ht="15.6">
      <c r="A65" s="41"/>
      <c r="B65" s="13"/>
      <c r="C65" s="13"/>
      <c r="D65" s="40"/>
      <c r="E65" s="13"/>
      <c r="F65" s="182"/>
      <c r="G65" s="152"/>
      <c r="H65" s="110"/>
      <c r="I65" s="13"/>
      <c r="J65" s="40"/>
    </row>
    <row r="66" spans="1:10" ht="15.6">
      <c r="A66" s="341" t="s">
        <v>264</v>
      </c>
      <c r="B66" s="342"/>
      <c r="C66" s="343">
        <f>D60</f>
        <v>607.77916400686809</v>
      </c>
      <c r="D66" s="40"/>
      <c r="E66" s="13"/>
      <c r="F66" s="101" t="s">
        <v>125</v>
      </c>
      <c r="G66" s="13"/>
      <c r="H66" s="219">
        <f>(H12*H13)+(I12*I13)</f>
        <v>348</v>
      </c>
      <c r="I66" s="13"/>
      <c r="J66" s="40"/>
    </row>
    <row r="67" spans="1:10" ht="15.6">
      <c r="A67" s="521"/>
      <c r="B67" s="180"/>
      <c r="C67" s="180"/>
      <c r="D67" s="40"/>
      <c r="E67" s="13"/>
      <c r="F67" s="104" t="s">
        <v>90</v>
      </c>
      <c r="G67" s="13"/>
      <c r="H67" s="339">
        <v>0</v>
      </c>
      <c r="I67" s="13"/>
      <c r="J67" s="40"/>
    </row>
    <row r="68" spans="1:10" ht="15.6">
      <c r="A68" s="101"/>
      <c r="B68" s="97"/>
      <c r="C68" s="96" t="s">
        <v>34</v>
      </c>
      <c r="D68" s="171" t="s">
        <v>33</v>
      </c>
      <c r="E68" s="13"/>
      <c r="F68" s="118" t="s">
        <v>302</v>
      </c>
      <c r="G68" s="43"/>
      <c r="H68" s="358">
        <f>SUM(H66:H67)</f>
        <v>348</v>
      </c>
      <c r="I68" s="13"/>
      <c r="J68" s="40"/>
    </row>
    <row r="69" spans="1:10" ht="15.6">
      <c r="A69" s="104" t="s">
        <v>0</v>
      </c>
      <c r="B69" s="108"/>
      <c r="C69" s="109">
        <f>Debt!E68</f>
        <v>1.3</v>
      </c>
      <c r="D69" s="351">
        <f>Debt!E69</f>
        <v>1.2999999999999987</v>
      </c>
      <c r="E69" s="13"/>
      <c r="F69" s="41"/>
      <c r="G69" s="13"/>
      <c r="H69" s="13"/>
      <c r="I69" s="13"/>
      <c r="J69" s="40"/>
    </row>
    <row r="70" spans="1:10" ht="15.6">
      <c r="A70" s="41"/>
      <c r="B70" s="97"/>
      <c r="C70" s="13"/>
      <c r="D70" s="40"/>
      <c r="E70" s="13"/>
      <c r="F70" s="101" t="s">
        <v>345</v>
      </c>
      <c r="G70" s="13"/>
      <c r="H70" s="248">
        <v>140</v>
      </c>
      <c r="I70" s="13"/>
      <c r="J70" s="40"/>
    </row>
    <row r="71" spans="1:10" ht="15.6">
      <c r="A71" s="104" t="s">
        <v>328</v>
      </c>
      <c r="B71" s="13"/>
      <c r="C71" s="13"/>
      <c r="D71" s="40"/>
      <c r="E71" s="13"/>
      <c r="F71" s="101" t="s">
        <v>260</v>
      </c>
      <c r="G71" s="13"/>
      <c r="H71" s="248">
        <v>400</v>
      </c>
      <c r="I71" s="13"/>
      <c r="J71" s="40"/>
    </row>
    <row r="72" spans="1:10" ht="16.2" thickBot="1">
      <c r="A72" s="101" t="s">
        <v>429</v>
      </c>
      <c r="B72" s="97"/>
      <c r="C72" s="146">
        <f>'Returns Analysis'!C39</f>
        <v>6.4528879523277266E-2</v>
      </c>
      <c r="D72" s="40"/>
      <c r="E72" s="13"/>
      <c r="F72" s="103" t="s">
        <v>169</v>
      </c>
      <c r="G72" s="42"/>
      <c r="H72" s="257">
        <v>1400</v>
      </c>
      <c r="I72" s="42"/>
      <c r="J72" s="81"/>
    </row>
    <row r="73" spans="1:10" ht="15.6">
      <c r="A73" s="101" t="str">
        <f>CONCATENATE("20 Yrs After-Tax Cashflow with ",H23,"x EBITDA Exit Multiple Residual Value")</f>
        <v>20 Yrs After-Tax Cashflow with 5x EBITDA Exit Multiple Residual Value</v>
      </c>
      <c r="B73" s="13"/>
      <c r="C73" s="146">
        <f>'Returns Analysis'!C46</f>
        <v>6.4528879523277266E-2</v>
      </c>
      <c r="D73" s="171" t="s">
        <v>428</v>
      </c>
    </row>
    <row r="74" spans="1:10" ht="15.6">
      <c r="A74" s="101" t="str">
        <f>CONCATENATE("20 Yrs After-Tax Cashflow with ",H24*100,"% Initial Project Cost Residual Value")</f>
        <v>20 Yrs After-Tax Cashflow with 20% Initial Project Cost Residual Value</v>
      </c>
      <c r="B74" s="13"/>
      <c r="C74" s="146">
        <f>'Returns Analysis'!C53</f>
        <v>7.1632239222526553E-2</v>
      </c>
      <c r="D74" s="536">
        <v>0.12</v>
      </c>
      <c r="E74" s="97"/>
    </row>
    <row r="75" spans="1:10" ht="15.6">
      <c r="A75" s="101" t="str">
        <f>CONCATENATE("20 Yrs After-Tax Cashflow with $",H25,"/kW Residual Value")</f>
        <v>20 Yrs After-Tax Cashflow with $200/kW Residual Value</v>
      </c>
      <c r="B75" s="13"/>
      <c r="C75" s="146">
        <f>'Returns Analysis'!C60</f>
        <v>7.5602433085441609E-2</v>
      </c>
      <c r="D75" s="102"/>
      <c r="E75" s="97"/>
    </row>
    <row r="76" spans="1:10">
      <c r="A76" s="41"/>
      <c r="B76" s="13"/>
      <c r="C76" s="13"/>
      <c r="D76" s="40"/>
      <c r="E76" s="13"/>
    </row>
    <row r="77" spans="1:10" ht="15.6">
      <c r="A77" s="104" t="s">
        <v>87</v>
      </c>
      <c r="B77" s="96">
        <f>IS!C7</f>
        <v>2001</v>
      </c>
      <c r="C77" s="96">
        <f>IS!D7</f>
        <v>2002</v>
      </c>
      <c r="D77" s="171">
        <f>IS!E7</f>
        <v>2003</v>
      </c>
      <c r="E77" s="13"/>
    </row>
    <row r="78" spans="1:10" ht="15.6">
      <c r="A78" s="101" t="s">
        <v>98</v>
      </c>
      <c r="B78" s="111">
        <f>IS!C32</f>
        <v>15997.759999999998</v>
      </c>
      <c r="C78" s="111">
        <f>IS!D32</f>
        <v>24188.639999999999</v>
      </c>
      <c r="D78" s="166">
        <f>IS!E32</f>
        <v>24180.479999999996</v>
      </c>
      <c r="E78" s="13"/>
    </row>
    <row r="79" spans="1:10" ht="15.6">
      <c r="A79" s="101" t="s">
        <v>99</v>
      </c>
      <c r="B79" s="111">
        <f>IS!C45</f>
        <v>3757.3640972305275</v>
      </c>
      <c r="C79" s="111">
        <f>IS!D45</f>
        <v>6221.5692350920926</v>
      </c>
      <c r="D79" s="166">
        <f>IS!E45</f>
        <v>6865.9420581080703</v>
      </c>
      <c r="E79" s="13"/>
    </row>
    <row r="80" spans="1:10" ht="15.6">
      <c r="A80" s="101" t="s">
        <v>100</v>
      </c>
      <c r="B80" s="111">
        <f>'Returns Analysis'!C13</f>
        <v>13175.7802863623</v>
      </c>
      <c r="C80" s="111">
        <f>'Returns Analysis'!D13</f>
        <v>18109.949061223</v>
      </c>
      <c r="D80" s="166">
        <f>'Returns Analysis'!E13</f>
        <v>19152.30181505992</v>
      </c>
      <c r="E80" s="13"/>
    </row>
    <row r="81" spans="1:9" ht="16.2" thickBot="1">
      <c r="A81" s="103" t="s">
        <v>358</v>
      </c>
      <c r="B81" s="112">
        <f>'Returns Analysis'!C21</f>
        <v>8132.5466853145626</v>
      </c>
      <c r="C81" s="112">
        <f>'Returns Analysis'!D21</f>
        <v>5631.3897949524035</v>
      </c>
      <c r="D81" s="193">
        <f>'Returns Analysis'!E21</f>
        <v>5578.5458377239156</v>
      </c>
      <c r="E81" s="13"/>
    </row>
    <row r="82" spans="1:9">
      <c r="E82" s="13"/>
    </row>
    <row r="83" spans="1:9">
      <c r="E83" s="13"/>
    </row>
    <row r="84" spans="1:9" ht="15.6">
      <c r="E84" s="46"/>
    </row>
    <row r="86" spans="1:9" ht="15.6">
      <c r="E86" s="97"/>
    </row>
    <row r="87" spans="1:9" ht="15.6">
      <c r="E87" s="97"/>
    </row>
    <row r="88" spans="1:9" ht="15.6">
      <c r="E88" s="97"/>
    </row>
    <row r="89" spans="1:9" ht="15.6">
      <c r="E89" s="97"/>
    </row>
    <row r="90" spans="1:9">
      <c r="E90" s="13"/>
    </row>
    <row r="91" spans="1:9" ht="15.6">
      <c r="E91" s="97"/>
    </row>
    <row r="92" spans="1:9" ht="15.6">
      <c r="E92" s="97"/>
    </row>
    <row r="93" spans="1:9">
      <c r="E93" s="13"/>
    </row>
    <row r="94" spans="1:9" ht="15.6">
      <c r="E94" s="13"/>
      <c r="I94" s="159"/>
    </row>
    <row r="95" spans="1:9" ht="15.6">
      <c r="E95" s="97"/>
    </row>
    <row r="96" spans="1:9" ht="15.6">
      <c r="E96" s="97"/>
    </row>
    <row r="97" spans="5:5" ht="15.6">
      <c r="E97" s="97"/>
    </row>
    <row r="98" spans="5:5" ht="15.6">
      <c r="E98" s="96"/>
    </row>
    <row r="99" spans="5:5" ht="15.6">
      <c r="E99" s="111"/>
    </row>
    <row r="100" spans="5:5" ht="15.6">
      <c r="E100" s="111"/>
    </row>
    <row r="101" spans="5:5" ht="15.6">
      <c r="E101" s="111"/>
    </row>
    <row r="102" spans="5:5" ht="15.6">
      <c r="E102" s="111"/>
    </row>
    <row r="118" spans="9:9" ht="15.6">
      <c r="I118" s="159"/>
    </row>
    <row r="119" spans="9:9" ht="15.6">
      <c r="I119" s="159"/>
    </row>
    <row r="120" spans="9:9" ht="15.6">
      <c r="I120" s="159"/>
    </row>
    <row r="121" spans="9:9" ht="15.6">
      <c r="I121" s="159"/>
    </row>
    <row r="122" spans="9:9" ht="15.6">
      <c r="I122" s="159"/>
    </row>
    <row r="123" spans="9:9" ht="15.6">
      <c r="I123" s="159"/>
    </row>
    <row r="124" spans="9:9" ht="15.6">
      <c r="I124" s="159"/>
    </row>
    <row r="125" spans="9:9" ht="15.6">
      <c r="I125" s="159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6">
      <c r="J132" s="160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6">
      <c r="J136" s="13"/>
      <c r="K136" s="13"/>
      <c r="L136" s="155"/>
      <c r="M136" s="154"/>
      <c r="N136" s="154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6">
      <c r="J137" s="154"/>
      <c r="K137" s="154"/>
      <c r="L137" s="153"/>
      <c r="M137" s="156"/>
      <c r="N137" s="156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6">
      <c r="J138" s="156"/>
      <c r="K138" s="156"/>
      <c r="L138" s="158"/>
      <c r="M138" s="157"/>
      <c r="N138" s="157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6">
      <c r="J139" s="157"/>
      <c r="K139" s="157"/>
      <c r="L139" s="158"/>
      <c r="M139" s="157"/>
      <c r="N139" s="157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6">
      <c r="J140" s="157"/>
      <c r="K140" s="157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6">
      <c r="J143" s="160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6">
      <c r="J150" s="154"/>
    </row>
    <row r="151" spans="10:10" ht="15.6">
      <c r="J151" s="156"/>
    </row>
    <row r="152" spans="10:10" ht="15.6">
      <c r="J152" s="157"/>
    </row>
    <row r="153" spans="10:10" ht="15.6">
      <c r="J153" s="157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2362200</xdr:colOff>
                    <xdr:row>28</xdr:row>
                    <xdr:rowOff>0</xdr:rowOff>
                  </from>
                  <to>
                    <xdr:col>13</xdr:col>
                    <xdr:colOff>30480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198120</xdr:rowOff>
                  </from>
                  <to>
                    <xdr:col>7</xdr:col>
                    <xdr:colOff>1226820</xdr:colOff>
                    <xdr:row>58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7620</xdr:rowOff>
                  </from>
                  <to>
                    <xdr:col>9</xdr:col>
                    <xdr:colOff>0</xdr:colOff>
                    <xdr:row>60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182880</xdr:rowOff>
                  </from>
                  <to>
                    <xdr:col>6</xdr:col>
                    <xdr:colOff>1226820</xdr:colOff>
                    <xdr:row>27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1"/>
  <sheetViews>
    <sheetView topLeftCell="A86" zoomScale="75" workbookViewId="0">
      <selection activeCell="D108" sqref="D108"/>
    </sheetView>
  </sheetViews>
  <sheetFormatPr defaultRowHeight="13.2"/>
  <cols>
    <col min="1" max="1" width="3.44140625" customWidth="1"/>
    <col min="2" max="2" width="25.5546875" customWidth="1"/>
    <col min="3" max="3" width="1" customWidth="1"/>
    <col min="4" max="4" width="20.33203125" customWidth="1"/>
  </cols>
  <sheetData>
    <row r="2" spans="2:4">
      <c r="D2" s="533" t="s">
        <v>528</v>
      </c>
    </row>
    <row r="4" spans="2:4">
      <c r="B4" t="s">
        <v>332</v>
      </c>
      <c r="D4">
        <v>6</v>
      </c>
    </row>
    <row r="5" spans="2:4">
      <c r="B5" t="s">
        <v>442</v>
      </c>
      <c r="D5">
        <v>345</v>
      </c>
    </row>
    <row r="7" spans="2:4">
      <c r="D7" s="548" t="s">
        <v>477</v>
      </c>
    </row>
    <row r="8" spans="2:4">
      <c r="B8" s="544" t="s">
        <v>453</v>
      </c>
    </row>
    <row r="9" spans="2:4">
      <c r="B9" t="s">
        <v>438</v>
      </c>
      <c r="D9" s="545">
        <v>840.93799999999999</v>
      </c>
    </row>
    <row r="10" spans="2:4">
      <c r="B10" t="s">
        <v>439</v>
      </c>
      <c r="D10" s="545">
        <v>1105.873</v>
      </c>
    </row>
    <row r="11" spans="2:4">
      <c r="B11" t="s">
        <v>440</v>
      </c>
      <c r="D11" s="547">
        <v>255.21600000000001</v>
      </c>
    </row>
    <row r="12" spans="2:4">
      <c r="D12" s="554">
        <f>SUM(D9:D11)</f>
        <v>2202.027</v>
      </c>
    </row>
    <row r="14" spans="2:4">
      <c r="B14" s="544" t="s">
        <v>452</v>
      </c>
    </row>
    <row r="15" spans="2:4">
      <c r="B15" t="s">
        <v>441</v>
      </c>
      <c r="D15" s="545">
        <v>741.60199999999998</v>
      </c>
    </row>
    <row r="16" spans="2:4">
      <c r="B16" t="s">
        <v>443</v>
      </c>
      <c r="D16" s="545">
        <v>296.92200000000003</v>
      </c>
    </row>
    <row r="17" spans="2:4">
      <c r="B17" t="s">
        <v>444</v>
      </c>
      <c r="D17" s="545">
        <v>293.85599999999999</v>
      </c>
    </row>
    <row r="18" spans="2:4">
      <c r="B18" t="s">
        <v>445</v>
      </c>
      <c r="D18" s="545">
        <v>926.82100000000003</v>
      </c>
    </row>
    <row r="19" spans="2:4">
      <c r="B19" t="s">
        <v>446</v>
      </c>
      <c r="D19" s="545">
        <v>630</v>
      </c>
    </row>
    <row r="20" spans="2:4">
      <c r="B20" t="s">
        <v>447</v>
      </c>
      <c r="D20" s="547">
        <v>9.4499999999999993</v>
      </c>
    </row>
    <row r="21" spans="2:4">
      <c r="D21" s="549">
        <f>SUM(D15:D20)</f>
        <v>2898.6509999999998</v>
      </c>
    </row>
    <row r="22" spans="2:4">
      <c r="D22" s="549"/>
    </row>
    <row r="23" spans="2:4">
      <c r="B23" s="544" t="s">
        <v>450</v>
      </c>
    </row>
    <row r="24" spans="2:4">
      <c r="B24" t="s">
        <v>448</v>
      </c>
      <c r="D24" s="549">
        <v>1717.066</v>
      </c>
    </row>
    <row r="26" spans="2:4">
      <c r="B26" s="544" t="s">
        <v>451</v>
      </c>
    </row>
    <row r="27" spans="2:4">
      <c r="B27" s="544" t="s">
        <v>449</v>
      </c>
    </row>
    <row r="28" spans="2:4">
      <c r="B28" t="s">
        <v>454</v>
      </c>
      <c r="D28" s="545">
        <v>86040</v>
      </c>
    </row>
    <row r="29" spans="2:4">
      <c r="B29" t="s">
        <v>437</v>
      </c>
      <c r="D29" s="545">
        <v>600</v>
      </c>
    </row>
    <row r="30" spans="2:4">
      <c r="B30" t="s">
        <v>455</v>
      </c>
      <c r="D30" s="545">
        <v>0</v>
      </c>
    </row>
    <row r="31" spans="2:4">
      <c r="B31" t="s">
        <v>456</v>
      </c>
      <c r="D31" s="545">
        <v>1680</v>
      </c>
    </row>
    <row r="32" spans="2:4">
      <c r="B32" t="s">
        <v>457</v>
      </c>
      <c r="D32" s="545">
        <v>16800</v>
      </c>
    </row>
    <row r="33" spans="2:4" ht="15">
      <c r="B33" t="s">
        <v>458</v>
      </c>
      <c r="D33" s="551">
        <v>8000</v>
      </c>
    </row>
    <row r="34" spans="2:4">
      <c r="D34" s="550">
        <f>SUM(D28:D33)</f>
        <v>113120</v>
      </c>
    </row>
    <row r="35" spans="2:4">
      <c r="D35" s="550"/>
    </row>
    <row r="36" spans="2:4">
      <c r="B36" s="544" t="s">
        <v>459</v>
      </c>
    </row>
    <row r="37" spans="2:4">
      <c r="B37" t="s">
        <v>460</v>
      </c>
      <c r="D37" s="545">
        <v>787.5</v>
      </c>
    </row>
    <row r="38" spans="2:4">
      <c r="B38" t="s">
        <v>461</v>
      </c>
      <c r="D38" s="545">
        <v>854.29600000000005</v>
      </c>
    </row>
    <row r="39" spans="2:4">
      <c r="B39" t="s">
        <v>462</v>
      </c>
      <c r="D39" s="545">
        <v>460</v>
      </c>
    </row>
    <row r="40" spans="2:4">
      <c r="B40" t="s">
        <v>463</v>
      </c>
      <c r="D40" s="545">
        <v>24.88</v>
      </c>
    </row>
    <row r="41" spans="2:4">
      <c r="B41" t="s">
        <v>464</v>
      </c>
      <c r="D41" s="545">
        <v>2872</v>
      </c>
    </row>
    <row r="42" spans="2:4">
      <c r="B42" t="s">
        <v>465</v>
      </c>
      <c r="D42" s="545">
        <v>1160.0440000000001</v>
      </c>
    </row>
    <row r="43" spans="2:4">
      <c r="B43" t="s">
        <v>466</v>
      </c>
      <c r="D43" s="545">
        <v>140.506</v>
      </c>
    </row>
    <row r="44" spans="2:4">
      <c r="B44" t="s">
        <v>467</v>
      </c>
      <c r="D44" s="545">
        <v>139.506</v>
      </c>
    </row>
    <row r="45" spans="2:4">
      <c r="B45" t="s">
        <v>468</v>
      </c>
      <c r="D45" s="545">
        <v>222.761</v>
      </c>
    </row>
    <row r="46" spans="2:4">
      <c r="B46" t="s">
        <v>469</v>
      </c>
      <c r="D46" s="545">
        <v>1512.058</v>
      </c>
    </row>
    <row r="47" spans="2:4">
      <c r="B47" t="s">
        <v>470</v>
      </c>
      <c r="D47" s="545">
        <v>466.6</v>
      </c>
    </row>
    <row r="48" spans="2:4">
      <c r="B48" t="s">
        <v>471</v>
      </c>
      <c r="D48" s="545">
        <v>66.063999999999993</v>
      </c>
    </row>
    <row r="49" spans="2:4">
      <c r="B49" t="s">
        <v>472</v>
      </c>
      <c r="D49" s="545">
        <v>662.02499999999998</v>
      </c>
    </row>
    <row r="50" spans="2:4">
      <c r="B50" t="s">
        <v>473</v>
      </c>
      <c r="D50" s="545">
        <v>62.337000000000003</v>
      </c>
    </row>
    <row r="51" spans="2:4">
      <c r="B51" t="s">
        <v>474</v>
      </c>
      <c r="D51" s="545">
        <v>201.55600000000001</v>
      </c>
    </row>
    <row r="52" spans="2:4">
      <c r="B52" t="s">
        <v>475</v>
      </c>
      <c r="D52" s="545">
        <v>0</v>
      </c>
    </row>
    <row r="53" spans="2:4">
      <c r="B53" t="s">
        <v>476</v>
      </c>
      <c r="D53" s="545">
        <v>427.5</v>
      </c>
    </row>
    <row r="54" spans="2:4">
      <c r="B54" t="s">
        <v>478</v>
      </c>
      <c r="D54" s="545">
        <v>1509.248</v>
      </c>
    </row>
    <row r="55" spans="2:4">
      <c r="B55" t="s">
        <v>479</v>
      </c>
      <c r="D55" s="545">
        <v>2060.5</v>
      </c>
    </row>
    <row r="56" spans="2:4">
      <c r="B56" t="s">
        <v>480</v>
      </c>
      <c r="D56" s="545">
        <v>0</v>
      </c>
    </row>
    <row r="57" spans="2:4">
      <c r="B57" t="s">
        <v>481</v>
      </c>
      <c r="D57" s="545">
        <v>0</v>
      </c>
    </row>
    <row r="58" spans="2:4">
      <c r="B58" t="s">
        <v>327</v>
      </c>
      <c r="D58" s="545">
        <v>2120</v>
      </c>
    </row>
    <row r="59" spans="2:4">
      <c r="B59" t="s">
        <v>482</v>
      </c>
      <c r="D59" s="545">
        <v>168</v>
      </c>
    </row>
    <row r="60" spans="2:4">
      <c r="B60" t="s">
        <v>483</v>
      </c>
      <c r="D60" s="545">
        <v>5571</v>
      </c>
    </row>
    <row r="61" spans="2:4">
      <c r="B61" t="s">
        <v>484</v>
      </c>
      <c r="D61" s="545">
        <v>626.4</v>
      </c>
    </row>
    <row r="62" spans="2:4">
      <c r="B62" t="s">
        <v>485</v>
      </c>
      <c r="D62" s="545">
        <v>82.35</v>
      </c>
    </row>
    <row r="63" spans="2:4">
      <c r="B63" t="s">
        <v>486</v>
      </c>
      <c r="D63" s="545">
        <v>547.125</v>
      </c>
    </row>
    <row r="64" spans="2:4">
      <c r="B64" t="s">
        <v>487</v>
      </c>
      <c r="D64" s="545">
        <v>2250</v>
      </c>
    </row>
    <row r="65" spans="2:4">
      <c r="B65" t="s">
        <v>488</v>
      </c>
      <c r="D65" s="545">
        <v>532.5</v>
      </c>
    </row>
    <row r="66" spans="2:4" ht="15">
      <c r="B66" t="s">
        <v>489</v>
      </c>
      <c r="D66" s="551">
        <v>566.54399999999998</v>
      </c>
    </row>
    <row r="67" spans="2:4">
      <c r="D67" s="550">
        <f>SUM(D37:D66)</f>
        <v>26093.300000000003</v>
      </c>
    </row>
    <row r="68" spans="2:4">
      <c r="D68" s="552"/>
    </row>
    <row r="69" spans="2:4">
      <c r="B69" t="s">
        <v>490</v>
      </c>
      <c r="D69" s="549">
        <v>9107.66</v>
      </c>
    </row>
    <row r="71" spans="2:4">
      <c r="B71" s="544" t="s">
        <v>491</v>
      </c>
    </row>
    <row r="72" spans="2:4">
      <c r="B72" t="s">
        <v>492</v>
      </c>
      <c r="D72" s="545">
        <v>1113.327</v>
      </c>
    </row>
    <row r="73" spans="2:4">
      <c r="B73" t="s">
        <v>493</v>
      </c>
      <c r="D73" s="545">
        <v>939.47199999999998</v>
      </c>
    </row>
    <row r="74" spans="2:4">
      <c r="B74" t="s">
        <v>494</v>
      </c>
      <c r="D74" s="545">
        <v>1271.4760000000001</v>
      </c>
    </row>
    <row r="75" spans="2:4">
      <c r="B75" t="s">
        <v>495</v>
      </c>
      <c r="D75" s="545">
        <v>2447.1880000000001</v>
      </c>
    </row>
    <row r="76" spans="2:4">
      <c r="B76" t="s">
        <v>496</v>
      </c>
      <c r="D76" s="545">
        <v>103.705</v>
      </c>
    </row>
    <row r="77" spans="2:4">
      <c r="B77" t="s">
        <v>497</v>
      </c>
      <c r="D77" s="545">
        <v>268.83</v>
      </c>
    </row>
    <row r="78" spans="2:4">
      <c r="B78" t="s">
        <v>498</v>
      </c>
      <c r="D78" s="545">
        <v>16.344000000000001</v>
      </c>
    </row>
    <row r="79" spans="2:4">
      <c r="B79" t="s">
        <v>499</v>
      </c>
      <c r="D79" s="545">
        <v>315.09899999999999</v>
      </c>
    </row>
    <row r="80" spans="2:4">
      <c r="B80" t="s">
        <v>500</v>
      </c>
      <c r="D80" s="545">
        <v>3979.895</v>
      </c>
    </row>
    <row r="81" spans="2:4">
      <c r="B81" t="s">
        <v>501</v>
      </c>
      <c r="D81" s="545">
        <v>2414.8580000000002</v>
      </c>
    </row>
    <row r="82" spans="2:4">
      <c r="B82" t="s">
        <v>502</v>
      </c>
      <c r="D82" s="545">
        <v>620.35599999999999</v>
      </c>
    </row>
    <row r="83" spans="2:4">
      <c r="B83" t="s">
        <v>506</v>
      </c>
      <c r="D83" s="545">
        <v>986.44200000000001</v>
      </c>
    </row>
    <row r="84" spans="2:4">
      <c r="B84" t="s">
        <v>503</v>
      </c>
      <c r="D84" s="545">
        <v>65.679000000000002</v>
      </c>
    </row>
    <row r="85" spans="2:4">
      <c r="B85" t="s">
        <v>504</v>
      </c>
      <c r="D85" s="553">
        <v>3362.7550000000001</v>
      </c>
    </row>
    <row r="86" spans="2:4">
      <c r="D86" s="549">
        <f>SUM(D72:D85)</f>
        <v>17905.425999999999</v>
      </c>
    </row>
    <row r="88" spans="2:4">
      <c r="B88" s="544" t="s">
        <v>505</v>
      </c>
    </row>
    <row r="89" spans="2:4">
      <c r="B89" t="s">
        <v>507</v>
      </c>
      <c r="D89" s="545">
        <v>1107.645</v>
      </c>
    </row>
    <row r="90" spans="2:4">
      <c r="B90" t="s">
        <v>508</v>
      </c>
      <c r="D90" s="545">
        <v>17.5</v>
      </c>
    </row>
    <row r="91" spans="2:4">
      <c r="B91" t="s">
        <v>509</v>
      </c>
      <c r="D91" s="545">
        <v>191.25</v>
      </c>
    </row>
    <row r="92" spans="2:4">
      <c r="B92" t="s">
        <v>510</v>
      </c>
      <c r="D92" s="545">
        <v>49</v>
      </c>
    </row>
    <row r="93" spans="2:4" ht="15">
      <c r="B93" t="s">
        <v>511</v>
      </c>
      <c r="D93" s="551">
        <v>165.952</v>
      </c>
    </row>
    <row r="94" spans="2:4">
      <c r="D94" s="549">
        <f>SUM(D89:D93)</f>
        <v>1531.347</v>
      </c>
    </row>
    <row r="96" spans="2:4">
      <c r="B96" s="544" t="s">
        <v>512</v>
      </c>
      <c r="D96" s="549">
        <v>100</v>
      </c>
    </row>
    <row r="98" spans="2:4">
      <c r="B98" s="544" t="s">
        <v>513</v>
      </c>
    </row>
    <row r="99" spans="2:4">
      <c r="B99" t="s">
        <v>514</v>
      </c>
      <c r="D99" s="545">
        <v>0</v>
      </c>
    </row>
    <row r="100" spans="2:4">
      <c r="B100" t="s">
        <v>515</v>
      </c>
      <c r="D100" s="545">
        <v>0</v>
      </c>
    </row>
    <row r="101" spans="2:4">
      <c r="B101" t="s">
        <v>516</v>
      </c>
      <c r="D101" s="545">
        <v>0</v>
      </c>
    </row>
    <row r="102" spans="2:4">
      <c r="B102" t="s">
        <v>517</v>
      </c>
      <c r="D102" s="545">
        <v>188.4</v>
      </c>
    </row>
    <row r="103" spans="2:4">
      <c r="B103" t="s">
        <v>518</v>
      </c>
      <c r="D103" s="545">
        <v>7500</v>
      </c>
    </row>
    <row r="104" spans="2:4">
      <c r="B104" t="s">
        <v>519</v>
      </c>
      <c r="D104" s="545">
        <v>1500</v>
      </c>
    </row>
    <row r="105" spans="2:4">
      <c r="B105" t="s">
        <v>520</v>
      </c>
      <c r="D105" s="545">
        <v>1400</v>
      </c>
    </row>
    <row r="106" spans="2:4">
      <c r="B106" t="s">
        <v>521</v>
      </c>
      <c r="D106" s="545">
        <v>600</v>
      </c>
    </row>
    <row r="107" spans="2:4" ht="15">
      <c r="B107" t="s">
        <v>522</v>
      </c>
      <c r="D107" s="551">
        <v>0</v>
      </c>
    </row>
    <row r="108" spans="2:4">
      <c r="D108" s="550">
        <f>SUM(D99:D107)</f>
        <v>11188.4</v>
      </c>
    </row>
    <row r="111" spans="2:4">
      <c r="B111" s="544" t="s">
        <v>523</v>
      </c>
      <c r="D111" s="550">
        <f>D108+D96+D86+D69+D67+D34+D24+D21+D12</f>
        <v>184332.53000000003</v>
      </c>
    </row>
    <row r="112" spans="2:4">
      <c r="B112" s="544"/>
    </row>
    <row r="113" spans="2:4">
      <c r="B113" s="544" t="s">
        <v>524</v>
      </c>
      <c r="D113" s="549">
        <v>3717.0770000000002</v>
      </c>
    </row>
    <row r="115" spans="2:4">
      <c r="B115" s="544" t="s">
        <v>525</v>
      </c>
      <c r="D115" s="549">
        <f>D113+D111</f>
        <v>188049.60700000002</v>
      </c>
    </row>
    <row r="117" spans="2:4">
      <c r="B117" t="s">
        <v>173</v>
      </c>
      <c r="D117" s="545">
        <v>3791.4189999999999</v>
      </c>
    </row>
    <row r="118" spans="2:4" ht="15">
      <c r="B118" t="s">
        <v>526</v>
      </c>
      <c r="D118" s="551">
        <v>5687.1279999999997</v>
      </c>
    </row>
    <row r="119" spans="2:4">
      <c r="D119" s="550">
        <f>SUM(D117:D118)</f>
        <v>9478.5469999999987</v>
      </c>
    </row>
    <row r="121" spans="2:4">
      <c r="B121" t="s">
        <v>527</v>
      </c>
      <c r="D121" s="549">
        <f>D119+D115</f>
        <v>197528.15400000001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topLeftCell="D7" zoomScale="75" zoomScaleNormal="75" workbookViewId="0">
      <selection activeCell="D38" sqref="D38"/>
    </sheetView>
  </sheetViews>
  <sheetFormatPr defaultColWidth="9.33203125" defaultRowHeight="15.6"/>
  <cols>
    <col min="1" max="1" width="19" style="46" bestFit="1" customWidth="1"/>
    <col min="2" max="2" width="45.109375" style="46" bestFit="1" customWidth="1"/>
    <col min="3" max="3" width="3.6640625" style="46" customWidth="1"/>
    <col min="4" max="7" width="9.88671875" style="46" customWidth="1"/>
    <col min="8" max="9" width="11.5546875" style="46" customWidth="1"/>
    <col min="10" max="10" width="10.33203125" style="46" customWidth="1"/>
    <col min="11" max="24" width="9.88671875" style="46" customWidth="1"/>
    <col min="25" max="16384" width="9.33203125" style="46"/>
  </cols>
  <sheetData>
    <row r="2" spans="1:63" ht="17.399999999999999">
      <c r="B2" s="86" t="str">
        <f>Assumptions!A3</f>
        <v>PROJECT NAME: Homestead, Florida</v>
      </c>
    </row>
    <row r="3" spans="1:63" ht="12" customHeight="1">
      <c r="B3" s="26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63" ht="17.399999999999999">
      <c r="B4" s="170" t="s">
        <v>394</v>
      </c>
      <c r="C4" s="67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</row>
    <row r="5" spans="1:63" ht="17.399999999999999">
      <c r="B5" s="207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</row>
    <row r="6" spans="1:63">
      <c r="B6" s="13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7"/>
      <c r="C7" s="97"/>
      <c r="D7" s="212">
        <f>(Assumptions!H18/12)</f>
        <v>0.66666666666666663</v>
      </c>
      <c r="E7" s="212">
        <f>D7+1</f>
        <v>1.6666666666666665</v>
      </c>
      <c r="F7" s="212">
        <f t="shared" ref="F7:Y7" si="0">E7+1</f>
        <v>2.6666666666666665</v>
      </c>
      <c r="G7" s="212">
        <f t="shared" si="0"/>
        <v>3.6666666666666665</v>
      </c>
      <c r="H7" s="212">
        <f t="shared" si="0"/>
        <v>4.6666666666666661</v>
      </c>
      <c r="I7" s="212">
        <f t="shared" si="0"/>
        <v>5.6666666666666661</v>
      </c>
      <c r="J7" s="212">
        <f t="shared" si="0"/>
        <v>6.6666666666666661</v>
      </c>
      <c r="K7" s="212">
        <f t="shared" si="0"/>
        <v>7.6666666666666661</v>
      </c>
      <c r="L7" s="212">
        <f t="shared" si="0"/>
        <v>8.6666666666666661</v>
      </c>
      <c r="M7" s="212">
        <f t="shared" si="0"/>
        <v>9.6666666666666661</v>
      </c>
      <c r="N7" s="212">
        <f t="shared" si="0"/>
        <v>10.666666666666666</v>
      </c>
      <c r="O7" s="212">
        <f t="shared" si="0"/>
        <v>11.666666666666666</v>
      </c>
      <c r="P7" s="212">
        <f t="shared" si="0"/>
        <v>12.666666666666666</v>
      </c>
      <c r="Q7" s="212">
        <f t="shared" si="0"/>
        <v>13.666666666666666</v>
      </c>
      <c r="R7" s="212">
        <f t="shared" si="0"/>
        <v>14.666666666666666</v>
      </c>
      <c r="S7" s="212">
        <f t="shared" si="0"/>
        <v>15.666666666666666</v>
      </c>
      <c r="T7" s="212">
        <f t="shared" si="0"/>
        <v>16.666666666666664</v>
      </c>
      <c r="U7" s="212">
        <f t="shared" si="0"/>
        <v>17.666666666666664</v>
      </c>
      <c r="V7" s="212">
        <f t="shared" si="0"/>
        <v>18.666666666666664</v>
      </c>
      <c r="W7" s="212">
        <f t="shared" si="0"/>
        <v>19.666666666666664</v>
      </c>
      <c r="X7" s="212">
        <f t="shared" si="0"/>
        <v>20.666666666666664</v>
      </c>
      <c r="Y7" s="212">
        <f t="shared" si="0"/>
        <v>21.666666666666664</v>
      </c>
      <c r="Z7" s="212">
        <f t="shared" ref="Z7:AG7" si="1">Y7+1</f>
        <v>22.666666666666664</v>
      </c>
      <c r="AA7" s="212">
        <f t="shared" si="1"/>
        <v>23.666666666666664</v>
      </c>
      <c r="AB7" s="212">
        <f t="shared" si="1"/>
        <v>24.666666666666664</v>
      </c>
      <c r="AC7" s="212">
        <f t="shared" si="1"/>
        <v>25.666666666666664</v>
      </c>
      <c r="AD7" s="212">
        <f t="shared" si="1"/>
        <v>26.666666666666664</v>
      </c>
      <c r="AE7" s="212">
        <f t="shared" si="1"/>
        <v>27.666666666666664</v>
      </c>
      <c r="AF7" s="212">
        <f t="shared" si="1"/>
        <v>28.666666666666664</v>
      </c>
      <c r="AG7" s="212">
        <f t="shared" si="1"/>
        <v>29.666666666666664</v>
      </c>
      <c r="AH7" s="212">
        <f>AG7+1</f>
        <v>30.666666666666664</v>
      </c>
    </row>
    <row r="8" spans="1:63" ht="16.2" thickBot="1">
      <c r="B8" s="209"/>
      <c r="C8" s="209"/>
      <c r="D8" s="513">
        <f>YEAR(Assumptions!H17)</f>
        <v>2001</v>
      </c>
      <c r="E8" s="513">
        <f t="shared" ref="E8:X8" si="2">D8+1</f>
        <v>2002</v>
      </c>
      <c r="F8" s="513">
        <f t="shared" si="2"/>
        <v>2003</v>
      </c>
      <c r="G8" s="513">
        <f t="shared" si="2"/>
        <v>2004</v>
      </c>
      <c r="H8" s="513">
        <f t="shared" si="2"/>
        <v>2005</v>
      </c>
      <c r="I8" s="513">
        <f t="shared" si="2"/>
        <v>2006</v>
      </c>
      <c r="J8" s="513">
        <f t="shared" si="2"/>
        <v>2007</v>
      </c>
      <c r="K8" s="513">
        <f t="shared" si="2"/>
        <v>2008</v>
      </c>
      <c r="L8" s="513">
        <f t="shared" si="2"/>
        <v>2009</v>
      </c>
      <c r="M8" s="513">
        <f t="shared" si="2"/>
        <v>2010</v>
      </c>
      <c r="N8" s="513">
        <f t="shared" si="2"/>
        <v>2011</v>
      </c>
      <c r="O8" s="513">
        <f t="shared" si="2"/>
        <v>2012</v>
      </c>
      <c r="P8" s="513">
        <f t="shared" si="2"/>
        <v>2013</v>
      </c>
      <c r="Q8" s="513">
        <f t="shared" si="2"/>
        <v>2014</v>
      </c>
      <c r="R8" s="513">
        <f t="shared" si="2"/>
        <v>2015</v>
      </c>
      <c r="S8" s="513">
        <f t="shared" si="2"/>
        <v>2016</v>
      </c>
      <c r="T8" s="513">
        <f t="shared" si="2"/>
        <v>2017</v>
      </c>
      <c r="U8" s="513">
        <f t="shared" si="2"/>
        <v>2018</v>
      </c>
      <c r="V8" s="513">
        <f t="shared" si="2"/>
        <v>2019</v>
      </c>
      <c r="W8" s="513">
        <f t="shared" si="2"/>
        <v>2020</v>
      </c>
      <c r="X8" s="513">
        <f t="shared" si="2"/>
        <v>2021</v>
      </c>
      <c r="Y8" s="513">
        <f>X8+1</f>
        <v>2022</v>
      </c>
      <c r="Z8" s="513">
        <f t="shared" ref="Z8:AG8" si="3">Y8+1</f>
        <v>2023</v>
      </c>
      <c r="AA8" s="513">
        <f t="shared" si="3"/>
        <v>2024</v>
      </c>
      <c r="AB8" s="513">
        <f t="shared" si="3"/>
        <v>2025</v>
      </c>
      <c r="AC8" s="513">
        <f t="shared" si="3"/>
        <v>2026</v>
      </c>
      <c r="AD8" s="513">
        <f t="shared" si="3"/>
        <v>2027</v>
      </c>
      <c r="AE8" s="513">
        <f t="shared" si="3"/>
        <v>2028</v>
      </c>
      <c r="AF8" s="513">
        <f t="shared" si="3"/>
        <v>2029</v>
      </c>
      <c r="AG8" s="513">
        <f t="shared" si="3"/>
        <v>2030</v>
      </c>
      <c r="AH8" s="513">
        <f>AG8+1</f>
        <v>2031</v>
      </c>
    </row>
    <row r="9" spans="1:63">
      <c r="B9" s="97"/>
      <c r="C9" s="97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63">
      <c r="A10" s="12"/>
      <c r="B10" s="490" t="s">
        <v>407</v>
      </c>
      <c r="C10" s="13"/>
      <c r="D10" s="357"/>
      <c r="E10" s="357"/>
      <c r="F10" s="357"/>
      <c r="G10" s="357"/>
      <c r="H10" s="357"/>
      <c r="I10" s="357"/>
      <c r="J10" s="357"/>
      <c r="K10" s="357"/>
      <c r="L10" s="357"/>
      <c r="M10" s="357"/>
      <c r="N10" s="357"/>
      <c r="O10" s="357"/>
      <c r="P10" s="357"/>
      <c r="Q10" s="357"/>
      <c r="R10" s="357"/>
      <c r="S10" s="357"/>
      <c r="T10" s="357"/>
      <c r="U10" s="357"/>
      <c r="V10" s="357"/>
      <c r="W10" s="357"/>
      <c r="X10" s="357"/>
      <c r="Y10" s="357"/>
      <c r="Z10" s="357"/>
      <c r="AA10" s="357"/>
      <c r="AB10" s="357"/>
      <c r="AC10" s="357"/>
      <c r="AD10" s="357"/>
      <c r="AE10" s="357"/>
      <c r="AF10" s="357"/>
      <c r="AG10" s="357"/>
      <c r="AH10" s="357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1"/>
      <c r="C11" s="13"/>
      <c r="D11" s="357"/>
      <c r="E11" s="357"/>
      <c r="F11" s="357"/>
      <c r="G11" s="357"/>
      <c r="H11" s="357"/>
      <c r="I11" s="357"/>
      <c r="J11" s="357"/>
      <c r="K11" s="357"/>
      <c r="L11" s="357"/>
      <c r="M11" s="357"/>
      <c r="N11" s="357"/>
      <c r="O11" s="357"/>
      <c r="P11" s="357"/>
      <c r="Q11" s="357"/>
      <c r="R11" s="357"/>
      <c r="S11" s="357"/>
      <c r="T11" s="357"/>
      <c r="U11" s="357"/>
      <c r="V11" s="357"/>
      <c r="W11" s="357"/>
      <c r="X11" s="357"/>
      <c r="Y11" s="357"/>
      <c r="Z11" s="357"/>
      <c r="AA11" s="357"/>
      <c r="AB11" s="357"/>
      <c r="AC11" s="357"/>
      <c r="AD11" s="357"/>
      <c r="AE11" s="357"/>
      <c r="AF11" s="357"/>
      <c r="AG11" s="357"/>
      <c r="AH11" s="357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7" t="s">
        <v>297</v>
      </c>
      <c r="C12" s="13"/>
      <c r="D12" s="492">
        <f>Assumptions!$H$54</f>
        <v>5.89</v>
      </c>
      <c r="E12" s="492">
        <f>Assumptions!$H$54</f>
        <v>5.89</v>
      </c>
      <c r="F12" s="492">
        <f>Assumptions!$H$54</f>
        <v>5.89</v>
      </c>
      <c r="G12" s="492">
        <f>Assumptions!$H$54</f>
        <v>5.89</v>
      </c>
      <c r="H12" s="492">
        <f>Assumptions!$H$54</f>
        <v>5.89</v>
      </c>
      <c r="I12" s="492">
        <f>Assumptions!$H$54</f>
        <v>5.89</v>
      </c>
      <c r="J12" s="492">
        <f>Assumptions!$H$54</f>
        <v>5.89</v>
      </c>
      <c r="K12" s="492">
        <f>Assumptions!$H$54</f>
        <v>5.89</v>
      </c>
      <c r="L12" s="492">
        <f>Assumptions!$H$54</f>
        <v>5.89</v>
      </c>
      <c r="M12" s="492">
        <f>Assumptions!$H$54</f>
        <v>5.89</v>
      </c>
      <c r="N12" s="492">
        <f>Assumptions!$H$54</f>
        <v>5.89</v>
      </c>
      <c r="O12" s="492">
        <f>Assumptions!$H$54</f>
        <v>5.89</v>
      </c>
      <c r="P12" s="492">
        <f>Assumptions!$H$54</f>
        <v>5.89</v>
      </c>
      <c r="Q12" s="492">
        <f>Assumptions!$H$54</f>
        <v>5.89</v>
      </c>
      <c r="R12" s="492">
        <f>Assumptions!$H$54</f>
        <v>5.89</v>
      </c>
      <c r="S12" s="492">
        <f>Assumptions!$H$54</f>
        <v>5.89</v>
      </c>
      <c r="T12" s="492">
        <f>Assumptions!$H$54</f>
        <v>5.89</v>
      </c>
      <c r="U12" s="492">
        <f>Assumptions!$H$54</f>
        <v>5.89</v>
      </c>
      <c r="V12" s="492">
        <f>Assumptions!$H$54</f>
        <v>5.89</v>
      </c>
      <c r="W12" s="492">
        <f>Assumptions!$H$54</f>
        <v>5.89</v>
      </c>
      <c r="X12" s="492">
        <f>Assumptions!$H$54</f>
        <v>5.89</v>
      </c>
      <c r="Y12" s="492">
        <f>Assumptions!$H$54</f>
        <v>5.89</v>
      </c>
      <c r="Z12" s="492">
        <f>Assumptions!$H$54</f>
        <v>5.89</v>
      </c>
      <c r="AA12" s="492">
        <f>Assumptions!$H$54</f>
        <v>5.89</v>
      </c>
      <c r="AB12" s="492">
        <f>Assumptions!$H$54</f>
        <v>5.89</v>
      </c>
      <c r="AC12" s="492">
        <f>Assumptions!$H$54</f>
        <v>5.89</v>
      </c>
      <c r="AD12" s="492">
        <f>Assumptions!$H$54</f>
        <v>5.89</v>
      </c>
      <c r="AE12" s="492">
        <f>Assumptions!$H$54</f>
        <v>5.89</v>
      </c>
      <c r="AF12" s="492">
        <f>Assumptions!$H$54</f>
        <v>5.89</v>
      </c>
      <c r="AG12" s="492">
        <f>Assumptions!$H$54</f>
        <v>5.89</v>
      </c>
      <c r="AH12" s="492">
        <f>Assumptions!$H$54</f>
        <v>5.89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7"/>
      <c r="C13" s="13"/>
      <c r="D13" s="357"/>
      <c r="E13" s="357"/>
      <c r="F13" s="357"/>
      <c r="G13" s="357"/>
      <c r="H13" s="357"/>
      <c r="I13" s="357"/>
      <c r="J13" s="357"/>
      <c r="K13" s="357"/>
      <c r="L13" s="357"/>
      <c r="M13" s="357"/>
      <c r="N13" s="357"/>
      <c r="O13" s="357"/>
      <c r="P13" s="357"/>
      <c r="Q13" s="357"/>
      <c r="R13" s="357"/>
      <c r="S13" s="357"/>
      <c r="T13" s="357"/>
      <c r="U13" s="357"/>
      <c r="V13" s="357"/>
      <c r="W13" s="357"/>
      <c r="X13" s="357"/>
      <c r="Y13" s="357"/>
      <c r="Z13" s="357"/>
      <c r="AA13" s="357"/>
      <c r="AB13" s="357"/>
      <c r="AC13" s="357"/>
      <c r="AD13" s="357"/>
      <c r="AE13" s="357"/>
      <c r="AF13" s="357"/>
      <c r="AG13" s="357"/>
      <c r="AH13" s="357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7" t="s">
        <v>306</v>
      </c>
      <c r="C14" s="13"/>
      <c r="D14" s="357"/>
      <c r="E14" s="357"/>
      <c r="F14" s="357"/>
      <c r="G14" s="357"/>
      <c r="H14" s="357"/>
      <c r="I14" s="357"/>
      <c r="J14" s="357"/>
      <c r="K14" s="357"/>
      <c r="L14" s="357"/>
      <c r="M14" s="357"/>
      <c r="N14" s="357"/>
      <c r="O14" s="357"/>
      <c r="P14" s="357"/>
      <c r="Q14" s="357"/>
      <c r="R14" s="357"/>
      <c r="S14" s="357"/>
      <c r="T14" s="357"/>
      <c r="U14" s="357"/>
      <c r="V14" s="357"/>
      <c r="W14" s="357"/>
      <c r="X14" s="357"/>
      <c r="Y14" s="357"/>
      <c r="Z14" s="357"/>
      <c r="AA14" s="357"/>
      <c r="AB14" s="357"/>
      <c r="AC14" s="357"/>
      <c r="AD14" s="357"/>
      <c r="AE14" s="357"/>
      <c r="AF14" s="357"/>
      <c r="AG14" s="357"/>
      <c r="AH14" s="357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235</v>
      </c>
      <c r="C15" s="12"/>
      <c r="D15" s="493">
        <v>5.4933333333333332</v>
      </c>
      <c r="E15" s="493">
        <v>5.6581333333333328</v>
      </c>
      <c r="F15" s="493">
        <v>5.6457561666666676</v>
      </c>
      <c r="G15" s="493">
        <v>5.7213364508333333</v>
      </c>
      <c r="H15" s="493">
        <v>5.6997641986416658</v>
      </c>
      <c r="I15" s="493">
        <v>5.7712527665568336</v>
      </c>
      <c r="J15" s="493">
        <v>5.8419008607681322</v>
      </c>
      <c r="K15" s="493">
        <v>5.9115937131422074</v>
      </c>
      <c r="L15" s="493">
        <v>6.088941524536474</v>
      </c>
      <c r="M15" s="493">
        <v>6.1596167386605574</v>
      </c>
      <c r="N15" s="493">
        <v>6.3444052408203753</v>
      </c>
      <c r="O15" s="493">
        <v>6.4159239908078041</v>
      </c>
      <c r="P15" s="493">
        <v>6.6084017105320383</v>
      </c>
      <c r="Q15" s="493">
        <v>6.680604618110074</v>
      </c>
      <c r="R15" s="493">
        <v>6.7511921386033125</v>
      </c>
      <c r="S15" s="493">
        <v>6.8200023661698452</v>
      </c>
      <c r="T15" s="493">
        <v>6.8868651344656273</v>
      </c>
      <c r="U15" s="493">
        <v>6.951601666729605</v>
      </c>
      <c r="V15" s="493">
        <v>7.014024212308402</v>
      </c>
      <c r="W15" s="493">
        <v>7.0739356691218687</v>
      </c>
      <c r="X15" s="493">
        <v>7.1311291915530655</v>
      </c>
      <c r="Y15" s="493">
        <v>7.1853877832279265</v>
      </c>
      <c r="Z15" s="493">
        <v>7.2396463749027831</v>
      </c>
      <c r="AA15" s="493">
        <v>7.2939049665776494</v>
      </c>
      <c r="AB15" s="493">
        <v>7.3481635582525087</v>
      </c>
      <c r="AC15" s="493">
        <v>7.402422149927367</v>
      </c>
      <c r="AD15" s="493">
        <v>7.4566807416022245</v>
      </c>
      <c r="AE15" s="493">
        <v>7.5109393332770908</v>
      </c>
      <c r="AF15" s="493">
        <v>7.5651979249519501</v>
      </c>
      <c r="AG15" s="493">
        <v>7.6194565166268085</v>
      </c>
      <c r="AH15" s="493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236</v>
      </c>
      <c r="C16" s="12"/>
      <c r="D16" s="493">
        <v>4.3775000000000004</v>
      </c>
      <c r="E16" s="493">
        <v>4.5088249999999999</v>
      </c>
      <c r="F16" s="493">
        <v>4.7351503333333334</v>
      </c>
      <c r="G16" s="493">
        <v>4.8772048433333328</v>
      </c>
      <c r="H16" s="493">
        <v>5.023520988633333</v>
      </c>
      <c r="I16" s="493">
        <v>5.1742266182923329</v>
      </c>
      <c r="J16" s="493">
        <v>5.3294534168411039</v>
      </c>
      <c r="K16" s="493">
        <v>5.2782086724483994</v>
      </c>
      <c r="L16" s="493">
        <v>5.2190927353169778</v>
      </c>
      <c r="M16" s="493">
        <v>5.0396864225404565</v>
      </c>
      <c r="N16" s="493">
        <v>4.9601713700959298</v>
      </c>
      <c r="O16" s="493">
        <v>4.8713496967244438</v>
      </c>
      <c r="P16" s="493">
        <v>4.8951123781718797</v>
      </c>
      <c r="Q16" s="493">
        <v>4.9159166057791106</v>
      </c>
      <c r="R16" s="493">
        <v>4.8037328678523572</v>
      </c>
      <c r="S16" s="493">
        <v>4.8141193172963614</v>
      </c>
      <c r="T16" s="493">
        <v>4.8208055941259396</v>
      </c>
      <c r="U16" s="493">
        <v>4.9654297619497179</v>
      </c>
      <c r="V16" s="493">
        <v>5.114392654808209</v>
      </c>
      <c r="W16" s="493">
        <v>5.117315164896671</v>
      </c>
      <c r="X16" s="493">
        <v>5.27083461984357</v>
      </c>
      <c r="Y16" s="493">
        <v>5.4289596584388775</v>
      </c>
      <c r="Z16" s="493">
        <v>5.5870846970341832</v>
      </c>
      <c r="AA16" s="493">
        <v>5.7452097356294916</v>
      </c>
      <c r="AB16" s="493">
        <v>5.9033347742247999</v>
      </c>
      <c r="AC16" s="493">
        <v>6.0614598128201083</v>
      </c>
      <c r="AD16" s="493">
        <v>6.2195848514154086</v>
      </c>
      <c r="AE16" s="493">
        <v>6.377709890010717</v>
      </c>
      <c r="AF16" s="493">
        <v>6.5358349286060253</v>
      </c>
      <c r="AG16" s="493">
        <v>6.6939599672013337</v>
      </c>
      <c r="AH16" s="493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233</v>
      </c>
      <c r="C17" s="12"/>
      <c r="D17" s="494">
        <v>0</v>
      </c>
      <c r="E17" s="494">
        <v>0</v>
      </c>
      <c r="F17" s="494">
        <v>0</v>
      </c>
      <c r="G17" s="494">
        <v>0</v>
      </c>
      <c r="H17" s="494">
        <v>0</v>
      </c>
      <c r="I17" s="494">
        <v>0</v>
      </c>
      <c r="J17" s="494">
        <v>0</v>
      </c>
      <c r="K17" s="494">
        <v>0</v>
      </c>
      <c r="L17" s="494">
        <v>0</v>
      </c>
      <c r="M17" s="494">
        <v>0</v>
      </c>
      <c r="N17" s="494">
        <v>0</v>
      </c>
      <c r="O17" s="494">
        <v>0</v>
      </c>
      <c r="P17" s="494">
        <v>0</v>
      </c>
      <c r="Q17" s="494">
        <v>0</v>
      </c>
      <c r="R17" s="494">
        <v>0</v>
      </c>
      <c r="S17" s="494">
        <v>0</v>
      </c>
      <c r="T17" s="494">
        <v>0</v>
      </c>
      <c r="U17" s="494">
        <v>0</v>
      </c>
      <c r="V17" s="494">
        <v>0</v>
      </c>
      <c r="W17" s="494">
        <v>0</v>
      </c>
      <c r="X17" s="494">
        <v>0</v>
      </c>
      <c r="Y17" s="494">
        <v>0</v>
      </c>
      <c r="Z17" s="494">
        <v>0</v>
      </c>
      <c r="AA17" s="494">
        <v>0</v>
      </c>
      <c r="AB17" s="494">
        <v>0</v>
      </c>
      <c r="AC17" s="494">
        <v>0</v>
      </c>
      <c r="AD17" s="494">
        <v>0</v>
      </c>
      <c r="AE17" s="494">
        <v>0</v>
      </c>
      <c r="AF17" s="494">
        <v>0</v>
      </c>
      <c r="AG17" s="494">
        <v>0</v>
      </c>
      <c r="AH17" s="494">
        <v>0</v>
      </c>
      <c r="AI17" s="495"/>
      <c r="AJ17" s="495"/>
      <c r="AK17" s="495"/>
      <c r="AL17" s="495"/>
      <c r="AM17" s="495"/>
      <c r="AN17" s="495"/>
      <c r="AO17" s="495"/>
      <c r="AP17" s="495"/>
      <c r="AQ17" s="495"/>
      <c r="AR17" s="495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38</v>
      </c>
      <c r="C18" s="12"/>
      <c r="D18" s="496">
        <v>0</v>
      </c>
      <c r="E18" s="496">
        <v>0</v>
      </c>
      <c r="F18" s="496">
        <v>0</v>
      </c>
      <c r="G18" s="496">
        <v>0</v>
      </c>
      <c r="H18" s="496">
        <v>0</v>
      </c>
      <c r="I18" s="496">
        <v>0</v>
      </c>
      <c r="J18" s="496">
        <v>0</v>
      </c>
      <c r="K18" s="496">
        <v>0</v>
      </c>
      <c r="L18" s="496">
        <v>0</v>
      </c>
      <c r="M18" s="496">
        <v>0</v>
      </c>
      <c r="N18" s="496">
        <v>0</v>
      </c>
      <c r="O18" s="496">
        <v>0</v>
      </c>
      <c r="P18" s="496">
        <v>0</v>
      </c>
      <c r="Q18" s="496">
        <v>0</v>
      </c>
      <c r="R18" s="496">
        <v>0</v>
      </c>
      <c r="S18" s="496">
        <v>0</v>
      </c>
      <c r="T18" s="496">
        <v>0</v>
      </c>
      <c r="U18" s="496">
        <v>0</v>
      </c>
      <c r="V18" s="496">
        <v>0</v>
      </c>
      <c r="W18" s="496">
        <v>0</v>
      </c>
      <c r="X18" s="496">
        <v>0</v>
      </c>
      <c r="Y18" s="496">
        <v>0</v>
      </c>
      <c r="Z18" s="496">
        <v>0</v>
      </c>
      <c r="AA18" s="496">
        <v>0</v>
      </c>
      <c r="AB18" s="496">
        <v>0</v>
      </c>
      <c r="AC18" s="496">
        <v>0</v>
      </c>
      <c r="AD18" s="496">
        <v>0</v>
      </c>
      <c r="AE18" s="496">
        <v>0</v>
      </c>
      <c r="AF18" s="496">
        <v>0</v>
      </c>
      <c r="AG18" s="496">
        <v>0</v>
      </c>
      <c r="AH18" s="496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7">
        <v>1</v>
      </c>
      <c r="B19" s="13" t="s">
        <v>117</v>
      </c>
      <c r="C19" s="498"/>
      <c r="D19" s="499">
        <f t="shared" ref="D19:AH19" si="4">CHOOSE($A$19,D15,D16,D17,D18)</f>
        <v>5.4933333333333332</v>
      </c>
      <c r="E19" s="499">
        <f t="shared" si="4"/>
        <v>5.6581333333333328</v>
      </c>
      <c r="F19" s="499">
        <f t="shared" si="4"/>
        <v>5.6457561666666676</v>
      </c>
      <c r="G19" s="499">
        <f t="shared" si="4"/>
        <v>5.7213364508333333</v>
      </c>
      <c r="H19" s="499">
        <f t="shared" si="4"/>
        <v>5.6997641986416658</v>
      </c>
      <c r="I19" s="499">
        <f t="shared" si="4"/>
        <v>5.7712527665568336</v>
      </c>
      <c r="J19" s="499">
        <f t="shared" si="4"/>
        <v>5.8419008607681322</v>
      </c>
      <c r="K19" s="499">
        <f t="shared" si="4"/>
        <v>5.9115937131422074</v>
      </c>
      <c r="L19" s="499">
        <f t="shared" si="4"/>
        <v>6.088941524536474</v>
      </c>
      <c r="M19" s="499">
        <f t="shared" si="4"/>
        <v>6.1596167386605574</v>
      </c>
      <c r="N19" s="499">
        <f t="shared" si="4"/>
        <v>6.3444052408203753</v>
      </c>
      <c r="O19" s="499">
        <f t="shared" si="4"/>
        <v>6.4159239908078041</v>
      </c>
      <c r="P19" s="499">
        <f t="shared" si="4"/>
        <v>6.6084017105320383</v>
      </c>
      <c r="Q19" s="499">
        <f t="shared" si="4"/>
        <v>6.680604618110074</v>
      </c>
      <c r="R19" s="499">
        <f t="shared" si="4"/>
        <v>6.7511921386033125</v>
      </c>
      <c r="S19" s="499">
        <f t="shared" si="4"/>
        <v>6.8200023661698452</v>
      </c>
      <c r="T19" s="499">
        <f t="shared" si="4"/>
        <v>6.8868651344656273</v>
      </c>
      <c r="U19" s="499">
        <f t="shared" si="4"/>
        <v>6.951601666729605</v>
      </c>
      <c r="V19" s="499">
        <f t="shared" si="4"/>
        <v>7.014024212308402</v>
      </c>
      <c r="W19" s="499">
        <f t="shared" si="4"/>
        <v>7.0739356691218687</v>
      </c>
      <c r="X19" s="499">
        <f t="shared" si="4"/>
        <v>7.1311291915530655</v>
      </c>
      <c r="Y19" s="499">
        <f t="shared" si="4"/>
        <v>7.1853877832279265</v>
      </c>
      <c r="Z19" s="499">
        <f t="shared" si="4"/>
        <v>7.2396463749027831</v>
      </c>
      <c r="AA19" s="499">
        <f t="shared" si="4"/>
        <v>7.2939049665776494</v>
      </c>
      <c r="AB19" s="499">
        <f t="shared" si="4"/>
        <v>7.3481635582525087</v>
      </c>
      <c r="AC19" s="499">
        <f t="shared" si="4"/>
        <v>7.402422149927367</v>
      </c>
      <c r="AD19" s="499">
        <f t="shared" si="4"/>
        <v>7.4566807416022245</v>
      </c>
      <c r="AE19" s="499">
        <f t="shared" si="4"/>
        <v>7.5109393332770908</v>
      </c>
      <c r="AF19" s="499">
        <f t="shared" si="4"/>
        <v>7.5651979249519501</v>
      </c>
      <c r="AG19" s="499">
        <f t="shared" si="4"/>
        <v>7.6194565166268085</v>
      </c>
      <c r="AH19" s="499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8"/>
      <c r="D20" s="500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  <c r="Y20" s="501"/>
      <c r="Z20" s="502"/>
      <c r="AA20" s="50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300</v>
      </c>
      <c r="C21" s="498"/>
      <c r="D21" s="503">
        <f>IF(AND(C7&lt;$D$7+Assumptions!$H$53,D7&lt;$D$7+Assumptions!$H$53),D12,IF(AND(C7&lt;$D$7+Assumptions!$H$53,D7&gt;$D$7+Assumptions!$H$53),D12*(1-$D$7)+D19*$D$7,D19))</f>
        <v>5.89</v>
      </c>
      <c r="E21" s="504">
        <f>IF(AND(D7&lt;$D$7+Assumptions!$H$53,E7&lt;$D$7+Assumptions!$H$53),E12,IF(AND(D7&lt;$D$7+Assumptions!$H$53,E7&gt;=$D$7+Assumptions!$H$53),E12*(1-$D$7)+E19*$D$7,E19))</f>
        <v>5.89</v>
      </c>
      <c r="F21" s="504">
        <f>IF(AND(E7&lt;$D$7+Assumptions!$H$53,F7&lt;$D$7+Assumptions!$H$53),F12,IF(AND(E7&lt;$D$7+Assumptions!$H$53,F7&gt;=$D$7+Assumptions!$H$53),F12*(1-$D$7)+F19*$D$7,F19))</f>
        <v>5.89</v>
      </c>
      <c r="G21" s="504">
        <f>IF(AND(F7&lt;$D$7+Assumptions!$H$53,G7&lt;$D$7+Assumptions!$H$53),G12,IF(AND(F7&lt;$D$7+Assumptions!$H$53,G7&gt;=$D$7+Assumptions!$H$53),G12*(1-$D$7)+G19*$D$7,G19))</f>
        <v>5.89</v>
      </c>
      <c r="H21" s="504">
        <f>IF(AND(G7&lt;$D$7+Assumptions!$H$53,H7&lt;$D$7+Assumptions!$H$53),H12,IF(AND(G7&lt;$D$7+Assumptions!$H$53,H7&gt;=$D$7+Assumptions!$H$53),H12*(1-$D$7)+H19*$D$7,H19))</f>
        <v>5.89</v>
      </c>
      <c r="I21" s="504">
        <f>IF(AND(H7&lt;$D$7+Assumptions!$H$53,I7&lt;$D$7+Assumptions!$H$53),I12,IF(AND(H7&lt;$D$7+Assumptions!$H$53,I7&gt;=$D$7+Assumptions!$H$53),I12*(1-$D$7)+I19*$D$7,I19))</f>
        <v>5.89</v>
      </c>
      <c r="J21" s="504">
        <f>IF(AND(I7&lt;$D$7+Assumptions!$H$53,J7&lt;$D$7+Assumptions!$H$53),J12,IF(AND(I7&lt;$D$7+Assumptions!$H$53,J7&gt;=$D$7+Assumptions!$H$53),J12*(1-$D$7)+J19*$D$7,J19))</f>
        <v>5.89</v>
      </c>
      <c r="K21" s="504">
        <f>IF(AND(J7&lt;$D$7+Assumptions!$H$53,K7&lt;$D$7+Assumptions!$H$53),K12,IF(AND(J7&lt;$D$7+Assumptions!$H$53,K7&gt;=$D$7+Assumptions!$H$53),K12*(1-$D$7)+K19*$D$7,K19))</f>
        <v>5.89</v>
      </c>
      <c r="L21" s="504">
        <f>IF(AND(K7&lt;$D$7+Assumptions!$H$53,L7&lt;$D$7+Assumptions!$H$53),L12,IF(AND(K7&lt;$D$7+Assumptions!$H$53,L7&gt;=$D$7+Assumptions!$H$53),L12*(1-$D$7)+L19*$D$7,L19))</f>
        <v>5.89</v>
      </c>
      <c r="M21" s="504">
        <f>IF(AND(L7&lt;$D$7+Assumptions!$H$53,M7&lt;$D$7+Assumptions!$H$53),M12,IF(AND(L7&lt;$D$7+Assumptions!$H$53,M7&gt;=$D$7+Assumptions!$H$53),M12*(1-$D$7)+M19*$D$7,M19))</f>
        <v>5.89</v>
      </c>
      <c r="N21" s="504">
        <f>IF(AND(M7&lt;$D$7+Assumptions!$H$53,N7&lt;$D$7+Assumptions!$H$53),N12,IF(AND(M7&lt;$D$7+Assumptions!$H$53,N7&gt;=$D$7+Assumptions!$H$53),N12*(1-$D$7)+N19*$D$7,N19))</f>
        <v>5.89</v>
      </c>
      <c r="O21" s="504">
        <f>IF(AND(N7&lt;$D$7+Assumptions!$H$53,O7&lt;$D$7+Assumptions!$H$53),O12,IF(AND(N7&lt;$D$7+Assumptions!$H$53,O7&gt;=$D$7+Assumptions!$H$53),O12*(1-$D$7)+O19*$D$7,O19))</f>
        <v>5.89</v>
      </c>
      <c r="P21" s="504">
        <f>IF(AND(O7&lt;$D$7+Assumptions!$H$53,P7&lt;$D$7+Assumptions!$H$53),P12,IF(AND(O7&lt;$D$7+Assumptions!$H$53,P7&gt;=$D$7+Assumptions!$H$53),P12*(1-$D$7)+P19*$D$7,P19))</f>
        <v>5.89</v>
      </c>
      <c r="Q21" s="504">
        <f>IF(AND(P7&lt;$D$7+Assumptions!$H$53,Q7&lt;$D$7+Assumptions!$H$53),Q12,IF(AND(P7&lt;$D$7+Assumptions!$H$53,Q7&gt;=$D$7+Assumptions!$H$53),Q12*(1-$D$7)+Q19*$D$7,Q19))</f>
        <v>5.89</v>
      </c>
      <c r="R21" s="505">
        <f>IF(AND(Q7&lt;$D$7+Assumptions!$H$53,R7&lt;$D$7+Assumptions!$H$53),R12,IF(AND(Q7&lt;$D$7+Assumptions!$H$53,R7&gt;=$D$7+Assumptions!$H$53),R12*(1-$D$7)+R19*$D$7,R19))</f>
        <v>5.89</v>
      </c>
      <c r="S21" s="503">
        <f>IF(AND(R7&lt;$D$7+Assumptions!$H$53,S7&lt;$D$7+Assumptions!$H$53),S12,IF(AND(R7&lt;$D$7+Assumptions!$H$53,S7&gt;=$D$7+Assumptions!$H$53),S12*(1-$D$7)+S19*$D$7,S19))</f>
        <v>5.89</v>
      </c>
      <c r="T21" s="504">
        <f>IF(AND(S7&lt;$D$7+Assumptions!$H$53,T7&lt;$D$7+Assumptions!$H$53),T12,IF(AND(S7&lt;$D$7+Assumptions!$H$53,T7&gt;=$D$7+Assumptions!$H$53),T12*(1-$D$7)+T19*$D$7,T19))</f>
        <v>5.89</v>
      </c>
      <c r="U21" s="504">
        <f>IF(AND(T7&lt;$D$7+Assumptions!$H$53,U7&lt;$D$7+Assumptions!$H$53),U12,IF(AND(T7&lt;$D$7+Assumptions!$H$53,U7&gt;=$D$7+Assumptions!$H$53),U12*(1-$D$7)+U19*$D$7,U19))</f>
        <v>5.89</v>
      </c>
      <c r="V21" s="504">
        <f>IF(AND(U7&lt;$D$7+Assumptions!$H$53,V7&lt;$D$7+Assumptions!$H$53),V12,IF(AND(U7&lt;$D$7+Assumptions!$H$53,V7&gt;=$D$7+Assumptions!$H$53),V12*(1-$D$7)+V19*$D$7,V19))</f>
        <v>5.89</v>
      </c>
      <c r="W21" s="504">
        <f>IF(AND(V7&lt;$D$7+Assumptions!$H$53,W7&lt;$D$7+Assumptions!$H$53),W12,IF(AND(V7&lt;$D$7+Assumptions!$H$53,W7&gt;=$D$7+Assumptions!$H$53),W12*(1-$D$7)+W19*$D$7,W19))</f>
        <v>5.89</v>
      </c>
      <c r="X21" s="504">
        <f>IF(AND(W7&lt;$D$7+Assumptions!$H$53,X7&lt;$D$7+Assumptions!$H$53),X12,IF(AND(W7&lt;$D$7+Assumptions!$H$53,X7&gt;=$D$7+Assumptions!$H$53),X12*(1-$D$7)+X19*$D$7,X19))</f>
        <v>6.7174194610353766</v>
      </c>
      <c r="Y21" s="504">
        <f>IF(AND(X7&lt;$D$7+Assumptions!$H$53,Y7&lt;$D$7+Assumptions!$H$53),Y12,IF(AND(X7&lt;$D$7+Assumptions!$H$53,Y7&gt;=$D$7+Assumptions!$H$53),Y12*(1-$D$7)+Y19*$D$7,Y19))</f>
        <v>7.1853877832279265</v>
      </c>
      <c r="Z21" s="504">
        <f>IF(AND(Y7&lt;$D$7+Assumptions!$H$53,Z7&lt;$D$7+Assumptions!$H$53),Z12,IF(AND(Y7&lt;$D$7+Assumptions!$H$53,Z7&gt;=$D$7+Assumptions!$H$53),Z12*(1-$D$7)+Z19*$D$7,Z19))</f>
        <v>7.2396463749027831</v>
      </c>
      <c r="AA21" s="504">
        <f>IF(AND(Z7&lt;$D$7+Assumptions!$H$53,AA7&lt;$D$7+Assumptions!$H$53),AA12,IF(AND(Z7&lt;$D$7+Assumptions!$H$53,AA7&gt;=$D$7+Assumptions!$H$53),AA12*(1-$D$7)+AA19*$D$7,AA19))</f>
        <v>7.2939049665776494</v>
      </c>
      <c r="AB21" s="504">
        <f>IF(AND(AA7&lt;$D$7+Assumptions!$H$53,AB7&lt;$D$7+Assumptions!$H$53),AB12,IF(AND(AA7&lt;$D$7+Assumptions!$H$53,AB7&gt;=$D$7+Assumptions!$H$53),AB12*(1-$D$7)+AB19*$D$7,AB19))</f>
        <v>7.3481635582525087</v>
      </c>
      <c r="AC21" s="504">
        <f>IF(AND(AB7&lt;$D$7+Assumptions!$H$53,AC7&lt;$D$7+Assumptions!$H$53),AC12,IF(AND(AB7&lt;$D$7+Assumptions!$H$53,AC7&gt;=$D$7+Assumptions!$H$53),AC12*(1-$D$7)+AC19*$D$7,AC19))</f>
        <v>7.402422149927367</v>
      </c>
      <c r="AD21" s="504">
        <f>IF(AND(AC7&lt;$D$7+Assumptions!$H$53,AD7&lt;$D$7+Assumptions!$H$53),AD12,IF(AND(AC7&lt;$D$7+Assumptions!$H$53,AD7&gt;=$D$7+Assumptions!$H$53),AD12*(1-$D$7)+AD19*$D$7,AD19))</f>
        <v>7.4566807416022245</v>
      </c>
      <c r="AE21" s="504">
        <f>IF(AND(AD7&lt;$D$7+Assumptions!$H$53,AE7&lt;$D$7+Assumptions!$H$53),AE12,IF(AND(AD7&lt;$D$7+Assumptions!$H$53,AE7&gt;=$D$7+Assumptions!$H$53),AE12*(1-$D$7)+AE19*$D$7,AE19))</f>
        <v>7.5109393332770908</v>
      </c>
      <c r="AF21" s="504">
        <f>IF(AND(AE7&lt;$D$7+Assumptions!$H$53,AF7&lt;$D$7+Assumptions!$H$53),AF12,IF(AND(AE7&lt;$D$7+Assumptions!$H$53,AF7&gt;=$D$7+Assumptions!$H$53),AF12*(1-$D$7)+AF19*$D$7,AF19))</f>
        <v>7.5651979249519501</v>
      </c>
      <c r="AG21" s="504">
        <f>IF(AND(AF7&lt;$D$7+Assumptions!$H$53,AG7&lt;$D$7+Assumptions!$H$53),AG12,IF(AND(AF7&lt;$D$7+Assumptions!$H$53,AG7&gt;=$D$7+Assumptions!$H$53),AG12*(1-$D$7)+AG19*$D$7,AG19))</f>
        <v>7.6194565166268085</v>
      </c>
      <c r="AH21" s="505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8"/>
      <c r="D22" s="500"/>
      <c r="E22" s="500"/>
      <c r="F22" s="500"/>
      <c r="G22" s="500"/>
      <c r="H22" s="500"/>
      <c r="I22" s="500"/>
      <c r="J22" s="500"/>
      <c r="K22" s="500"/>
      <c r="L22" s="500"/>
      <c r="M22" s="500"/>
      <c r="N22" s="500"/>
      <c r="O22" s="500"/>
      <c r="P22" s="500"/>
      <c r="Q22" s="500"/>
      <c r="R22" s="500"/>
      <c r="S22" s="500"/>
      <c r="T22" s="500"/>
      <c r="U22" s="500"/>
      <c r="V22" s="500"/>
      <c r="W22" s="500"/>
      <c r="X22" s="500"/>
      <c r="Y22" s="501"/>
      <c r="Z22" s="502"/>
      <c r="AA22" s="50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8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0" t="s">
        <v>384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433</v>
      </c>
      <c r="C25" s="506"/>
      <c r="D25" s="494">
        <f>'Fuel Oil Curve'!G4</f>
        <v>4.3843820861678013</v>
      </c>
      <c r="E25" s="494">
        <f>'Fuel Oil Curve'!G5</f>
        <v>4.2499291383219955</v>
      </c>
      <c r="F25" s="494">
        <f>'Fuel Oil Curve'!G6</f>
        <v>4.1938350340136061</v>
      </c>
      <c r="G25" s="494">
        <f>'Fuel Oil Curve'!G7</f>
        <v>4.1759070294784584</v>
      </c>
      <c r="H25" s="494">
        <f>'Fuel Oil Curve'!G8</f>
        <v>4.1729875283446711</v>
      </c>
      <c r="I25" s="494">
        <f>'Fuel Oil Curve'!G9</f>
        <v>4.2383503401360549</v>
      </c>
      <c r="J25" s="494">
        <f>'Fuel Oil Curve'!G10</f>
        <v>4.340476190476191</v>
      </c>
      <c r="K25" s="494">
        <f>'Fuel Oil Curve'!G11</f>
        <v>4.3489370748299327</v>
      </c>
      <c r="L25" s="494">
        <f>'Fuel Oil Curve'!G12</f>
        <v>4.3489370748299327</v>
      </c>
      <c r="M25" s="494">
        <f>'Fuel Oil Curve'!G13</f>
        <v>4.3489370748299327</v>
      </c>
      <c r="N25" s="494">
        <f>'Fuel Oil Curve'!G14</f>
        <v>4.3489370748299327</v>
      </c>
      <c r="O25" s="494">
        <f>'Fuel Oil Curve'!G15</f>
        <v>4.3489370748299327</v>
      </c>
      <c r="P25" s="494">
        <f>'Fuel Oil Curve'!G16</f>
        <v>4.3489370748299327</v>
      </c>
      <c r="Q25" s="494">
        <f>'Fuel Oil Curve'!G17</f>
        <v>4.3489370748299327</v>
      </c>
      <c r="R25" s="494">
        <f>'Fuel Oil Curve'!G18</f>
        <v>4.3489370748299327</v>
      </c>
      <c r="S25" s="494">
        <f>'Fuel Oil Curve'!G19</f>
        <v>4.3489370748299327</v>
      </c>
      <c r="T25" s="494">
        <f>'Fuel Oil Curve'!G20</f>
        <v>4.3499999999999996</v>
      </c>
      <c r="U25" s="494">
        <f>'Fuel Oil Curve'!G21</f>
        <v>4.3499999999999996</v>
      </c>
      <c r="V25" s="494">
        <f>'Fuel Oil Curve'!G22</f>
        <v>4.3499999999999996</v>
      </c>
      <c r="W25" s="494">
        <f>'Fuel Oil Curve'!G23</f>
        <v>4.3499999999999996</v>
      </c>
      <c r="X25" s="494">
        <f>'Fuel Oil Curve'!G24</f>
        <v>4.3499999999999996</v>
      </c>
      <c r="Y25" s="494">
        <v>2.2000000000000002</v>
      </c>
      <c r="Z25" s="494">
        <v>2.2000000000000002</v>
      </c>
      <c r="AA25" s="494">
        <v>2.2000000000000002</v>
      </c>
      <c r="AB25" s="494">
        <v>2.2000000000000002</v>
      </c>
      <c r="AC25" s="494">
        <v>2.2000000000000002</v>
      </c>
      <c r="AD25" s="494">
        <v>2.2000000000000002</v>
      </c>
      <c r="AE25" s="494">
        <v>2.2000000000000002</v>
      </c>
      <c r="AF25" s="494">
        <v>2.2000000000000002</v>
      </c>
      <c r="AG25" s="494">
        <v>2.2000000000000002</v>
      </c>
      <c r="AH25" s="494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230</v>
      </c>
      <c r="C26" s="13"/>
      <c r="D26" s="494">
        <v>2.5</v>
      </c>
      <c r="E26" s="494">
        <v>2.5</v>
      </c>
      <c r="F26" s="494">
        <v>2.5</v>
      </c>
      <c r="G26" s="494">
        <v>2.5</v>
      </c>
      <c r="H26" s="494">
        <v>2.5</v>
      </c>
      <c r="I26" s="494">
        <v>2.5</v>
      </c>
      <c r="J26" s="494">
        <v>2.5</v>
      </c>
      <c r="K26" s="494">
        <v>2.5</v>
      </c>
      <c r="L26" s="494">
        <v>2.5</v>
      </c>
      <c r="M26" s="494">
        <v>2.5</v>
      </c>
      <c r="N26" s="494">
        <v>2.5</v>
      </c>
      <c r="O26" s="494">
        <v>2.5</v>
      </c>
      <c r="P26" s="494">
        <v>2.5</v>
      </c>
      <c r="Q26" s="494">
        <v>2.5</v>
      </c>
      <c r="R26" s="494">
        <v>2.5</v>
      </c>
      <c r="S26" s="494">
        <v>2.5</v>
      </c>
      <c r="T26" s="494">
        <v>2.5</v>
      </c>
      <c r="U26" s="494">
        <v>2.5</v>
      </c>
      <c r="V26" s="494">
        <v>2.5</v>
      </c>
      <c r="W26" s="494">
        <v>2.5</v>
      </c>
      <c r="X26" s="494">
        <v>2.5</v>
      </c>
      <c r="Y26" s="494">
        <v>2.5</v>
      </c>
      <c r="Z26" s="494">
        <v>2.5</v>
      </c>
      <c r="AA26" s="494">
        <v>2.5</v>
      </c>
      <c r="AB26" s="494">
        <v>2.5</v>
      </c>
      <c r="AC26" s="494">
        <v>2.5</v>
      </c>
      <c r="AD26" s="494">
        <v>2.5</v>
      </c>
      <c r="AE26" s="494">
        <v>2.5</v>
      </c>
      <c r="AF26" s="494">
        <v>2.5</v>
      </c>
      <c r="AG26" s="494">
        <v>2.5</v>
      </c>
      <c r="AH26" s="494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38</v>
      </c>
      <c r="C27" s="13"/>
      <c r="D27" s="507">
        <v>1.5</v>
      </c>
      <c r="E27" s="507">
        <v>1.5</v>
      </c>
      <c r="F27" s="507">
        <v>1.5</v>
      </c>
      <c r="G27" s="507">
        <v>1.5</v>
      </c>
      <c r="H27" s="507">
        <v>1.5</v>
      </c>
      <c r="I27" s="507">
        <v>1.5</v>
      </c>
      <c r="J27" s="507">
        <v>1.5</v>
      </c>
      <c r="K27" s="507">
        <v>1.5</v>
      </c>
      <c r="L27" s="507">
        <v>1.5</v>
      </c>
      <c r="M27" s="507">
        <v>1.5</v>
      </c>
      <c r="N27" s="507">
        <v>1.5</v>
      </c>
      <c r="O27" s="507">
        <v>1.5</v>
      </c>
      <c r="P27" s="507">
        <v>1.5</v>
      </c>
      <c r="Q27" s="507">
        <v>1.5</v>
      </c>
      <c r="R27" s="507">
        <v>1.5</v>
      </c>
      <c r="S27" s="507">
        <v>1.5</v>
      </c>
      <c r="T27" s="507">
        <v>1.5</v>
      </c>
      <c r="U27" s="507">
        <v>1.5</v>
      </c>
      <c r="V27" s="507">
        <v>1.5</v>
      </c>
      <c r="W27" s="507">
        <v>1.5</v>
      </c>
      <c r="X27" s="507">
        <v>1.5</v>
      </c>
      <c r="Y27" s="507">
        <v>1.5</v>
      </c>
      <c r="Z27" s="507">
        <v>1.5</v>
      </c>
      <c r="AA27" s="507">
        <v>1.5</v>
      </c>
      <c r="AB27" s="507">
        <v>1.5</v>
      </c>
      <c r="AC27" s="507">
        <v>1.5</v>
      </c>
      <c r="AD27" s="507">
        <v>1.5</v>
      </c>
      <c r="AE27" s="507">
        <v>1.5</v>
      </c>
      <c r="AF27" s="507">
        <v>1.5</v>
      </c>
      <c r="AG27" s="507">
        <v>1.5</v>
      </c>
      <c r="AH27" s="507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231</v>
      </c>
      <c r="C28" s="13"/>
      <c r="D28" s="508">
        <f>Assumptions!$N$54</f>
        <v>1.4999999999999999E-2</v>
      </c>
      <c r="E28" s="508">
        <f>Assumptions!$N$54</f>
        <v>1.4999999999999999E-2</v>
      </c>
      <c r="F28" s="508">
        <f>Assumptions!$N$54</f>
        <v>1.4999999999999999E-2</v>
      </c>
      <c r="G28" s="508">
        <f>Assumptions!$N$54</f>
        <v>1.4999999999999999E-2</v>
      </c>
      <c r="H28" s="508">
        <f>Assumptions!$N$54</f>
        <v>1.4999999999999999E-2</v>
      </c>
      <c r="I28" s="508">
        <f>Assumptions!$N$54</f>
        <v>1.4999999999999999E-2</v>
      </c>
      <c r="J28" s="508">
        <f>Assumptions!$N$54</f>
        <v>1.4999999999999999E-2</v>
      </c>
      <c r="K28" s="508">
        <f>Assumptions!$N$54</f>
        <v>1.4999999999999999E-2</v>
      </c>
      <c r="L28" s="508">
        <f>Assumptions!$N$54</f>
        <v>1.4999999999999999E-2</v>
      </c>
      <c r="M28" s="508">
        <f>Assumptions!$N$54</f>
        <v>1.4999999999999999E-2</v>
      </c>
      <c r="N28" s="508">
        <f>Assumptions!$N$54</f>
        <v>1.4999999999999999E-2</v>
      </c>
      <c r="O28" s="508">
        <f>Assumptions!$N$54</f>
        <v>1.4999999999999999E-2</v>
      </c>
      <c r="P28" s="508">
        <f>Assumptions!$N$54</f>
        <v>1.4999999999999999E-2</v>
      </c>
      <c r="Q28" s="508">
        <f>Assumptions!$N$54</f>
        <v>1.4999999999999999E-2</v>
      </c>
      <c r="R28" s="508">
        <f>Assumptions!$N$54</f>
        <v>1.4999999999999999E-2</v>
      </c>
      <c r="S28" s="508">
        <f>Assumptions!$N$54</f>
        <v>1.4999999999999999E-2</v>
      </c>
      <c r="T28" s="508">
        <f>Assumptions!$N$54</f>
        <v>1.4999999999999999E-2</v>
      </c>
      <c r="U28" s="508">
        <f>Assumptions!$N$54</f>
        <v>1.4999999999999999E-2</v>
      </c>
      <c r="V28" s="508">
        <f>Assumptions!$N$54</f>
        <v>1.4999999999999999E-2</v>
      </c>
      <c r="W28" s="508">
        <f>Assumptions!$N$54</f>
        <v>1.4999999999999999E-2</v>
      </c>
      <c r="X28" s="508">
        <f>Assumptions!$N$54</f>
        <v>1.4999999999999999E-2</v>
      </c>
      <c r="Y28" s="508">
        <f>Assumptions!$N$54</f>
        <v>1.4999999999999999E-2</v>
      </c>
      <c r="Z28" s="508">
        <f>Assumptions!$N$54</f>
        <v>1.4999999999999999E-2</v>
      </c>
      <c r="AA28" s="508">
        <f>Assumptions!$N$54</f>
        <v>1.4999999999999999E-2</v>
      </c>
      <c r="AB28" s="508">
        <f>Assumptions!$N$54</f>
        <v>1.4999999999999999E-2</v>
      </c>
      <c r="AC28" s="508">
        <f>Assumptions!$N$54</f>
        <v>1.4999999999999999E-2</v>
      </c>
      <c r="AD28" s="508">
        <f>Assumptions!$N$54</f>
        <v>1.4999999999999999E-2</v>
      </c>
      <c r="AE28" s="508">
        <f>Assumptions!$N$54</f>
        <v>1.4999999999999999E-2</v>
      </c>
      <c r="AF28" s="508">
        <f>Assumptions!$N$54</f>
        <v>1.4999999999999999E-2</v>
      </c>
      <c r="AG28" s="508">
        <f>Assumptions!$N$54</f>
        <v>1.4999999999999999E-2</v>
      </c>
      <c r="AH28" s="508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7">
        <f>Assumptions!U13</f>
        <v>1</v>
      </c>
      <c r="B30" s="43" t="s">
        <v>228</v>
      </c>
      <c r="C30" s="12"/>
      <c r="D30" s="509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4.4501478174603175</v>
      </c>
      <c r="E30" s="510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4.3136780753968251</v>
      </c>
      <c r="F30" s="510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4.2567425595238095</v>
      </c>
      <c r="G30" s="510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4.2385456349206345</v>
      </c>
      <c r="H30" s="510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4.2355823412698408</v>
      </c>
      <c r="I30" s="510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4.301925595238095</v>
      </c>
      <c r="J30" s="510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4.4055833333333334</v>
      </c>
      <c r="K30" s="510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4.414171130952381</v>
      </c>
      <c r="L30" s="510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4.414171130952381</v>
      </c>
      <c r="M30" s="510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4.414171130952381</v>
      </c>
      <c r="N30" s="510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4.414171130952381</v>
      </c>
      <c r="O30" s="510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4.414171130952381</v>
      </c>
      <c r="P30" s="510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4.414171130952381</v>
      </c>
      <c r="Q30" s="510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4.414171130952381</v>
      </c>
      <c r="R30" s="511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4.414171130952381</v>
      </c>
      <c r="S30" s="509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4.414171130952381</v>
      </c>
      <c r="T30" s="510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4.4152499999999995</v>
      </c>
      <c r="U30" s="510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4.4152499999999995</v>
      </c>
      <c r="V30" s="510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4.4152499999999995</v>
      </c>
      <c r="W30" s="510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4.4152499999999995</v>
      </c>
      <c r="X30" s="510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4.4152499999999995</v>
      </c>
      <c r="Y30" s="510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510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510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510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510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510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510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510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510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511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0" t="s">
        <v>385</v>
      </c>
      <c r="C33" s="13"/>
      <c r="D33" s="357"/>
      <c r="E33" s="357"/>
      <c r="F33" s="357"/>
      <c r="G33" s="357"/>
      <c r="H33" s="357"/>
      <c r="I33" s="357"/>
      <c r="J33" s="357"/>
      <c r="K33" s="357"/>
      <c r="L33" s="357"/>
      <c r="M33" s="357"/>
      <c r="N33" s="357"/>
      <c r="O33" s="357"/>
      <c r="P33" s="357"/>
      <c r="Q33" s="357"/>
      <c r="R33" s="357"/>
      <c r="S33" s="357"/>
      <c r="T33" s="357"/>
      <c r="U33" s="357"/>
      <c r="V33" s="357"/>
      <c r="W33" s="357"/>
      <c r="X33" s="357"/>
      <c r="Y33" s="357"/>
      <c r="Z33" s="357"/>
      <c r="AA33" s="357"/>
      <c r="AB33" s="357"/>
      <c r="AC33" s="357"/>
      <c r="AD33" s="357"/>
      <c r="AE33" s="357"/>
      <c r="AF33" s="357"/>
      <c r="AG33" s="357"/>
      <c r="AH33" s="357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229</v>
      </c>
      <c r="C34" s="12"/>
      <c r="D34" s="495">
        <f>D44*'Price_Technical Assumption'!D30/1000</f>
        <v>46.09507610803572</v>
      </c>
      <c r="E34" s="495">
        <f>E44*'Price_Technical Assumption'!E30/1000</f>
        <v>44.681508872767857</v>
      </c>
      <c r="F34" s="495">
        <f>F44*'Price_Technical Assumption'!F30/1000</f>
        <v>44.091765105803567</v>
      </c>
      <c r="G34" s="495">
        <f>G44*'Price_Technical Assumption'!G30/1000</f>
        <v>43.903279541071427</v>
      </c>
      <c r="H34" s="495">
        <f>H44*'Price_Technical Assumption'!H30/1000</f>
        <v>43.872585449107135</v>
      </c>
      <c r="I34" s="495">
        <f>I44*'Price_Technical Assumption'!I30/1000</f>
        <v>44.559775508035713</v>
      </c>
      <c r="J34" s="495">
        <f>J44*'Price_Technical Assumption'!J30/1000</f>
        <v>45.633472724999997</v>
      </c>
      <c r="K34" s="495">
        <f>K44*'Price_Technical Assumption'!K30/1000</f>
        <v>45.722425991517859</v>
      </c>
      <c r="L34" s="495">
        <f>L44*'Price_Technical Assumption'!L30/1000</f>
        <v>45.722425991517859</v>
      </c>
      <c r="M34" s="495">
        <f>M44*'Price_Technical Assumption'!M30/1000</f>
        <v>45.722425991517859</v>
      </c>
      <c r="N34" s="495">
        <f>N44*'Price_Technical Assumption'!N30/1000</f>
        <v>45.722425991517859</v>
      </c>
      <c r="O34" s="495">
        <f>O44*'Price_Technical Assumption'!O30/1000</f>
        <v>45.722425991517859</v>
      </c>
      <c r="P34" s="495">
        <f>P44*'Price_Technical Assumption'!P30/1000</f>
        <v>45.722425991517859</v>
      </c>
      <c r="Q34" s="495">
        <f>Q44*'Price_Technical Assumption'!Q30/1000</f>
        <v>45.722425991517859</v>
      </c>
      <c r="R34" s="495">
        <f>R44*'Price_Technical Assumption'!R30/1000</f>
        <v>45.722425991517859</v>
      </c>
      <c r="S34" s="495">
        <f>S44*'Price_Technical Assumption'!S30/1000</f>
        <v>45.722425991517859</v>
      </c>
      <c r="T34" s="495">
        <f>T44*'Price_Technical Assumption'!T30/1000</f>
        <v>45.733601024999999</v>
      </c>
      <c r="U34" s="495">
        <f>U44*'Price_Technical Assumption'!U30/1000</f>
        <v>45.733601024999999</v>
      </c>
      <c r="V34" s="495">
        <f>V44*'Price_Technical Assumption'!V30/1000</f>
        <v>45.733601024999999</v>
      </c>
      <c r="W34" s="495">
        <f>W44*'Price_Technical Assumption'!W30/1000</f>
        <v>45.733601024999999</v>
      </c>
      <c r="X34" s="495">
        <f>X44*'Price_Technical Assumption'!X30/1000</f>
        <v>45.733601024999999</v>
      </c>
      <c r="Y34" s="495">
        <f>Y44*'Price_Technical Assumption'!Y30/1000</f>
        <v>23.129637300000002</v>
      </c>
      <c r="Z34" s="495">
        <f>Z44*'Price_Technical Assumption'!Z30/1000</f>
        <v>23.129637300000002</v>
      </c>
      <c r="AA34" s="495">
        <f>AA44*'Price_Technical Assumption'!AA30/1000</f>
        <v>23.129637300000002</v>
      </c>
      <c r="AB34" s="495">
        <f>AB44*'Price_Technical Assumption'!AB30/1000</f>
        <v>23.129637300000002</v>
      </c>
      <c r="AC34" s="495">
        <f>AC44*'Price_Technical Assumption'!AC30/1000</f>
        <v>23.129637300000002</v>
      </c>
      <c r="AD34" s="495">
        <f>AD44*'Price_Technical Assumption'!AD30/1000</f>
        <v>23.129637300000002</v>
      </c>
      <c r="AE34" s="495">
        <f>AE44*'Price_Technical Assumption'!AE30/1000</f>
        <v>23.129637300000002</v>
      </c>
      <c r="AF34" s="495">
        <f>AF44*'Price_Technical Assumption'!AF30/1000</f>
        <v>23.129637300000002</v>
      </c>
      <c r="AG34" s="495">
        <f>AG44*'Price_Technical Assumption'!AG30/1000</f>
        <v>23.129637300000002</v>
      </c>
      <c r="AH34" s="495">
        <f>AH44*'Price_Technical Assumption'!AH30/1000</f>
        <v>23.129637300000002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404</v>
      </c>
      <c r="C35" s="475"/>
      <c r="D35" s="512">
        <f>Assumptions!$H$60*(1+Assumptions!$N$11)^(D7)</f>
        <v>0</v>
      </c>
      <c r="E35" s="512">
        <f>Assumptions!$H$60*(1+Assumptions!$N$11)^(E7)</f>
        <v>0</v>
      </c>
      <c r="F35" s="512">
        <f>Assumptions!$H$60*(1+Assumptions!$N$11)^(F7)</f>
        <v>0</v>
      </c>
      <c r="G35" s="512">
        <f>Assumptions!$H$60*(1+Assumptions!$N$11)^(G7)</f>
        <v>0</v>
      </c>
      <c r="H35" s="512">
        <f>Assumptions!$H$60*(1+Assumptions!$N$11)^(H7)</f>
        <v>0</v>
      </c>
      <c r="I35" s="512">
        <f>Assumptions!$H$60*(1+Assumptions!$N$11)^(I7)</f>
        <v>0</v>
      </c>
      <c r="J35" s="512">
        <f>Assumptions!$H$60*(1+Assumptions!$N$11)^(J7)</f>
        <v>0</v>
      </c>
      <c r="K35" s="512">
        <f>Assumptions!$H$60*(1+Assumptions!$N$11)^(K7)</f>
        <v>0</v>
      </c>
      <c r="L35" s="512">
        <f>Assumptions!$H$60*(1+Assumptions!$N$11)^(L7)</f>
        <v>0</v>
      </c>
      <c r="M35" s="512">
        <f>Assumptions!$H$60*(1+Assumptions!$N$11)^(M7)</f>
        <v>0</v>
      </c>
      <c r="N35" s="512">
        <f>Assumptions!$H$60*(1+Assumptions!$N$11)^(N7)</f>
        <v>0</v>
      </c>
      <c r="O35" s="512">
        <f>Assumptions!$H$60*(1+Assumptions!$N$11)^(O7)</f>
        <v>0</v>
      </c>
      <c r="P35" s="512">
        <f>Assumptions!$H$60*(1+Assumptions!$N$11)^(P7)</f>
        <v>0</v>
      </c>
      <c r="Q35" s="512">
        <f>Assumptions!$H$60*(1+Assumptions!$N$11)^(Q7)</f>
        <v>0</v>
      </c>
      <c r="R35" s="512">
        <f>Assumptions!$H$60*(1+Assumptions!$N$11)^(R7)</f>
        <v>0</v>
      </c>
      <c r="S35" s="512">
        <f>Assumptions!$H$60*(1+Assumptions!$N$11)^(S7)</f>
        <v>0</v>
      </c>
      <c r="T35" s="512">
        <f>Assumptions!$H$60*(1+Assumptions!$N$11)^(T7)</f>
        <v>0</v>
      </c>
      <c r="U35" s="512">
        <f>Assumptions!$H$60*(1+Assumptions!$N$11)^(U7)</f>
        <v>0</v>
      </c>
      <c r="V35" s="512">
        <f>Assumptions!$H$60*(1+Assumptions!$N$11)^(V7)</f>
        <v>0</v>
      </c>
      <c r="W35" s="512">
        <f>Assumptions!$H$60*(1+Assumptions!$N$11)^(W7)</f>
        <v>0</v>
      </c>
      <c r="X35" s="512">
        <f>Assumptions!$H$60*(1+Assumptions!$N$11)^(X7)</f>
        <v>0</v>
      </c>
      <c r="Y35" s="512">
        <f>Assumptions!$H$60*(1+Assumptions!$N$11)^(Y7)</f>
        <v>0</v>
      </c>
      <c r="Z35" s="512">
        <f>Assumptions!$H$60*(1+Assumptions!$N$11)^(Z7)</f>
        <v>0</v>
      </c>
      <c r="AA35" s="512">
        <f>Assumptions!$H$60*(1+Assumptions!$N$11)^(AA7)</f>
        <v>0</v>
      </c>
      <c r="AB35" s="512">
        <f>Assumptions!$H$60*(1+Assumptions!$N$11)^(AB7)</f>
        <v>0</v>
      </c>
      <c r="AC35" s="512">
        <f>Assumptions!$H$60*(1+Assumptions!$N$11)^(AC7)</f>
        <v>0</v>
      </c>
      <c r="AD35" s="512">
        <f>Assumptions!$H$60*(1+Assumptions!$N$11)^(AD7)</f>
        <v>0</v>
      </c>
      <c r="AE35" s="512">
        <f>Assumptions!$H$60*(1+Assumptions!$N$11)^(AE7)</f>
        <v>0</v>
      </c>
      <c r="AF35" s="512">
        <f>Assumptions!$H$60*(1+Assumptions!$N$11)^(AF7)</f>
        <v>0</v>
      </c>
      <c r="AG35" s="512">
        <f>Assumptions!$H$60*(1+Assumptions!$N$11)^(AG7)</f>
        <v>0</v>
      </c>
      <c r="AH35" s="512">
        <f>Assumptions!$H$60*(1+Assumptions!$N$11)^(AH7)</f>
        <v>0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413</v>
      </c>
      <c r="C36" s="12"/>
      <c r="D36" s="492">
        <f>SUM(D34:D35)</f>
        <v>46.09507610803572</v>
      </c>
      <c r="E36" s="492">
        <f t="shared" ref="E36:AH36" si="5">SUM(E34:E35)</f>
        <v>44.681508872767857</v>
      </c>
      <c r="F36" s="492">
        <f t="shared" si="5"/>
        <v>44.091765105803567</v>
      </c>
      <c r="G36" s="492">
        <f t="shared" si="5"/>
        <v>43.903279541071427</v>
      </c>
      <c r="H36" s="492">
        <f t="shared" si="5"/>
        <v>43.872585449107135</v>
      </c>
      <c r="I36" s="492">
        <f t="shared" si="5"/>
        <v>44.559775508035713</v>
      </c>
      <c r="J36" s="492">
        <f t="shared" si="5"/>
        <v>45.633472724999997</v>
      </c>
      <c r="K36" s="492">
        <f t="shared" si="5"/>
        <v>45.722425991517859</v>
      </c>
      <c r="L36" s="492">
        <f t="shared" si="5"/>
        <v>45.722425991517859</v>
      </c>
      <c r="M36" s="492">
        <f t="shared" si="5"/>
        <v>45.722425991517859</v>
      </c>
      <c r="N36" s="492">
        <f t="shared" si="5"/>
        <v>45.722425991517859</v>
      </c>
      <c r="O36" s="492">
        <f t="shared" si="5"/>
        <v>45.722425991517859</v>
      </c>
      <c r="P36" s="492">
        <f t="shared" si="5"/>
        <v>45.722425991517859</v>
      </c>
      <c r="Q36" s="492">
        <f t="shared" si="5"/>
        <v>45.722425991517859</v>
      </c>
      <c r="R36" s="492">
        <f t="shared" si="5"/>
        <v>45.722425991517859</v>
      </c>
      <c r="S36" s="492">
        <f t="shared" si="5"/>
        <v>45.722425991517859</v>
      </c>
      <c r="T36" s="492">
        <f t="shared" si="5"/>
        <v>45.733601024999999</v>
      </c>
      <c r="U36" s="492">
        <f t="shared" si="5"/>
        <v>45.733601024999999</v>
      </c>
      <c r="V36" s="492">
        <f t="shared" si="5"/>
        <v>45.733601024999999</v>
      </c>
      <c r="W36" s="492">
        <f t="shared" si="5"/>
        <v>45.733601024999999</v>
      </c>
      <c r="X36" s="492">
        <f t="shared" si="5"/>
        <v>45.733601024999999</v>
      </c>
      <c r="Y36" s="492">
        <f t="shared" si="5"/>
        <v>23.129637300000002</v>
      </c>
      <c r="Z36" s="492">
        <f t="shared" si="5"/>
        <v>23.129637300000002</v>
      </c>
      <c r="AA36" s="492">
        <f t="shared" si="5"/>
        <v>23.129637300000002</v>
      </c>
      <c r="AB36" s="492">
        <f t="shared" si="5"/>
        <v>23.129637300000002</v>
      </c>
      <c r="AC36" s="492">
        <f t="shared" si="5"/>
        <v>23.129637300000002</v>
      </c>
      <c r="AD36" s="492">
        <f t="shared" si="5"/>
        <v>23.129637300000002</v>
      </c>
      <c r="AE36" s="492">
        <f t="shared" si="5"/>
        <v>23.129637300000002</v>
      </c>
      <c r="AF36" s="492">
        <f t="shared" si="5"/>
        <v>23.129637300000002</v>
      </c>
      <c r="AG36" s="492">
        <f t="shared" si="5"/>
        <v>23.129637300000002</v>
      </c>
      <c r="AH36" s="492">
        <f t="shared" si="5"/>
        <v>23.129637300000002</v>
      </c>
      <c r="AI36" s="495"/>
      <c r="AJ36" s="495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5"/>
      <c r="E37" s="495"/>
      <c r="F37" s="495"/>
      <c r="G37" s="495"/>
      <c r="H37" s="495"/>
      <c r="I37" s="495"/>
      <c r="J37" s="495"/>
      <c r="K37" s="495"/>
      <c r="L37" s="495"/>
      <c r="M37" s="495"/>
      <c r="N37" s="495"/>
      <c r="O37" s="495"/>
      <c r="P37" s="495"/>
      <c r="Q37" s="495"/>
      <c r="R37" s="495"/>
      <c r="S37" s="495"/>
      <c r="T37" s="495"/>
      <c r="U37" s="495"/>
      <c r="V37" s="495"/>
      <c r="W37" s="495"/>
      <c r="X37" s="495"/>
      <c r="Y37" s="495"/>
      <c r="Z37" s="495"/>
      <c r="AA37" s="495"/>
      <c r="AB37" s="495"/>
      <c r="AC37" s="495"/>
      <c r="AD37" s="495"/>
      <c r="AE37" s="495"/>
      <c r="AF37" s="495"/>
      <c r="AG37" s="495"/>
      <c r="AH37" s="495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7" t="str">
        <f>Assumptions!W14</f>
        <v>Pass-through</v>
      </c>
      <c r="B38" s="43" t="s">
        <v>237</v>
      </c>
      <c r="C38" s="12"/>
      <c r="D38" s="509">
        <f>IF($A$38="Pass-through",D36,D34)</f>
        <v>46.09507610803572</v>
      </c>
      <c r="E38" s="510">
        <f t="shared" ref="E38:AH38" si="6">IF($A$38="Pass-through",E36,E34)</f>
        <v>44.681508872767857</v>
      </c>
      <c r="F38" s="510">
        <f t="shared" si="6"/>
        <v>44.091765105803567</v>
      </c>
      <c r="G38" s="510">
        <f t="shared" si="6"/>
        <v>43.903279541071427</v>
      </c>
      <c r="H38" s="510">
        <f t="shared" si="6"/>
        <v>43.872585449107135</v>
      </c>
      <c r="I38" s="510">
        <f t="shared" si="6"/>
        <v>44.559775508035713</v>
      </c>
      <c r="J38" s="510">
        <f t="shared" si="6"/>
        <v>45.633472724999997</v>
      </c>
      <c r="K38" s="510">
        <f t="shared" si="6"/>
        <v>45.722425991517859</v>
      </c>
      <c r="L38" s="510">
        <f t="shared" si="6"/>
        <v>45.722425991517859</v>
      </c>
      <c r="M38" s="510">
        <f t="shared" si="6"/>
        <v>45.722425991517859</v>
      </c>
      <c r="N38" s="510">
        <f t="shared" si="6"/>
        <v>45.722425991517859</v>
      </c>
      <c r="O38" s="510">
        <f t="shared" si="6"/>
        <v>45.722425991517859</v>
      </c>
      <c r="P38" s="510">
        <f t="shared" si="6"/>
        <v>45.722425991517859</v>
      </c>
      <c r="Q38" s="510">
        <f t="shared" si="6"/>
        <v>45.722425991517859</v>
      </c>
      <c r="R38" s="511">
        <f t="shared" si="6"/>
        <v>45.722425991517859</v>
      </c>
      <c r="S38" s="509">
        <f t="shared" si="6"/>
        <v>45.722425991517859</v>
      </c>
      <c r="T38" s="510">
        <f t="shared" si="6"/>
        <v>45.733601024999999</v>
      </c>
      <c r="U38" s="510">
        <f t="shared" si="6"/>
        <v>45.733601024999999</v>
      </c>
      <c r="V38" s="510">
        <f t="shared" si="6"/>
        <v>45.733601024999999</v>
      </c>
      <c r="W38" s="510">
        <f t="shared" si="6"/>
        <v>45.733601024999999</v>
      </c>
      <c r="X38" s="510">
        <f t="shared" si="6"/>
        <v>45.733601024999999</v>
      </c>
      <c r="Y38" s="510">
        <f t="shared" si="6"/>
        <v>23.129637300000002</v>
      </c>
      <c r="Z38" s="510">
        <f t="shared" si="6"/>
        <v>23.129637300000002</v>
      </c>
      <c r="AA38" s="510">
        <f t="shared" si="6"/>
        <v>23.129637300000002</v>
      </c>
      <c r="AB38" s="510">
        <f t="shared" si="6"/>
        <v>23.129637300000002</v>
      </c>
      <c r="AC38" s="510">
        <f t="shared" si="6"/>
        <v>23.129637300000002</v>
      </c>
      <c r="AD38" s="510">
        <f t="shared" si="6"/>
        <v>23.129637300000002</v>
      </c>
      <c r="AE38" s="510">
        <f t="shared" si="6"/>
        <v>23.129637300000002</v>
      </c>
      <c r="AF38" s="510">
        <f t="shared" si="6"/>
        <v>23.129637300000002</v>
      </c>
      <c r="AG38" s="510">
        <f t="shared" si="6"/>
        <v>23.129637300000002</v>
      </c>
      <c r="AH38" s="511">
        <f t="shared" si="6"/>
        <v>23.129637300000002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90" t="s">
        <v>395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396</v>
      </c>
      <c r="C42" s="12"/>
      <c r="D42" s="65">
        <f>Assumptions!$H$14</f>
        <v>10155</v>
      </c>
      <c r="E42" s="65">
        <f>Assumptions!$H$14</f>
        <v>10155</v>
      </c>
      <c r="F42" s="65">
        <f>Assumptions!$H$14</f>
        <v>10155</v>
      </c>
      <c r="G42" s="65">
        <f>Assumptions!$H$14</f>
        <v>10155</v>
      </c>
      <c r="H42" s="65">
        <f>Assumptions!$H$14</f>
        <v>10155</v>
      </c>
      <c r="I42" s="65">
        <f>Assumptions!$H$14</f>
        <v>10155</v>
      </c>
      <c r="J42" s="65">
        <f>Assumptions!$H$14</f>
        <v>10155</v>
      </c>
      <c r="K42" s="65">
        <f>Assumptions!$H$14</f>
        <v>10155</v>
      </c>
      <c r="L42" s="65">
        <f>Assumptions!$H$14</f>
        <v>10155</v>
      </c>
      <c r="M42" s="65">
        <f>Assumptions!$H$14</f>
        <v>10155</v>
      </c>
      <c r="N42" s="65">
        <f>Assumptions!$H$14</f>
        <v>10155</v>
      </c>
      <c r="O42" s="65">
        <f>Assumptions!$H$14</f>
        <v>10155</v>
      </c>
      <c r="P42" s="65">
        <f>Assumptions!$H$14</f>
        <v>10155</v>
      </c>
      <c r="Q42" s="65">
        <f>Assumptions!$H$14</f>
        <v>10155</v>
      </c>
      <c r="R42" s="65">
        <f>Assumptions!$H$14</f>
        <v>10155</v>
      </c>
      <c r="S42" s="65">
        <f>Assumptions!$H$14</f>
        <v>10155</v>
      </c>
      <c r="T42" s="65">
        <f>Assumptions!$H$14</f>
        <v>10155</v>
      </c>
      <c r="U42" s="65">
        <f>Assumptions!$H$14</f>
        <v>10155</v>
      </c>
      <c r="V42" s="65">
        <f>Assumptions!$H$14</f>
        <v>10155</v>
      </c>
      <c r="W42" s="65">
        <f>Assumptions!$H$14</f>
        <v>10155</v>
      </c>
      <c r="X42" s="65">
        <f>Assumptions!$H$14</f>
        <v>10155</v>
      </c>
      <c r="Y42" s="65">
        <f>Assumptions!$H$14</f>
        <v>10155</v>
      </c>
      <c r="Z42" s="65">
        <f>Assumptions!$H$14</f>
        <v>10155</v>
      </c>
      <c r="AA42" s="65">
        <f>Assumptions!$H$14</f>
        <v>10155</v>
      </c>
      <c r="AB42" s="65">
        <f>Assumptions!$H$14</f>
        <v>10155</v>
      </c>
      <c r="AC42" s="65">
        <f>Assumptions!$H$14</f>
        <v>10155</v>
      </c>
      <c r="AD42" s="65">
        <f>Assumptions!$H$14</f>
        <v>10155</v>
      </c>
      <c r="AE42" s="65">
        <f>Assumptions!$H$14</f>
        <v>10155</v>
      </c>
      <c r="AF42" s="65">
        <f>Assumptions!$H$14</f>
        <v>10155</v>
      </c>
      <c r="AG42" s="65">
        <f>Assumptions!$H$14</f>
        <v>10155</v>
      </c>
      <c r="AH42" s="65">
        <f>Assumptions!$H$14</f>
        <v>10155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398</v>
      </c>
      <c r="C43" s="12"/>
      <c r="D43" s="517">
        <v>0.02</v>
      </c>
      <c r="E43" s="517">
        <v>0.02</v>
      </c>
      <c r="F43" s="517">
        <v>0.02</v>
      </c>
      <c r="G43" s="517">
        <v>0.02</v>
      </c>
      <c r="H43" s="517">
        <v>0.02</v>
      </c>
      <c r="I43" s="517">
        <v>0.02</v>
      </c>
      <c r="J43" s="517">
        <v>0.02</v>
      </c>
      <c r="K43" s="517">
        <v>0.02</v>
      </c>
      <c r="L43" s="517">
        <v>0.02</v>
      </c>
      <c r="M43" s="517">
        <v>0.02</v>
      </c>
      <c r="N43" s="517">
        <v>0.02</v>
      </c>
      <c r="O43" s="517">
        <v>0.02</v>
      </c>
      <c r="P43" s="517">
        <v>0.02</v>
      </c>
      <c r="Q43" s="517">
        <v>0.02</v>
      </c>
      <c r="R43" s="517">
        <v>0.02</v>
      </c>
      <c r="S43" s="517">
        <v>0.02</v>
      </c>
      <c r="T43" s="517">
        <v>0.02</v>
      </c>
      <c r="U43" s="517">
        <v>0.02</v>
      </c>
      <c r="V43" s="517">
        <v>0.02</v>
      </c>
      <c r="W43" s="517">
        <v>0.02</v>
      </c>
      <c r="X43" s="517">
        <v>0.02</v>
      </c>
      <c r="Y43" s="517">
        <v>0.02</v>
      </c>
      <c r="Z43" s="517">
        <v>0.02</v>
      </c>
      <c r="AA43" s="517">
        <v>0.02</v>
      </c>
      <c r="AB43" s="517">
        <v>0.02</v>
      </c>
      <c r="AC43" s="517">
        <v>0.02</v>
      </c>
      <c r="AD43" s="517">
        <v>0.02</v>
      </c>
      <c r="AE43" s="517">
        <v>0.02</v>
      </c>
      <c r="AF43" s="517">
        <v>0.02</v>
      </c>
      <c r="AG43" s="517">
        <v>0.02</v>
      </c>
      <c r="AH43" s="517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397</v>
      </c>
      <c r="C44" s="12"/>
      <c r="D44" s="514">
        <f>D42*(1+D43)</f>
        <v>10358.1</v>
      </c>
      <c r="E44" s="515">
        <f t="shared" ref="E44:AH44" si="7">E42*(1+E43)</f>
        <v>10358.1</v>
      </c>
      <c r="F44" s="515">
        <f t="shared" si="7"/>
        <v>10358.1</v>
      </c>
      <c r="G44" s="515">
        <f t="shared" si="7"/>
        <v>10358.1</v>
      </c>
      <c r="H44" s="515">
        <f t="shared" si="7"/>
        <v>10358.1</v>
      </c>
      <c r="I44" s="515">
        <f t="shared" si="7"/>
        <v>10358.1</v>
      </c>
      <c r="J44" s="515">
        <f t="shared" si="7"/>
        <v>10358.1</v>
      </c>
      <c r="K44" s="515">
        <f t="shared" si="7"/>
        <v>10358.1</v>
      </c>
      <c r="L44" s="515">
        <f t="shared" si="7"/>
        <v>10358.1</v>
      </c>
      <c r="M44" s="515">
        <f t="shared" si="7"/>
        <v>10358.1</v>
      </c>
      <c r="N44" s="515">
        <f t="shared" si="7"/>
        <v>10358.1</v>
      </c>
      <c r="O44" s="515">
        <f t="shared" si="7"/>
        <v>10358.1</v>
      </c>
      <c r="P44" s="515">
        <f t="shared" si="7"/>
        <v>10358.1</v>
      </c>
      <c r="Q44" s="515">
        <f t="shared" si="7"/>
        <v>10358.1</v>
      </c>
      <c r="R44" s="516">
        <f t="shared" si="7"/>
        <v>10358.1</v>
      </c>
      <c r="S44" s="514">
        <f t="shared" si="7"/>
        <v>10358.1</v>
      </c>
      <c r="T44" s="515">
        <f t="shared" si="7"/>
        <v>10358.1</v>
      </c>
      <c r="U44" s="515">
        <f t="shared" si="7"/>
        <v>10358.1</v>
      </c>
      <c r="V44" s="515">
        <f t="shared" si="7"/>
        <v>10358.1</v>
      </c>
      <c r="W44" s="515">
        <f t="shared" si="7"/>
        <v>10358.1</v>
      </c>
      <c r="X44" s="515">
        <f t="shared" si="7"/>
        <v>10358.1</v>
      </c>
      <c r="Y44" s="515">
        <f t="shared" si="7"/>
        <v>10358.1</v>
      </c>
      <c r="Z44" s="515">
        <f t="shared" si="7"/>
        <v>10358.1</v>
      </c>
      <c r="AA44" s="515">
        <f t="shared" si="7"/>
        <v>10358.1</v>
      </c>
      <c r="AB44" s="515">
        <f t="shared" si="7"/>
        <v>10358.1</v>
      </c>
      <c r="AC44" s="515">
        <f t="shared" si="7"/>
        <v>10358.1</v>
      </c>
      <c r="AD44" s="515">
        <f t="shared" si="7"/>
        <v>10358.1</v>
      </c>
      <c r="AE44" s="515">
        <f t="shared" si="7"/>
        <v>10358.1</v>
      </c>
      <c r="AF44" s="515">
        <f t="shared" si="7"/>
        <v>10358.1</v>
      </c>
      <c r="AG44" s="515">
        <f t="shared" si="7"/>
        <v>10358.1</v>
      </c>
      <c r="AH44" s="516">
        <f t="shared" si="7"/>
        <v>10358.1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9"/>
  <sheetViews>
    <sheetView workbookViewId="0">
      <selection activeCell="F22" sqref="F22:G24"/>
    </sheetView>
  </sheetViews>
  <sheetFormatPr defaultRowHeight="13.2"/>
  <cols>
    <col min="1" max="1" width="9.109375" style="543" customWidth="1"/>
    <col min="4" max="4" width="13.109375" customWidth="1"/>
  </cols>
  <sheetData>
    <row r="2" spans="1:7">
      <c r="B2" t="s">
        <v>431</v>
      </c>
      <c r="D2" s="533" t="s">
        <v>434</v>
      </c>
    </row>
    <row r="3" spans="1:7">
      <c r="A3" s="543" t="s">
        <v>128</v>
      </c>
      <c r="B3" t="s">
        <v>432</v>
      </c>
      <c r="F3" s="535" t="s">
        <v>23</v>
      </c>
      <c r="G3" s="535" t="s">
        <v>426</v>
      </c>
    </row>
    <row r="4" spans="1:7">
      <c r="A4" s="543">
        <v>37257</v>
      </c>
      <c r="B4">
        <v>4.5994897959183678</v>
      </c>
      <c r="F4">
        <v>2002</v>
      </c>
      <c r="G4" s="534">
        <f>D15</f>
        <v>4.3843820861678013</v>
      </c>
    </row>
    <row r="5" spans="1:7">
      <c r="A5" s="543">
        <v>37288</v>
      </c>
      <c r="B5">
        <v>4.4852040816326531</v>
      </c>
      <c r="F5">
        <v>2003</v>
      </c>
      <c r="G5" s="534">
        <f>D27</f>
        <v>4.2499291383219955</v>
      </c>
    </row>
    <row r="6" spans="1:7">
      <c r="A6" s="543">
        <v>37316</v>
      </c>
      <c r="B6">
        <v>4.353741496598639</v>
      </c>
      <c r="F6">
        <v>2004</v>
      </c>
      <c r="G6" s="534">
        <f>D39</f>
        <v>4.1938350340136061</v>
      </c>
    </row>
    <row r="7" spans="1:7">
      <c r="A7" s="543">
        <v>37347</v>
      </c>
      <c r="B7">
        <v>4.3272108843537413</v>
      </c>
      <c r="F7">
        <v>2005</v>
      </c>
      <c r="G7" s="534">
        <f>D51</f>
        <v>4.1759070294784584</v>
      </c>
    </row>
    <row r="8" spans="1:7">
      <c r="A8" s="543">
        <v>37377</v>
      </c>
      <c r="B8">
        <v>4.2715986394557834</v>
      </c>
      <c r="F8">
        <v>2006</v>
      </c>
      <c r="G8" s="534">
        <f>D63</f>
        <v>4.1729875283446711</v>
      </c>
    </row>
    <row r="9" spans="1:7">
      <c r="A9" s="543">
        <v>37408</v>
      </c>
      <c r="B9">
        <v>4.2794217687074836</v>
      </c>
      <c r="F9">
        <v>2007</v>
      </c>
      <c r="G9" s="534">
        <f>D75</f>
        <v>4.2383503401360549</v>
      </c>
    </row>
    <row r="10" spans="1:7">
      <c r="A10" s="543">
        <v>37438</v>
      </c>
      <c r="B10">
        <v>4.3008503401360549</v>
      </c>
      <c r="F10">
        <v>2008</v>
      </c>
      <c r="G10" s="534">
        <f>D87</f>
        <v>4.340476190476191</v>
      </c>
    </row>
    <row r="11" spans="1:7">
      <c r="A11" s="543">
        <v>37469</v>
      </c>
      <c r="B11">
        <v>4.3515306122448987</v>
      </c>
      <c r="F11">
        <v>2009</v>
      </c>
      <c r="G11" s="534">
        <f>D99</f>
        <v>4.3489370748299327</v>
      </c>
    </row>
    <row r="12" spans="1:7">
      <c r="A12" s="543">
        <v>37500</v>
      </c>
      <c r="B12">
        <v>4.4030612244897958</v>
      </c>
      <c r="F12">
        <v>2010</v>
      </c>
      <c r="G12" s="534">
        <f>D111</f>
        <v>4.3489370748299327</v>
      </c>
    </row>
    <row r="13" spans="1:7">
      <c r="A13" s="543">
        <v>37530</v>
      </c>
      <c r="B13">
        <v>4.3602040816326531</v>
      </c>
      <c r="F13">
        <v>2011</v>
      </c>
      <c r="G13" s="534">
        <f>D123</f>
        <v>4.3489370748299327</v>
      </c>
    </row>
    <row r="14" spans="1:7">
      <c r="A14" s="543">
        <v>37561</v>
      </c>
      <c r="B14">
        <v>4.4193877551020408</v>
      </c>
      <c r="F14">
        <v>2012</v>
      </c>
      <c r="G14" s="534">
        <f>D135</f>
        <v>4.3489370748299327</v>
      </c>
    </row>
    <row r="15" spans="1:7">
      <c r="A15" s="543">
        <v>37591</v>
      </c>
      <c r="B15">
        <v>4.4608843537414966</v>
      </c>
      <c r="D15" s="545">
        <f>AVERAGE(B4:B15)</f>
        <v>4.3843820861678013</v>
      </c>
      <c r="F15">
        <v>2013</v>
      </c>
      <c r="G15" s="534">
        <f>D147</f>
        <v>4.3489370748299327</v>
      </c>
    </row>
    <row r="16" spans="1:7">
      <c r="A16" s="543">
        <v>37622</v>
      </c>
      <c r="B16">
        <v>4.4158163265306118</v>
      </c>
      <c r="F16">
        <v>2014</v>
      </c>
      <c r="G16" s="534">
        <f>D159</f>
        <v>4.3489370748299327</v>
      </c>
    </row>
    <row r="17" spans="1:7">
      <c r="A17" s="543">
        <v>37653</v>
      </c>
      <c r="B17">
        <v>4.3137755102040813</v>
      </c>
      <c r="F17">
        <v>2015</v>
      </c>
      <c r="G17" s="534">
        <f>D171</f>
        <v>4.3489370748299327</v>
      </c>
    </row>
    <row r="18" spans="1:7">
      <c r="A18" s="543">
        <v>37681</v>
      </c>
      <c r="B18">
        <v>4.1923469387755095</v>
      </c>
      <c r="F18">
        <v>2016</v>
      </c>
      <c r="G18" s="534">
        <f>D183</f>
        <v>4.3489370748299327</v>
      </c>
    </row>
    <row r="19" spans="1:7">
      <c r="A19" s="543">
        <v>37712</v>
      </c>
      <c r="B19">
        <v>4.1744897959183671</v>
      </c>
      <c r="F19">
        <v>2017</v>
      </c>
      <c r="G19" s="534">
        <f>D195</f>
        <v>4.3489370748299327</v>
      </c>
    </row>
    <row r="20" spans="1:7">
      <c r="A20" s="543">
        <v>37742</v>
      </c>
      <c r="B20">
        <v>4.1301020408163263</v>
      </c>
      <c r="F20">
        <v>2018</v>
      </c>
      <c r="G20" s="534">
        <v>4.3499999999999996</v>
      </c>
    </row>
    <row r="21" spans="1:7">
      <c r="A21" s="543">
        <v>37773</v>
      </c>
      <c r="B21">
        <v>4.1459183673469386</v>
      </c>
      <c r="F21">
        <v>2019</v>
      </c>
      <c r="G21" s="534">
        <v>4.3499999999999996</v>
      </c>
    </row>
    <row r="22" spans="1:7">
      <c r="A22" s="543">
        <v>37803</v>
      </c>
      <c r="B22">
        <v>4.1744897959183671</v>
      </c>
      <c r="F22">
        <v>2020</v>
      </c>
      <c r="G22" s="534">
        <v>4.3499999999999996</v>
      </c>
    </row>
    <row r="23" spans="1:7">
      <c r="A23" s="543">
        <v>37834</v>
      </c>
      <c r="B23">
        <v>4.2329931972789119</v>
      </c>
      <c r="F23">
        <v>2021</v>
      </c>
      <c r="G23" s="534">
        <v>4.3499999999999996</v>
      </c>
    </row>
    <row r="24" spans="1:7">
      <c r="A24" s="543">
        <v>37865</v>
      </c>
      <c r="B24">
        <v>4.2887755102040819</v>
      </c>
      <c r="F24">
        <v>2022</v>
      </c>
      <c r="G24" s="534">
        <v>4.3499999999999996</v>
      </c>
    </row>
    <row r="25" spans="1:7">
      <c r="A25" s="543">
        <v>37895</v>
      </c>
      <c r="B25">
        <v>4.2508503401360542</v>
      </c>
      <c r="G25" s="534"/>
    </row>
    <row r="26" spans="1:7">
      <c r="A26" s="543">
        <v>37926</v>
      </c>
      <c r="B26">
        <v>4.3158163265306122</v>
      </c>
      <c r="G26" s="534"/>
    </row>
    <row r="27" spans="1:7">
      <c r="A27" s="543">
        <v>37956</v>
      </c>
      <c r="B27">
        <v>4.3637755102040821</v>
      </c>
      <c r="D27" s="545">
        <f>AVERAGE(B16:B27)</f>
        <v>4.2499291383219955</v>
      </c>
      <c r="G27" s="534"/>
    </row>
    <row r="28" spans="1:7">
      <c r="A28" s="543">
        <v>37987</v>
      </c>
      <c r="B28">
        <v>4.3258503401360544</v>
      </c>
      <c r="G28" s="534"/>
    </row>
    <row r="29" spans="1:7">
      <c r="A29" s="543">
        <v>38018</v>
      </c>
      <c r="B29">
        <v>4.2294217687074838</v>
      </c>
      <c r="G29" s="534"/>
    </row>
    <row r="30" spans="1:7">
      <c r="A30" s="543">
        <v>38047</v>
      </c>
      <c r="B30">
        <v>4.1144557823129251</v>
      </c>
    </row>
    <row r="31" spans="1:7">
      <c r="A31" s="543">
        <v>38078</v>
      </c>
      <c r="B31">
        <v>4.1030612244897959</v>
      </c>
    </row>
    <row r="32" spans="1:7">
      <c r="A32" s="543">
        <v>38108</v>
      </c>
      <c r="B32">
        <v>4.0651360544217692</v>
      </c>
    </row>
    <row r="33" spans="1:4">
      <c r="A33" s="543">
        <v>38139</v>
      </c>
      <c r="B33">
        <v>4.0865646258503396</v>
      </c>
    </row>
    <row r="34" spans="1:4">
      <c r="A34" s="543">
        <v>38169</v>
      </c>
      <c r="B34">
        <v>4.1229591836734691</v>
      </c>
    </row>
    <row r="35" spans="1:4">
      <c r="A35" s="543">
        <v>38200</v>
      </c>
      <c r="B35">
        <v>4.1872448979591832</v>
      </c>
    </row>
    <row r="36" spans="1:4">
      <c r="A36" s="543">
        <v>38231</v>
      </c>
      <c r="B36">
        <v>4.2494897959183682</v>
      </c>
    </row>
    <row r="37" spans="1:4">
      <c r="A37" s="543">
        <v>38261</v>
      </c>
      <c r="B37">
        <v>4.2180272108843546</v>
      </c>
    </row>
    <row r="38" spans="1:4">
      <c r="A38" s="543">
        <v>38292</v>
      </c>
      <c r="B38">
        <v>4.2872448979591837</v>
      </c>
    </row>
    <row r="39" spans="1:4">
      <c r="A39" s="543">
        <v>38322</v>
      </c>
      <c r="B39">
        <v>4.3365646258503405</v>
      </c>
      <c r="D39" s="545">
        <f>AVERAGE(B28:B39)</f>
        <v>4.1938350340136061</v>
      </c>
    </row>
    <row r="40" spans="1:4">
      <c r="A40" s="543">
        <v>38353</v>
      </c>
      <c r="B40">
        <v>4.3001700680272101</v>
      </c>
    </row>
    <row r="41" spans="1:4">
      <c r="A41" s="543">
        <v>38384</v>
      </c>
      <c r="B41">
        <v>4.2051020408163264</v>
      </c>
    </row>
    <row r="42" spans="1:4">
      <c r="A42" s="543">
        <v>38412</v>
      </c>
      <c r="B42">
        <v>4.0914965986394556</v>
      </c>
    </row>
    <row r="43" spans="1:4">
      <c r="A43" s="543">
        <v>38443</v>
      </c>
      <c r="B43">
        <v>4.0816326530612237</v>
      </c>
    </row>
    <row r="44" spans="1:4">
      <c r="A44" s="543">
        <v>38473</v>
      </c>
      <c r="B44">
        <v>4.0450680272108848</v>
      </c>
    </row>
    <row r="45" spans="1:4">
      <c r="A45" s="543">
        <v>38504</v>
      </c>
      <c r="B45">
        <v>4.0680272108843543</v>
      </c>
    </row>
    <row r="46" spans="1:4">
      <c r="A46" s="543">
        <v>38534</v>
      </c>
      <c r="B46">
        <v>4.1057823129251698</v>
      </c>
    </row>
    <row r="47" spans="1:4">
      <c r="A47" s="543">
        <v>38565</v>
      </c>
      <c r="B47">
        <v>4.171598639455782</v>
      </c>
    </row>
    <row r="48" spans="1:4">
      <c r="A48" s="543">
        <v>38596</v>
      </c>
      <c r="B48">
        <v>4.2352040816326539</v>
      </c>
    </row>
    <row r="49" spans="1:4">
      <c r="A49" s="543">
        <v>38626</v>
      </c>
      <c r="B49">
        <v>4.2051020408163264</v>
      </c>
    </row>
    <row r="50" spans="1:4">
      <c r="A50" s="543">
        <v>38657</v>
      </c>
      <c r="B50">
        <v>4.2758503401360546</v>
      </c>
    </row>
    <row r="51" spans="1:4">
      <c r="A51" s="543">
        <v>38687</v>
      </c>
      <c r="B51">
        <v>4.3258503401360544</v>
      </c>
      <c r="D51" s="545">
        <f>AVERAGE(B40:B51)</f>
        <v>4.1759070294784584</v>
      </c>
    </row>
    <row r="52" spans="1:4">
      <c r="A52" s="543">
        <v>38718</v>
      </c>
      <c r="B52">
        <v>4.2901360544217688</v>
      </c>
    </row>
    <row r="53" spans="1:4">
      <c r="A53" s="543">
        <v>38749</v>
      </c>
      <c r="B53">
        <v>4.1965986394557824</v>
      </c>
    </row>
    <row r="54" spans="1:4">
      <c r="A54" s="543">
        <v>38777</v>
      </c>
      <c r="B54">
        <v>4.0843537414965976</v>
      </c>
    </row>
    <row r="55" spans="1:4">
      <c r="A55" s="543">
        <v>38808</v>
      </c>
      <c r="B55">
        <v>4.0751700680272105</v>
      </c>
    </row>
    <row r="56" spans="1:4">
      <c r="A56" s="543">
        <v>38838</v>
      </c>
      <c r="B56">
        <v>4.0394557823129249</v>
      </c>
    </row>
    <row r="57" spans="1:4">
      <c r="A57" s="543">
        <v>38869</v>
      </c>
      <c r="B57">
        <v>4.0637755102040813</v>
      </c>
    </row>
    <row r="58" spans="1:4">
      <c r="A58" s="543">
        <v>38899</v>
      </c>
      <c r="B58">
        <v>4.1022108843537417</v>
      </c>
    </row>
    <row r="59" spans="1:4">
      <c r="A59" s="543">
        <v>38930</v>
      </c>
      <c r="B59">
        <v>4.16938775510204</v>
      </c>
    </row>
    <row r="60" spans="1:4">
      <c r="A60" s="543">
        <v>38961</v>
      </c>
      <c r="B60">
        <v>4.2336734693877549</v>
      </c>
    </row>
    <row r="61" spans="1:4">
      <c r="A61" s="543">
        <v>38991</v>
      </c>
      <c r="B61">
        <v>4.2044217687074825</v>
      </c>
    </row>
    <row r="62" spans="1:4">
      <c r="A62" s="543">
        <v>39022</v>
      </c>
      <c r="B62">
        <v>4.2794217687074836</v>
      </c>
    </row>
    <row r="63" spans="1:4">
      <c r="A63" s="543">
        <v>39052</v>
      </c>
      <c r="B63">
        <v>4.3372448979591844</v>
      </c>
      <c r="D63" s="545">
        <f>AVERAGE(B52:B63)</f>
        <v>4.1729875283446711</v>
      </c>
    </row>
    <row r="64" spans="1:4">
      <c r="A64" s="543">
        <v>39083</v>
      </c>
      <c r="B64">
        <v>4.3108843537414963</v>
      </c>
    </row>
    <row r="65" spans="1:4">
      <c r="A65" s="543">
        <v>39114</v>
      </c>
      <c r="B65">
        <v>4.2244897959183678</v>
      </c>
    </row>
    <row r="66" spans="1:4">
      <c r="A66" s="543">
        <v>39142</v>
      </c>
      <c r="B66">
        <v>4.1215986394557822</v>
      </c>
    </row>
    <row r="67" spans="1:4">
      <c r="A67" s="543">
        <v>39173</v>
      </c>
      <c r="B67">
        <v>4.1200680272108841</v>
      </c>
    </row>
    <row r="68" spans="1:4">
      <c r="A68" s="543">
        <v>39203</v>
      </c>
      <c r="B68">
        <v>4.0937074829931976</v>
      </c>
    </row>
    <row r="69" spans="1:4">
      <c r="A69" s="543">
        <v>39234</v>
      </c>
      <c r="B69">
        <v>4.1258503401360542</v>
      </c>
    </row>
    <row r="70" spans="1:4">
      <c r="A70" s="543">
        <v>39264</v>
      </c>
      <c r="B70">
        <v>4.172959183673469</v>
      </c>
    </row>
    <row r="71" spans="1:4">
      <c r="A71" s="543">
        <v>39295</v>
      </c>
      <c r="B71">
        <v>4.2486394557823131</v>
      </c>
    </row>
    <row r="72" spans="1:4">
      <c r="A72" s="543">
        <v>39326</v>
      </c>
      <c r="B72">
        <v>4.3209183673469393</v>
      </c>
    </row>
    <row r="73" spans="1:4">
      <c r="A73" s="543">
        <v>39356</v>
      </c>
      <c r="B73">
        <v>4.3008503401360549</v>
      </c>
    </row>
    <row r="74" spans="1:4">
      <c r="A74" s="543">
        <v>39387</v>
      </c>
      <c r="B74">
        <v>4.3807823129251702</v>
      </c>
    </row>
    <row r="75" spans="1:4">
      <c r="A75" s="543">
        <v>39417</v>
      </c>
      <c r="B75">
        <v>4.4394557823129261</v>
      </c>
      <c r="D75" s="545">
        <f>AVERAGE(B64:B75)</f>
        <v>4.2383503401360549</v>
      </c>
    </row>
    <row r="76" spans="1:4">
      <c r="A76" s="543">
        <v>39448</v>
      </c>
      <c r="B76">
        <v>4.4129251700680276</v>
      </c>
    </row>
    <row r="77" spans="1:4">
      <c r="A77" s="543">
        <v>39479</v>
      </c>
      <c r="B77">
        <v>4.3272108843537413</v>
      </c>
    </row>
    <row r="78" spans="1:4">
      <c r="A78" s="543">
        <v>39508</v>
      </c>
      <c r="B78">
        <v>4.2229591836734688</v>
      </c>
    </row>
    <row r="79" spans="1:4">
      <c r="A79" s="543">
        <v>39539</v>
      </c>
      <c r="B79">
        <v>4.2229591836734688</v>
      </c>
    </row>
    <row r="80" spans="1:4">
      <c r="A80" s="543">
        <v>39569</v>
      </c>
      <c r="B80">
        <v>4.1959183673469393</v>
      </c>
    </row>
    <row r="81" spans="1:4">
      <c r="A81" s="543">
        <v>39600</v>
      </c>
      <c r="B81">
        <v>4.2272108843537408</v>
      </c>
    </row>
    <row r="82" spans="1:4">
      <c r="A82" s="543">
        <v>39630</v>
      </c>
      <c r="B82">
        <v>4.2758503401360546</v>
      </c>
    </row>
    <row r="83" spans="1:4">
      <c r="A83" s="543">
        <v>39661</v>
      </c>
      <c r="B83">
        <v>4.3501700680272108</v>
      </c>
    </row>
    <row r="84" spans="1:4">
      <c r="A84" s="543">
        <v>39692</v>
      </c>
      <c r="B84">
        <v>4.4229591836734699</v>
      </c>
    </row>
    <row r="85" spans="1:4">
      <c r="A85" s="543">
        <v>39722</v>
      </c>
      <c r="B85">
        <v>4.4037414965986397</v>
      </c>
    </row>
    <row r="86" spans="1:4">
      <c r="A86" s="543">
        <v>39753</v>
      </c>
      <c r="B86">
        <v>4.4823129251700671</v>
      </c>
    </row>
    <row r="87" spans="1:4">
      <c r="A87" s="543">
        <v>39783</v>
      </c>
      <c r="B87">
        <v>4.5414965986394558</v>
      </c>
      <c r="D87" s="545">
        <f>AVERAGE(B76:B87)</f>
        <v>4.340476190476191</v>
      </c>
    </row>
    <row r="88" spans="1:4">
      <c r="A88" s="543">
        <v>39814</v>
      </c>
      <c r="B88">
        <v>4.5144557823129254</v>
      </c>
    </row>
    <row r="89" spans="1:4">
      <c r="A89" s="543">
        <v>39845</v>
      </c>
      <c r="B89">
        <v>4.3272108843537413</v>
      </c>
    </row>
    <row r="90" spans="1:4">
      <c r="A90" s="543">
        <v>39873</v>
      </c>
      <c r="B90">
        <v>4.2229591836734688</v>
      </c>
    </row>
    <row r="91" spans="1:4">
      <c r="A91" s="543">
        <v>39904</v>
      </c>
      <c r="B91">
        <v>4.2229591836734688</v>
      </c>
    </row>
    <row r="92" spans="1:4">
      <c r="A92" s="543">
        <v>39934</v>
      </c>
      <c r="B92">
        <v>4.1959183673469393</v>
      </c>
    </row>
    <row r="93" spans="1:4">
      <c r="A93" s="543">
        <v>39965</v>
      </c>
      <c r="B93">
        <v>4.2272108843537408</v>
      </c>
    </row>
    <row r="94" spans="1:4">
      <c r="A94" s="543">
        <v>39995</v>
      </c>
      <c r="B94">
        <v>4.2758503401360546</v>
      </c>
    </row>
    <row r="95" spans="1:4">
      <c r="A95" s="543">
        <v>40026</v>
      </c>
      <c r="B95">
        <v>4.3501700680272108</v>
      </c>
    </row>
    <row r="96" spans="1:4">
      <c r="A96" s="543">
        <v>40057</v>
      </c>
      <c r="B96">
        <v>4.4229591836734699</v>
      </c>
    </row>
    <row r="97" spans="1:4">
      <c r="A97" s="543">
        <v>40087</v>
      </c>
      <c r="B97">
        <v>4.4037414965986397</v>
      </c>
    </row>
    <row r="98" spans="1:4">
      <c r="A98" s="543">
        <v>40118</v>
      </c>
      <c r="B98">
        <v>4.4823129251700671</v>
      </c>
    </row>
    <row r="99" spans="1:4">
      <c r="A99" s="543">
        <v>40148</v>
      </c>
      <c r="B99">
        <v>4.5414965986394558</v>
      </c>
      <c r="D99" s="545">
        <f>AVERAGE(B88:B99)</f>
        <v>4.3489370748299327</v>
      </c>
    </row>
    <row r="100" spans="1:4">
      <c r="A100" s="543">
        <v>40179</v>
      </c>
      <c r="B100">
        <v>4.5144557823129254</v>
      </c>
    </row>
    <row r="101" spans="1:4">
      <c r="A101" s="543">
        <v>40210</v>
      </c>
      <c r="B101">
        <v>4.3272108843537413</v>
      </c>
    </row>
    <row r="102" spans="1:4">
      <c r="A102" s="543">
        <v>40238</v>
      </c>
      <c r="B102">
        <v>4.2229591836734688</v>
      </c>
    </row>
    <row r="103" spans="1:4">
      <c r="A103" s="543">
        <v>40269</v>
      </c>
      <c r="B103">
        <v>4.2229591836734688</v>
      </c>
    </row>
    <row r="104" spans="1:4">
      <c r="A104" s="543">
        <v>40299</v>
      </c>
      <c r="B104">
        <v>4.1959183673469393</v>
      </c>
    </row>
    <row r="105" spans="1:4">
      <c r="A105" s="543">
        <v>40330</v>
      </c>
      <c r="B105">
        <v>4.2272108843537408</v>
      </c>
    </row>
    <row r="106" spans="1:4">
      <c r="A106" s="543">
        <v>40360</v>
      </c>
      <c r="B106">
        <v>4.2758503401360546</v>
      </c>
    </row>
    <row r="107" spans="1:4">
      <c r="A107" s="543">
        <v>40391</v>
      </c>
      <c r="B107">
        <v>4.3501700680272108</v>
      </c>
    </row>
    <row r="108" spans="1:4">
      <c r="A108" s="543">
        <v>40422</v>
      </c>
      <c r="B108">
        <v>4.4229591836734699</v>
      </c>
    </row>
    <row r="109" spans="1:4">
      <c r="A109" s="543">
        <v>40452</v>
      </c>
      <c r="B109">
        <v>4.4037414965986397</v>
      </c>
    </row>
    <row r="110" spans="1:4">
      <c r="A110" s="543">
        <v>40483</v>
      </c>
      <c r="B110">
        <v>4.4823129251700671</v>
      </c>
    </row>
    <row r="111" spans="1:4">
      <c r="A111" s="543">
        <v>40513</v>
      </c>
      <c r="B111">
        <v>4.5414965986394558</v>
      </c>
      <c r="D111" s="545">
        <f>AVERAGE(B100:B111)</f>
        <v>4.3489370748299327</v>
      </c>
    </row>
    <row r="112" spans="1:4">
      <c r="A112" s="543">
        <v>40544</v>
      </c>
      <c r="B112">
        <v>4.5144557823129254</v>
      </c>
    </row>
    <row r="113" spans="1:4">
      <c r="A113" s="543">
        <v>40575</v>
      </c>
      <c r="B113">
        <v>4.3272108843537413</v>
      </c>
    </row>
    <row r="114" spans="1:4">
      <c r="A114" s="543">
        <v>40603</v>
      </c>
      <c r="B114">
        <v>4.2229591836734688</v>
      </c>
    </row>
    <row r="115" spans="1:4">
      <c r="A115" s="543">
        <v>40634</v>
      </c>
      <c r="B115">
        <v>4.2229591836734688</v>
      </c>
    </row>
    <row r="116" spans="1:4">
      <c r="A116" s="543">
        <v>40664</v>
      </c>
      <c r="B116">
        <v>4.1959183673469393</v>
      </c>
    </row>
    <row r="117" spans="1:4">
      <c r="A117" s="543">
        <v>40695</v>
      </c>
      <c r="B117">
        <v>4.2272108843537408</v>
      </c>
    </row>
    <row r="118" spans="1:4">
      <c r="A118" s="543">
        <v>40725</v>
      </c>
      <c r="B118">
        <v>4.2758503401360546</v>
      </c>
    </row>
    <row r="119" spans="1:4">
      <c r="A119" s="543">
        <v>40756</v>
      </c>
      <c r="B119">
        <v>4.3501700680272108</v>
      </c>
    </row>
    <row r="120" spans="1:4">
      <c r="A120" s="543">
        <v>40787</v>
      </c>
      <c r="B120">
        <v>4.4229591836734699</v>
      </c>
    </row>
    <row r="121" spans="1:4">
      <c r="A121" s="543">
        <v>40817</v>
      </c>
      <c r="B121">
        <v>4.4037414965986397</v>
      </c>
    </row>
    <row r="122" spans="1:4">
      <c r="A122" s="543">
        <v>40848</v>
      </c>
      <c r="B122">
        <v>4.4823129251700671</v>
      </c>
    </row>
    <row r="123" spans="1:4">
      <c r="A123" s="543">
        <v>40878</v>
      </c>
      <c r="B123">
        <v>4.5414965986394558</v>
      </c>
      <c r="D123" s="545">
        <f>AVERAGE(B112:B123)</f>
        <v>4.3489370748299327</v>
      </c>
    </row>
    <row r="124" spans="1:4">
      <c r="A124" s="543">
        <v>40909</v>
      </c>
      <c r="B124">
        <v>4.5144557823129254</v>
      </c>
    </row>
    <row r="125" spans="1:4">
      <c r="A125" s="543">
        <v>40940</v>
      </c>
      <c r="B125">
        <v>4.3272108843537413</v>
      </c>
    </row>
    <row r="126" spans="1:4">
      <c r="A126" s="543">
        <v>40969</v>
      </c>
      <c r="B126">
        <v>4.2229591836734688</v>
      </c>
    </row>
    <row r="127" spans="1:4">
      <c r="A127" s="543">
        <v>41000</v>
      </c>
      <c r="B127">
        <v>4.2229591836734688</v>
      </c>
    </row>
    <row r="128" spans="1:4">
      <c r="A128" s="543">
        <v>41030</v>
      </c>
      <c r="B128">
        <v>4.1959183673469393</v>
      </c>
    </row>
    <row r="129" spans="1:4">
      <c r="A129" s="543">
        <v>41061</v>
      </c>
      <c r="B129">
        <v>4.2272108843537408</v>
      </c>
    </row>
    <row r="130" spans="1:4">
      <c r="A130" s="543">
        <v>41091</v>
      </c>
      <c r="B130">
        <v>4.2758503401360546</v>
      </c>
    </row>
    <row r="131" spans="1:4">
      <c r="A131" s="543">
        <v>41122</v>
      </c>
      <c r="B131">
        <v>4.3501700680272108</v>
      </c>
    </row>
    <row r="132" spans="1:4">
      <c r="A132" s="543">
        <v>41153</v>
      </c>
      <c r="B132">
        <v>4.4229591836734699</v>
      </c>
    </row>
    <row r="133" spans="1:4">
      <c r="A133" s="543">
        <v>41183</v>
      </c>
      <c r="B133">
        <v>4.4037414965986397</v>
      </c>
    </row>
    <row r="134" spans="1:4">
      <c r="A134" s="543">
        <v>41214</v>
      </c>
      <c r="B134">
        <v>4.4823129251700671</v>
      </c>
    </row>
    <row r="135" spans="1:4">
      <c r="A135" s="543">
        <v>41244</v>
      </c>
      <c r="B135">
        <v>4.5414965986394558</v>
      </c>
      <c r="D135" s="545">
        <f>AVERAGE(B124:B135)</f>
        <v>4.3489370748299327</v>
      </c>
    </row>
    <row r="136" spans="1:4">
      <c r="A136" s="543">
        <v>41275</v>
      </c>
      <c r="B136">
        <v>4.5144557823129254</v>
      </c>
    </row>
    <row r="137" spans="1:4">
      <c r="A137" s="543">
        <v>41306</v>
      </c>
      <c r="B137">
        <v>4.3272108843537413</v>
      </c>
    </row>
    <row r="138" spans="1:4">
      <c r="A138" s="543">
        <v>41334</v>
      </c>
      <c r="B138">
        <v>4.2229591836734688</v>
      </c>
    </row>
    <row r="139" spans="1:4">
      <c r="A139" s="543">
        <v>41365</v>
      </c>
      <c r="B139">
        <v>4.2229591836734688</v>
      </c>
    </row>
    <row r="140" spans="1:4">
      <c r="A140" s="543">
        <v>41395</v>
      </c>
      <c r="B140">
        <v>4.1959183673469393</v>
      </c>
    </row>
    <row r="141" spans="1:4">
      <c r="A141" s="543">
        <v>41426</v>
      </c>
      <c r="B141">
        <v>4.2272108843537408</v>
      </c>
    </row>
    <row r="142" spans="1:4">
      <c r="A142" s="543">
        <v>41456</v>
      </c>
      <c r="B142">
        <v>4.2758503401360546</v>
      </c>
    </row>
    <row r="143" spans="1:4">
      <c r="A143" s="543">
        <v>41487</v>
      </c>
      <c r="B143">
        <v>4.3501700680272108</v>
      </c>
    </row>
    <row r="144" spans="1:4">
      <c r="A144" s="543">
        <v>41518</v>
      </c>
      <c r="B144">
        <v>4.4229591836734699</v>
      </c>
    </row>
    <row r="145" spans="1:4">
      <c r="A145" s="543">
        <v>41548</v>
      </c>
      <c r="B145">
        <v>4.4037414965986397</v>
      </c>
    </row>
    <row r="146" spans="1:4">
      <c r="A146" s="543">
        <v>41579</v>
      </c>
      <c r="B146">
        <v>4.4823129251700671</v>
      </c>
    </row>
    <row r="147" spans="1:4">
      <c r="A147" s="543">
        <v>41609</v>
      </c>
      <c r="B147">
        <v>4.5414965986394558</v>
      </c>
      <c r="D147" s="545">
        <f>AVERAGE(B136:B147)</f>
        <v>4.3489370748299327</v>
      </c>
    </row>
    <row r="148" spans="1:4">
      <c r="A148" s="543">
        <v>41640</v>
      </c>
      <c r="B148">
        <v>4.5144557823129254</v>
      </c>
    </row>
    <row r="149" spans="1:4">
      <c r="A149" s="543">
        <v>41671</v>
      </c>
      <c r="B149">
        <v>4.3272108843537413</v>
      </c>
    </row>
    <row r="150" spans="1:4">
      <c r="A150" s="543">
        <v>41699</v>
      </c>
      <c r="B150">
        <v>4.2229591836734688</v>
      </c>
    </row>
    <row r="151" spans="1:4">
      <c r="A151" s="543">
        <v>41730</v>
      </c>
      <c r="B151">
        <v>4.2229591836734688</v>
      </c>
    </row>
    <row r="152" spans="1:4">
      <c r="A152" s="543">
        <v>41760</v>
      </c>
      <c r="B152">
        <v>4.1959183673469393</v>
      </c>
    </row>
    <row r="153" spans="1:4">
      <c r="A153" s="543">
        <v>41791</v>
      </c>
      <c r="B153">
        <v>4.2272108843537408</v>
      </c>
    </row>
    <row r="154" spans="1:4">
      <c r="A154" s="543">
        <v>41821</v>
      </c>
      <c r="B154">
        <v>4.2758503401360546</v>
      </c>
    </row>
    <row r="155" spans="1:4">
      <c r="A155" s="543">
        <v>41852</v>
      </c>
      <c r="B155">
        <v>4.3501700680272108</v>
      </c>
    </row>
    <row r="156" spans="1:4">
      <c r="A156" s="543">
        <v>41883</v>
      </c>
      <c r="B156">
        <v>4.4229591836734699</v>
      </c>
    </row>
    <row r="157" spans="1:4">
      <c r="A157" s="543">
        <v>41913</v>
      </c>
      <c r="B157">
        <v>4.4037414965986397</v>
      </c>
    </row>
    <row r="158" spans="1:4">
      <c r="A158" s="543">
        <v>41944</v>
      </c>
      <c r="B158">
        <v>4.4823129251700671</v>
      </c>
    </row>
    <row r="159" spans="1:4">
      <c r="A159" s="543">
        <v>41974</v>
      </c>
      <c r="B159">
        <v>4.5414965986394558</v>
      </c>
      <c r="D159" s="545">
        <f>AVERAGE(B148:B159)</f>
        <v>4.3489370748299327</v>
      </c>
    </row>
    <row r="160" spans="1:4">
      <c r="A160" s="543">
        <v>42005</v>
      </c>
      <c r="B160">
        <v>4.5144557823129254</v>
      </c>
    </row>
    <row r="161" spans="1:4">
      <c r="A161" s="543">
        <v>42036</v>
      </c>
      <c r="B161">
        <v>4.3272108843537413</v>
      </c>
    </row>
    <row r="162" spans="1:4">
      <c r="A162" s="543">
        <v>42064</v>
      </c>
      <c r="B162">
        <v>4.2229591836734688</v>
      </c>
    </row>
    <row r="163" spans="1:4">
      <c r="A163" s="543">
        <v>42095</v>
      </c>
      <c r="B163">
        <v>4.2229591836734688</v>
      </c>
    </row>
    <row r="164" spans="1:4">
      <c r="A164" s="543">
        <v>42125</v>
      </c>
      <c r="B164">
        <v>4.1959183673469393</v>
      </c>
    </row>
    <row r="165" spans="1:4">
      <c r="A165" s="543">
        <v>42156</v>
      </c>
      <c r="B165">
        <v>4.2272108843537408</v>
      </c>
    </row>
    <row r="166" spans="1:4">
      <c r="A166" s="543">
        <v>42186</v>
      </c>
      <c r="B166">
        <v>4.2758503401360546</v>
      </c>
    </row>
    <row r="167" spans="1:4">
      <c r="A167" s="543">
        <v>42217</v>
      </c>
      <c r="B167">
        <v>4.3501700680272108</v>
      </c>
    </row>
    <row r="168" spans="1:4">
      <c r="A168" s="543">
        <v>42248</v>
      </c>
      <c r="B168">
        <v>4.4229591836734699</v>
      </c>
    </row>
    <row r="169" spans="1:4">
      <c r="A169" s="543">
        <v>42278</v>
      </c>
      <c r="B169">
        <v>4.4037414965986397</v>
      </c>
    </row>
    <row r="170" spans="1:4">
      <c r="A170" s="543">
        <v>42309</v>
      </c>
      <c r="B170">
        <v>4.4823129251700671</v>
      </c>
    </row>
    <row r="171" spans="1:4">
      <c r="A171" s="543">
        <v>42339</v>
      </c>
      <c r="B171">
        <v>4.5414965986394558</v>
      </c>
      <c r="D171" s="545">
        <f>AVERAGE(B160:B171)</f>
        <v>4.3489370748299327</v>
      </c>
    </row>
    <row r="172" spans="1:4">
      <c r="A172" s="543">
        <v>42370</v>
      </c>
      <c r="B172">
        <v>4.5144557823129254</v>
      </c>
    </row>
    <row r="173" spans="1:4">
      <c r="A173" s="543">
        <v>42401</v>
      </c>
      <c r="B173">
        <v>4.3272108843537413</v>
      </c>
    </row>
    <row r="174" spans="1:4">
      <c r="A174" s="543">
        <v>42430</v>
      </c>
      <c r="B174">
        <v>4.2229591836734688</v>
      </c>
    </row>
    <row r="175" spans="1:4">
      <c r="A175" s="543">
        <v>42461</v>
      </c>
      <c r="B175">
        <v>4.2229591836734688</v>
      </c>
    </row>
    <row r="176" spans="1:4">
      <c r="A176" s="543">
        <v>42491</v>
      </c>
      <c r="B176">
        <v>4.1959183673469393</v>
      </c>
    </row>
    <row r="177" spans="1:4">
      <c r="A177" s="543">
        <v>42522</v>
      </c>
      <c r="B177">
        <v>4.2272108843537408</v>
      </c>
    </row>
    <row r="178" spans="1:4">
      <c r="A178" s="543">
        <v>42552</v>
      </c>
      <c r="B178">
        <v>4.2758503401360546</v>
      </c>
    </row>
    <row r="179" spans="1:4">
      <c r="A179" s="543">
        <v>42583</v>
      </c>
      <c r="B179">
        <v>4.3501700680272108</v>
      </c>
    </row>
    <row r="180" spans="1:4">
      <c r="A180" s="543">
        <v>42614</v>
      </c>
      <c r="B180">
        <v>4.4229591836734699</v>
      </c>
    </row>
    <row r="181" spans="1:4">
      <c r="A181" s="543">
        <v>42644</v>
      </c>
      <c r="B181">
        <v>4.4037414965986397</v>
      </c>
    </row>
    <row r="182" spans="1:4">
      <c r="A182" s="543">
        <v>42675</v>
      </c>
      <c r="B182">
        <v>4.4823129251700671</v>
      </c>
    </row>
    <row r="183" spans="1:4">
      <c r="A183" s="543">
        <v>42705</v>
      </c>
      <c r="B183">
        <v>4.5414965986394558</v>
      </c>
      <c r="D183" s="545">
        <f>AVERAGE(B172:B183)</f>
        <v>4.3489370748299327</v>
      </c>
    </row>
    <row r="184" spans="1:4">
      <c r="A184" s="543">
        <v>42736</v>
      </c>
      <c r="B184">
        <v>4.5144557823129254</v>
      </c>
    </row>
    <row r="185" spans="1:4">
      <c r="A185" s="543">
        <v>42767</v>
      </c>
      <c r="B185">
        <v>4.3272108843537413</v>
      </c>
    </row>
    <row r="186" spans="1:4">
      <c r="A186" s="543">
        <v>42795</v>
      </c>
      <c r="B186">
        <v>4.2229591836734688</v>
      </c>
    </row>
    <row r="187" spans="1:4">
      <c r="A187" s="543">
        <v>42826</v>
      </c>
      <c r="B187">
        <v>4.2229591836734688</v>
      </c>
    </row>
    <row r="188" spans="1:4">
      <c r="A188" s="543">
        <v>42856</v>
      </c>
      <c r="B188">
        <v>4.1959183673469393</v>
      </c>
    </row>
    <row r="189" spans="1:4">
      <c r="A189" s="543">
        <v>42887</v>
      </c>
      <c r="B189">
        <v>4.2272108843537408</v>
      </c>
    </row>
    <row r="190" spans="1:4">
      <c r="A190" s="543">
        <v>42917</v>
      </c>
      <c r="B190">
        <v>4.2758503401360546</v>
      </c>
    </row>
    <row r="191" spans="1:4">
      <c r="A191" s="543">
        <v>42948</v>
      </c>
      <c r="B191">
        <v>4.3501700680272108</v>
      </c>
    </row>
    <row r="192" spans="1:4">
      <c r="A192" s="543">
        <v>42979</v>
      </c>
      <c r="B192">
        <v>4.4229591836734699</v>
      </c>
    </row>
    <row r="193" spans="1:4">
      <c r="A193" s="543">
        <v>43009</v>
      </c>
      <c r="B193">
        <v>4.4037414965986397</v>
      </c>
    </row>
    <row r="194" spans="1:4">
      <c r="A194" s="543">
        <v>43040</v>
      </c>
      <c r="B194">
        <v>4.4823129251700671</v>
      </c>
    </row>
    <row r="195" spans="1:4">
      <c r="A195" s="543">
        <v>43070</v>
      </c>
      <c r="B195">
        <v>4.5414965986394558</v>
      </c>
      <c r="D195" s="545">
        <f>AVERAGE(B184:B195)</f>
        <v>4.3489370748299327</v>
      </c>
    </row>
    <row r="207" spans="1:4">
      <c r="D207" s="545"/>
    </row>
    <row r="219" spans="4:4">
      <c r="D219" s="545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C11" sqref="C11"/>
    </sheetView>
  </sheetViews>
  <sheetFormatPr defaultColWidth="9.109375" defaultRowHeight="13.2"/>
  <cols>
    <col min="1" max="1" width="34.44140625" style="12" customWidth="1"/>
    <col min="2" max="2" width="11.33203125" style="12" bestFit="1" customWidth="1"/>
    <col min="3" max="23" width="12.5546875" style="12" customWidth="1"/>
    <col min="24" max="24" width="13.33203125" style="12" bestFit="1" customWidth="1"/>
    <col min="25" max="26" width="13.33203125" style="6" customWidth="1"/>
    <col min="27" max="33" width="13.33203125" style="12" customWidth="1"/>
    <col min="34" max="16384" width="9.109375" style="12"/>
  </cols>
  <sheetData>
    <row r="2" spans="1:33" ht="17.399999999999999">
      <c r="A2" s="86" t="str">
        <f>Assumptions!A3</f>
        <v>PROJECT NAME: Homestead, Florida</v>
      </c>
    </row>
    <row r="4" spans="1:33" ht="17.399999999999999">
      <c r="A4" s="60" t="s">
        <v>92</v>
      </c>
      <c r="B4" s="5"/>
    </row>
    <row r="6" spans="1:33"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3" s="6" customFormat="1" ht="13.8" thickBot="1">
      <c r="A7" s="122" t="s">
        <v>39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6">
        <v>37256</v>
      </c>
      <c r="D8" s="366">
        <v>37621</v>
      </c>
      <c r="E8" s="366">
        <v>37986</v>
      </c>
      <c r="F8" s="366">
        <v>38352</v>
      </c>
      <c r="G8" s="366">
        <v>38717</v>
      </c>
      <c r="H8" s="366">
        <v>39082</v>
      </c>
      <c r="I8" s="366">
        <v>39447</v>
      </c>
      <c r="J8" s="366">
        <v>39813</v>
      </c>
      <c r="K8" s="366">
        <v>40178</v>
      </c>
      <c r="L8" s="366">
        <v>40543</v>
      </c>
      <c r="M8" s="366">
        <v>40908</v>
      </c>
      <c r="N8" s="366">
        <v>41274</v>
      </c>
      <c r="O8" s="366">
        <v>41639</v>
      </c>
      <c r="P8" s="366">
        <v>42004</v>
      </c>
      <c r="Q8" s="366">
        <v>42369</v>
      </c>
      <c r="R8" s="366">
        <v>42735</v>
      </c>
      <c r="S8" s="366">
        <v>43100</v>
      </c>
      <c r="T8" s="366">
        <v>43465</v>
      </c>
      <c r="U8" s="366">
        <v>43830</v>
      </c>
      <c r="V8" s="366">
        <v>44196</v>
      </c>
      <c r="W8" s="366">
        <v>44561</v>
      </c>
      <c r="X8" s="366">
        <v>44926</v>
      </c>
      <c r="Y8" s="366">
        <v>45291</v>
      </c>
      <c r="Z8" s="366">
        <v>45657</v>
      </c>
      <c r="AA8" s="366">
        <v>46022</v>
      </c>
      <c r="AB8" s="366">
        <v>46387</v>
      </c>
      <c r="AC8" s="366">
        <v>46752</v>
      </c>
      <c r="AD8" s="366">
        <v>47118</v>
      </c>
      <c r="AE8" s="366">
        <v>47483</v>
      </c>
      <c r="AF8" s="366">
        <v>47848</v>
      </c>
      <c r="AG8" s="366">
        <v>48213</v>
      </c>
    </row>
    <row r="9" spans="1:33">
      <c r="A9" s="1" t="s">
        <v>40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114</v>
      </c>
      <c r="C10" s="74">
        <f>IF(C6&lt;Assumptions!$H$19,C6*12*'Price_Technical Assumption'!D21*Assumptions!$H$68,IF(AND(B6&lt;Assumptions!$H$19,C6&gt;Assumptions!$H$19),(1-$C$6)*12*'Price_Technical Assumption'!D21*Assumptions!$H$68,0))</f>
        <v>16397.759999999998</v>
      </c>
      <c r="D10" s="74">
        <f>IF(D6&lt;Assumptions!$H$19,12*'Price_Technical Assumption'!E21*Assumptions!$H$68,IF(AND(C6&lt;Assumptions!$H$19,D6&gt;Assumptions!$H$19),(1-$C$6)*12*'Price_Technical Assumption'!E21*Assumptions!$H$68,0))</f>
        <v>24596.639999999996</v>
      </c>
      <c r="E10" s="74">
        <f>IF(E6&lt;Assumptions!$H$19,12*'Price_Technical Assumption'!F21*Assumptions!$H$68,IF(AND(D6&lt;Assumptions!$H$19,E6&gt;Assumptions!$H$19),(1-$C$6)*12*'Price_Technical Assumption'!F21*Assumptions!$H$68,0))</f>
        <v>24596.639999999996</v>
      </c>
      <c r="F10" s="74">
        <f>IF(F6&lt;Assumptions!$H$19,12*'Price_Technical Assumption'!G21*Assumptions!$H$68,IF(AND(E6&lt;Assumptions!$H$19,F6&gt;Assumptions!$H$19),(1-$C$6)*12*'Price_Technical Assumption'!G21*Assumptions!$H$68,0))</f>
        <v>24596.639999999996</v>
      </c>
      <c r="G10" s="74">
        <f>IF(G6&lt;Assumptions!$H$19,12*'Price_Technical Assumption'!H21*Assumptions!$H$68,IF(AND(F6&lt;Assumptions!$H$19,G6&gt;Assumptions!$H$19),(1-$C$6)*12*'Price_Technical Assumption'!H21*Assumptions!$H$68,0))</f>
        <v>24596.639999999996</v>
      </c>
      <c r="H10" s="74">
        <f>IF(H6&lt;Assumptions!$H$19,12*'Price_Technical Assumption'!I21*Assumptions!$H$68,IF(AND(G6&lt;Assumptions!$H$19,H6&gt;Assumptions!$H$19),(1-$C$6)*12*'Price_Technical Assumption'!I21*Assumptions!$H$68,0))</f>
        <v>24596.639999999996</v>
      </c>
      <c r="I10" s="74">
        <f>IF(I6&lt;Assumptions!$H$19,12*'Price_Technical Assumption'!J21*Assumptions!$H$68,IF(AND(H6&lt;Assumptions!$H$19,I6&gt;Assumptions!$H$19),(1-$C$6)*12*'Price_Technical Assumption'!J21*Assumptions!$H$68,0))</f>
        <v>24596.639999999996</v>
      </c>
      <c r="J10" s="74">
        <f>IF(J6&lt;Assumptions!$H$19,12*'Price_Technical Assumption'!K21*Assumptions!$H$68,IF(AND(I6&lt;Assumptions!$H$19,J6&gt;Assumptions!$H$19),(1-$C$6)*12*'Price_Technical Assumption'!K21*Assumptions!$H$68,0))</f>
        <v>24596.639999999996</v>
      </c>
      <c r="K10" s="74">
        <f>IF(K6&lt;Assumptions!$H$19,12*'Price_Technical Assumption'!L21*Assumptions!$H$68,IF(AND(J6&lt;Assumptions!$H$19,K6&gt;Assumptions!$H$19),(1-$C$6)*12*'Price_Technical Assumption'!L21*Assumptions!$H$68,0))</f>
        <v>24596.639999999996</v>
      </c>
      <c r="L10" s="74">
        <f>IF(L6&lt;Assumptions!$H$19,12*'Price_Technical Assumption'!M21*Assumptions!$H$68,IF(AND(K6&lt;Assumptions!$H$19,L6&gt;Assumptions!$H$19),(1-$C$6)*12*'Price_Technical Assumption'!M21*Assumptions!$H$68,0))</f>
        <v>24596.639999999996</v>
      </c>
      <c r="M10" s="74">
        <f>IF(M6&lt;Assumptions!$H$19,12*'Price_Technical Assumption'!N21*Assumptions!$H$68,IF(AND(L6&lt;Assumptions!$H$19,M6&gt;Assumptions!$H$19),(1-$C$6)*12*'Price_Technical Assumption'!N21*Assumptions!$H$68,0))</f>
        <v>24596.639999999996</v>
      </c>
      <c r="N10" s="74">
        <f>IF(N6&lt;Assumptions!$H$19,12*'Price_Technical Assumption'!O21*Assumptions!$H$68,IF(AND(M6&lt;Assumptions!$H$19,N6&gt;Assumptions!$H$19),(1-$C$6)*12*'Price_Technical Assumption'!O21*Assumptions!$H$68,0))</f>
        <v>24596.639999999996</v>
      </c>
      <c r="O10" s="74">
        <f>IF(O6&lt;Assumptions!$H$19,12*'Price_Technical Assumption'!P21*Assumptions!$H$68,IF(AND(N6&lt;Assumptions!$H$19,O6&gt;Assumptions!$H$19),(1-$C$6)*12*'Price_Technical Assumption'!P21*Assumptions!$H$68,0))</f>
        <v>24596.639999999996</v>
      </c>
      <c r="P10" s="74">
        <f>IF(P6&lt;Assumptions!$H$19,12*'Price_Technical Assumption'!Q21*Assumptions!$H$68,IF(AND(O6&lt;Assumptions!$H$19,P6&gt;Assumptions!$H$19),(1-$C$6)*12*'Price_Technical Assumption'!Q21*Assumptions!$H$68,0))</f>
        <v>24596.639999999996</v>
      </c>
      <c r="Q10" s="74">
        <f>IF(Q6&lt;Assumptions!$H$19,12*'Price_Technical Assumption'!R21*Assumptions!$H$68,IF(AND(P6&lt;Assumptions!$H$19,Q6&gt;Assumptions!$H$19),(1-$C$6)*12*'Price_Technical Assumption'!R21*Assumptions!$H$68,0))</f>
        <v>24596.639999999996</v>
      </c>
      <c r="R10" s="74">
        <f>IF(R6&lt;Assumptions!$H$19,12*'Price_Technical Assumption'!S21*Assumptions!$H$68,IF(AND(Q6&lt;Assumptions!$H$19,R6&gt;Assumptions!$H$19),(1-$C$6)*12*'Price_Technical Assumption'!S21*Assumptions!$H$68,0))</f>
        <v>24596.639999999996</v>
      </c>
      <c r="S10" s="74">
        <f>IF(S6&lt;Assumptions!$H$19,12*'Price_Technical Assumption'!T21*Assumptions!$H$68,IF(AND(R6&lt;Assumptions!$H$19,S6&gt;Assumptions!$H$19),(1-$C$6)*12*'Price_Technical Assumption'!T21*Assumptions!$H$68,0))</f>
        <v>24596.639999999996</v>
      </c>
      <c r="T10" s="74">
        <f>IF(T6&lt;Assumptions!$H$19,12*'Price_Technical Assumption'!U21*Assumptions!$H$68,IF(AND(S6&lt;Assumptions!$H$19,T6&gt;Assumptions!$H$19),(1-$C$6)*12*'Price_Technical Assumption'!U21*Assumptions!$H$68,0))</f>
        <v>24596.639999999996</v>
      </c>
      <c r="U10" s="74">
        <f>IF(U6&lt;Assumptions!$H$19,12*'Price_Technical Assumption'!V21*Assumptions!$H$68,IF(AND(T6&lt;Assumptions!$H$19,U6&gt;Assumptions!$H$19),(1-$C$6)*12*'Price_Technical Assumption'!V21*Assumptions!$H$68,0))</f>
        <v>24596.639999999996</v>
      </c>
      <c r="V10" s="74">
        <f>IF(V6&lt;Assumptions!$H$19,12*'Price_Technical Assumption'!W21*Assumptions!$H$68,IF(AND(U6&lt;Assumptions!$H$19,V6&gt;Assumptions!$H$19),(1-$C$6)*12*'Price_Technical Assumption'!W21*Assumptions!$H$68,0))</f>
        <v>24596.639999999996</v>
      </c>
      <c r="W10" s="74">
        <f>IF(W6&lt;Assumptions!$H$19,12*'Price_Technical Assumption'!X21*Assumptions!$H$68,IF(AND(V6&lt;Assumptions!$H$19,W6&gt;Assumptions!$H$19),(1-$C$6)*12*'Price_Technical Assumption'!X21*Assumptions!$H$68,0))</f>
        <v>9350.6478897612433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115</v>
      </c>
      <c r="C11" s="74">
        <f>'Price_Technical Assumption'!D38*Assumptions!$H$62/1000</f>
        <v>22457.521079835002</v>
      </c>
      <c r="D11" s="74">
        <f>'Price_Technical Assumption'!E38*Assumptions!$H$62/1000</f>
        <v>21768.831122812499</v>
      </c>
      <c r="E11" s="74">
        <f>'Price_Technical Assumption'!F38*Assumptions!$H$62/1000</f>
        <v>21481.507959547496</v>
      </c>
      <c r="F11" s="74">
        <f>'Price_Technical Assumption'!G38*Assumptions!$H$62/1000</f>
        <v>21389.677792410002</v>
      </c>
      <c r="G11" s="74">
        <f>'Price_Technical Assumption'!H38*Assumptions!$H$62/1000</f>
        <v>21374.723630804998</v>
      </c>
      <c r="H11" s="74">
        <f>'Price_Technical Assumption'!I38*Assumptions!$H$62/1000</f>
        <v>21709.522627514998</v>
      </c>
      <c r="I11" s="74">
        <f>'Price_Technical Assumption'!J38*Assumptions!$H$62/1000</f>
        <v>22232.627911619998</v>
      </c>
      <c r="J11" s="74">
        <f>'Price_Technical Assumption'!K38*Assumptions!$H$62/1000</f>
        <v>22275.965943067502</v>
      </c>
      <c r="K11" s="74">
        <f>'Price_Technical Assumption'!L38*Assumptions!$H$62/1000</f>
        <v>22275.965943067502</v>
      </c>
      <c r="L11" s="74">
        <f>'Price_Technical Assumption'!M38*Assumptions!$H$62/1000</f>
        <v>22275.965943067502</v>
      </c>
      <c r="M11" s="74">
        <f>'Price_Technical Assumption'!N38*Assumptions!$H$62/1000</f>
        <v>22275.965943067502</v>
      </c>
      <c r="N11" s="74">
        <f>'Price_Technical Assumption'!O38*Assumptions!$H$62/1000</f>
        <v>22275.965943067502</v>
      </c>
      <c r="O11" s="74">
        <f>'Price_Technical Assumption'!P38*Assumptions!$H$62/1000</f>
        <v>22275.965943067502</v>
      </c>
      <c r="P11" s="74">
        <f>'Price_Technical Assumption'!Q38*Assumptions!$H$62/1000</f>
        <v>22275.965943067502</v>
      </c>
      <c r="Q11" s="74">
        <f>'Price_Technical Assumption'!R38*Assumptions!$H$62/1000</f>
        <v>22275.965943067502</v>
      </c>
      <c r="R11" s="74">
        <f>'Price_Technical Assumption'!S38*Assumptions!$H$62/1000</f>
        <v>22275.965943067502</v>
      </c>
      <c r="S11" s="74">
        <f>'Price_Technical Assumption'!T38*Assumptions!$H$62/1000</f>
        <v>22281.410419379998</v>
      </c>
      <c r="T11" s="74">
        <f>'Price_Technical Assumption'!U38*Assumptions!$H$62/1000</f>
        <v>22281.410419379998</v>
      </c>
      <c r="U11" s="74">
        <f>'Price_Technical Assumption'!V38*Assumptions!$H$62/1000</f>
        <v>22281.410419379998</v>
      </c>
      <c r="V11" s="74">
        <f>'Price_Technical Assumption'!W38*Assumptions!$H$62/1000</f>
        <v>22281.410419379998</v>
      </c>
      <c r="W11" s="74">
        <f>'Price_Technical Assumption'!X38*Assumptions!$H$62/1000</f>
        <v>22281.410419379998</v>
      </c>
      <c r="X11" s="74">
        <f>'Price_Technical Assumption'!Y38*Assumptions!$H$62/1000</f>
        <v>11268.759292560002</v>
      </c>
      <c r="Y11" s="74">
        <f>'Price_Technical Assumption'!Z38*Assumptions!$H$62/1000</f>
        <v>11268.759292560002</v>
      </c>
      <c r="Z11" s="74">
        <f>'Price_Technical Assumption'!AA38*Assumptions!$H$62/1000</f>
        <v>11268.759292560002</v>
      </c>
      <c r="AA11" s="74">
        <f>'Price_Technical Assumption'!AB38*Assumptions!$H$62/1000</f>
        <v>11268.759292560002</v>
      </c>
      <c r="AB11" s="74">
        <f>'Price_Technical Assumption'!AC38*Assumptions!$H$62/1000</f>
        <v>11268.759292560002</v>
      </c>
      <c r="AC11" s="74">
        <f>'Price_Technical Assumption'!AD38*Assumptions!$H$62/1000</f>
        <v>11268.759292560002</v>
      </c>
      <c r="AD11" s="74">
        <f>'Price_Technical Assumption'!AE38*Assumptions!$H$62/1000</f>
        <v>11268.759292560002</v>
      </c>
      <c r="AE11" s="74">
        <f>'Price_Technical Assumption'!AF38*Assumptions!$H$62/1000</f>
        <v>11268.759292560002</v>
      </c>
      <c r="AF11" s="74">
        <f>'Price_Technical Assumption'!AG38*Assumptions!$H$62/1000</f>
        <v>11268.759292560002</v>
      </c>
      <c r="AG11" s="74">
        <f>'Price_Technical Assumption'!AH38*Assumptions!$H$62/1000</f>
        <v>11268.759292560002</v>
      </c>
    </row>
    <row r="12" spans="1:33">
      <c r="A12" s="208" t="s">
        <v>116</v>
      </c>
      <c r="C12" s="367">
        <v>0</v>
      </c>
      <c r="D12" s="367">
        <v>0</v>
      </c>
      <c r="E12" s="367">
        <v>0</v>
      </c>
      <c r="F12" s="367">
        <v>0</v>
      </c>
      <c r="G12" s="367">
        <v>0</v>
      </c>
      <c r="H12" s="367">
        <v>0</v>
      </c>
      <c r="I12" s="367">
        <v>0</v>
      </c>
      <c r="J12" s="367">
        <v>0</v>
      </c>
      <c r="K12" s="367">
        <v>0</v>
      </c>
      <c r="L12" s="367">
        <v>0</v>
      </c>
      <c r="M12" s="367">
        <v>0</v>
      </c>
      <c r="N12" s="367">
        <v>0</v>
      </c>
      <c r="O12" s="367">
        <v>0</v>
      </c>
      <c r="P12" s="367">
        <v>0</v>
      </c>
      <c r="Q12" s="367">
        <v>0</v>
      </c>
      <c r="R12" s="367">
        <v>0</v>
      </c>
      <c r="S12" s="367">
        <v>0</v>
      </c>
      <c r="T12" s="367">
        <v>0</v>
      </c>
      <c r="U12" s="367">
        <v>0</v>
      </c>
      <c r="V12" s="367">
        <v>0</v>
      </c>
      <c r="W12" s="367">
        <v>0</v>
      </c>
      <c r="X12" s="367">
        <v>0</v>
      </c>
      <c r="Y12" s="367">
        <v>0</v>
      </c>
      <c r="Z12" s="367">
        <v>0</v>
      </c>
      <c r="AA12" s="367">
        <v>0</v>
      </c>
      <c r="AB12" s="367">
        <v>0</v>
      </c>
      <c r="AC12" s="367">
        <v>0</v>
      </c>
      <c r="AD12" s="367">
        <v>0</v>
      </c>
      <c r="AE12" s="367">
        <v>0</v>
      </c>
      <c r="AF12" s="367">
        <v>0</v>
      </c>
      <c r="AG12" s="367">
        <v>0</v>
      </c>
    </row>
    <row r="13" spans="1:33">
      <c r="A13" s="173" t="s">
        <v>41</v>
      </c>
      <c r="C13" s="65">
        <f t="shared" ref="C13:AG13" si="0">SUM(C10:C12)</f>
        <v>38855.281079834996</v>
      </c>
      <c r="D13" s="65">
        <f t="shared" si="0"/>
        <v>46365.471122812494</v>
      </c>
      <c r="E13" s="65">
        <f t="shared" si="0"/>
        <v>46078.147959547496</v>
      </c>
      <c r="F13" s="65">
        <f t="shared" si="0"/>
        <v>45986.317792410002</v>
      </c>
      <c r="G13" s="65">
        <f t="shared" si="0"/>
        <v>45971.36363080499</v>
      </c>
      <c r="H13" s="65">
        <f t="shared" si="0"/>
        <v>46306.16262751499</v>
      </c>
      <c r="I13" s="65">
        <f t="shared" si="0"/>
        <v>46829.267911619994</v>
      </c>
      <c r="J13" s="65">
        <f t="shared" si="0"/>
        <v>46872.605943067494</v>
      </c>
      <c r="K13" s="65">
        <f t="shared" si="0"/>
        <v>46872.605943067494</v>
      </c>
      <c r="L13" s="65">
        <f t="shared" si="0"/>
        <v>46872.605943067494</v>
      </c>
      <c r="M13" s="65">
        <f t="shared" si="0"/>
        <v>46872.605943067494</v>
      </c>
      <c r="N13" s="65">
        <f t="shared" si="0"/>
        <v>46872.605943067494</v>
      </c>
      <c r="O13" s="65">
        <f t="shared" si="0"/>
        <v>46872.605943067494</v>
      </c>
      <c r="P13" s="65">
        <f t="shared" si="0"/>
        <v>46872.605943067494</v>
      </c>
      <c r="Q13" s="65">
        <f t="shared" si="0"/>
        <v>46872.605943067494</v>
      </c>
      <c r="R13" s="65">
        <f t="shared" si="0"/>
        <v>46872.605943067494</v>
      </c>
      <c r="S13" s="65">
        <f t="shared" si="0"/>
        <v>46878.050419379993</v>
      </c>
      <c r="T13" s="65">
        <f t="shared" si="0"/>
        <v>46878.050419379993</v>
      </c>
      <c r="U13" s="65">
        <f t="shared" si="0"/>
        <v>46878.050419379993</v>
      </c>
      <c r="V13" s="65">
        <f t="shared" si="0"/>
        <v>46878.050419379993</v>
      </c>
      <c r="W13" s="65">
        <f t="shared" si="0"/>
        <v>31632.058309141241</v>
      </c>
      <c r="X13" s="65">
        <f t="shared" si="0"/>
        <v>11268.759292560002</v>
      </c>
      <c r="Y13" s="65">
        <f t="shared" si="0"/>
        <v>11268.759292560002</v>
      </c>
      <c r="Z13" s="65">
        <f t="shared" si="0"/>
        <v>11268.759292560002</v>
      </c>
      <c r="AA13" s="65">
        <f t="shared" si="0"/>
        <v>11268.759292560002</v>
      </c>
      <c r="AB13" s="65">
        <f t="shared" si="0"/>
        <v>11268.759292560002</v>
      </c>
      <c r="AC13" s="65">
        <f t="shared" si="0"/>
        <v>11268.759292560002</v>
      </c>
      <c r="AD13" s="65">
        <f t="shared" si="0"/>
        <v>11268.759292560002</v>
      </c>
      <c r="AE13" s="65">
        <f t="shared" si="0"/>
        <v>11268.759292560002</v>
      </c>
      <c r="AF13" s="65">
        <f t="shared" si="0"/>
        <v>11268.759292560002</v>
      </c>
      <c r="AG13" s="65">
        <f t="shared" si="0"/>
        <v>11268.759292560002</v>
      </c>
    </row>
    <row r="14" spans="1:33">
      <c r="A14" s="6"/>
      <c r="Y14" s="12"/>
      <c r="Z14" s="12"/>
    </row>
    <row r="15" spans="1:33">
      <c r="A15" s="1" t="s">
        <v>42</v>
      </c>
      <c r="Y15" s="12"/>
      <c r="Z15" s="12"/>
    </row>
    <row r="16" spans="1:33">
      <c r="A16" s="3" t="s">
        <v>43</v>
      </c>
      <c r="C16" s="218">
        <f>Assumptions!$H$62*'Price_Technical Assumption'!D30*'Price_Technical Assumption'!D44/1000000</f>
        <v>22457.521079834998</v>
      </c>
      <c r="D16" s="218">
        <f>Assumptions!$H$62*'Price_Technical Assumption'!E30*'Price_Technical Assumption'!E44/1000000</f>
        <v>21768.831122812495</v>
      </c>
      <c r="E16" s="218">
        <f>Assumptions!$H$62*'Price_Technical Assumption'!F30*'Price_Technical Assumption'!F44/1000000</f>
        <v>21481.5079595475</v>
      </c>
      <c r="F16" s="218">
        <f>Assumptions!$H$62*'Price_Technical Assumption'!G30*'Price_Technical Assumption'!G44/1000000</f>
        <v>21389.677792409999</v>
      </c>
      <c r="G16" s="218">
        <f>Assumptions!$H$62*'Price_Technical Assumption'!H30*'Price_Technical Assumption'!H44/1000000</f>
        <v>21374.723630804998</v>
      </c>
      <c r="H16" s="218">
        <f>Assumptions!$H$62*'Price_Technical Assumption'!I30*'Price_Technical Assumption'!I44/1000000</f>
        <v>21709.522627514998</v>
      </c>
      <c r="I16" s="218">
        <f>Assumptions!$H$62*'Price_Technical Assumption'!J30*'Price_Technical Assumption'!J44/1000000</f>
        <v>22232.627911620002</v>
      </c>
      <c r="J16" s="218">
        <f>Assumptions!$H$62*'Price_Technical Assumption'!K30*'Price_Technical Assumption'!K44/1000000</f>
        <v>22275.965943067498</v>
      </c>
      <c r="K16" s="218">
        <f>Assumptions!$H$62*'Price_Technical Assumption'!L30*'Price_Technical Assumption'!L44/1000000</f>
        <v>22275.965943067498</v>
      </c>
      <c r="L16" s="218">
        <f>Assumptions!$H$62*'Price_Technical Assumption'!M30*'Price_Technical Assumption'!M44/1000000</f>
        <v>22275.965943067498</v>
      </c>
      <c r="M16" s="218">
        <f>Assumptions!$H$62*'Price_Technical Assumption'!N30*'Price_Technical Assumption'!N44/1000000</f>
        <v>22275.965943067498</v>
      </c>
      <c r="N16" s="218">
        <f>Assumptions!$H$62*'Price_Technical Assumption'!O30*'Price_Technical Assumption'!O44/1000000</f>
        <v>22275.965943067498</v>
      </c>
      <c r="O16" s="218">
        <f>Assumptions!$H$62*'Price_Technical Assumption'!P30*'Price_Technical Assumption'!P44/1000000</f>
        <v>22275.965943067498</v>
      </c>
      <c r="P16" s="218">
        <f>Assumptions!$H$62*'Price_Technical Assumption'!Q30*'Price_Technical Assumption'!Q44/1000000</f>
        <v>22275.965943067498</v>
      </c>
      <c r="Q16" s="218">
        <f>Assumptions!$H$62*'Price_Technical Assumption'!R30*'Price_Technical Assumption'!R44/1000000</f>
        <v>22275.965943067498</v>
      </c>
      <c r="R16" s="218">
        <f>Assumptions!$H$62*'Price_Technical Assumption'!S30*'Price_Technical Assumption'!S44/1000000</f>
        <v>22275.965943067498</v>
      </c>
      <c r="S16" s="218">
        <f>Assumptions!$H$62*'Price_Technical Assumption'!T30*'Price_Technical Assumption'!T44/1000000</f>
        <v>22281.410419379998</v>
      </c>
      <c r="T16" s="218">
        <f>Assumptions!$H$62*'Price_Technical Assumption'!U30*'Price_Technical Assumption'!U44/1000000</f>
        <v>22281.410419379998</v>
      </c>
      <c r="U16" s="218">
        <f>Assumptions!$H$62*'Price_Technical Assumption'!V30*'Price_Technical Assumption'!V44/1000000</f>
        <v>22281.410419379998</v>
      </c>
      <c r="V16" s="218">
        <f>Assumptions!$H$62*'Price_Technical Assumption'!W30*'Price_Technical Assumption'!W44/1000000</f>
        <v>22281.410419379998</v>
      </c>
      <c r="W16" s="218">
        <f>Assumptions!$H$62*'Price_Technical Assumption'!X30*'Price_Technical Assumption'!X44/1000000</f>
        <v>22281.410419379998</v>
      </c>
      <c r="X16" s="218">
        <f>Assumptions!$H$62*'Price_Technical Assumption'!Y30*'Price_Technical Assumption'!Y44/1000000</f>
        <v>11268.759292560002</v>
      </c>
      <c r="Y16" s="218">
        <f>Assumptions!$H$62*'Price_Technical Assumption'!Z30*'Price_Technical Assumption'!Z44/1000000</f>
        <v>11268.759292560002</v>
      </c>
      <c r="Z16" s="218">
        <f>Assumptions!$H$62*'Price_Technical Assumption'!AA30*'Price_Technical Assumption'!AA44/1000000</f>
        <v>11268.759292560002</v>
      </c>
      <c r="AA16" s="218">
        <f>Assumptions!$H$62*'Price_Technical Assumption'!AB30*'Price_Technical Assumption'!AB44/1000000</f>
        <v>11268.759292560002</v>
      </c>
      <c r="AB16" s="218">
        <f>Assumptions!$H$62*'Price_Technical Assumption'!AC30*'Price_Technical Assumption'!AC44/1000000</f>
        <v>11268.759292560002</v>
      </c>
      <c r="AC16" s="218">
        <f>Assumptions!$H$62*'Price_Technical Assumption'!AD30*'Price_Technical Assumption'!AD44/1000000</f>
        <v>11268.759292560002</v>
      </c>
      <c r="AD16" s="218">
        <f>Assumptions!$H$62*'Price_Technical Assumption'!AE30*'Price_Technical Assumption'!AE44/1000000</f>
        <v>11268.759292560002</v>
      </c>
      <c r="AE16" s="218">
        <f>Assumptions!$H$62*'Price_Technical Assumption'!AF30*'Price_Technical Assumption'!AF44/1000000</f>
        <v>11268.759292560002</v>
      </c>
      <c r="AF16" s="218">
        <f>Assumptions!$H$62*'Price_Technical Assumption'!AG30*'Price_Technical Assumption'!AG44/1000000</f>
        <v>11268.759292560002</v>
      </c>
      <c r="AG16" s="218">
        <f>Assumptions!$H$62*'Price_Technical Assumption'!AH30*'Price_Technical Assumption'!AH44/1000000</f>
        <v>11268.759292560002</v>
      </c>
    </row>
    <row r="17" spans="1:47">
      <c r="A17" s="3" t="s">
        <v>195</v>
      </c>
      <c r="C17" s="74">
        <f>Assumptions!$N19*C6</f>
        <v>0</v>
      </c>
      <c r="D17" s="74">
        <f>Assumptions!$N19*(1+Assumptions!$N$11)</f>
        <v>0</v>
      </c>
      <c r="E17" s="74">
        <f>D17*(1+Assumptions!$N$11)</f>
        <v>0</v>
      </c>
      <c r="F17" s="74">
        <f>E17*(1+Assumptions!$N$11)</f>
        <v>0</v>
      </c>
      <c r="G17" s="74">
        <f>F17*(1+Assumptions!$N$11)</f>
        <v>0</v>
      </c>
      <c r="H17" s="74">
        <f>G17*(1+Assumptions!$N$11)</f>
        <v>0</v>
      </c>
      <c r="I17" s="74">
        <f>H17*(1+Assumptions!$N$11)</f>
        <v>0</v>
      </c>
      <c r="J17" s="74">
        <f>I17*(1+Assumptions!$N$11)</f>
        <v>0</v>
      </c>
      <c r="K17" s="74">
        <f>J17*(1+Assumptions!$N$11)</f>
        <v>0</v>
      </c>
      <c r="L17" s="74">
        <f>K17*(1+Assumptions!$N$11)</f>
        <v>0</v>
      </c>
      <c r="M17" s="74">
        <f>L17*(1+Assumptions!$N$11)</f>
        <v>0</v>
      </c>
      <c r="N17" s="74">
        <f>M17*(1+Assumptions!$N$11)</f>
        <v>0</v>
      </c>
      <c r="O17" s="74">
        <f>N17*(1+Assumptions!$N$11)</f>
        <v>0</v>
      </c>
      <c r="P17" s="74">
        <f>O17*(1+Assumptions!$N$11)</f>
        <v>0</v>
      </c>
      <c r="Q17" s="74">
        <f>P17*(1+Assumptions!$N$11)</f>
        <v>0</v>
      </c>
      <c r="R17" s="74">
        <f>Q17*(1+Assumptions!$N$11)</f>
        <v>0</v>
      </c>
      <c r="S17" s="74">
        <f>R17*(1+Assumptions!$N$11)</f>
        <v>0</v>
      </c>
      <c r="T17" s="74">
        <f>S17*(1+Assumptions!$N$11)</f>
        <v>0</v>
      </c>
      <c r="U17" s="74">
        <f>T17*(1+Assumptions!$N$11)</f>
        <v>0</v>
      </c>
      <c r="V17" s="74">
        <f>U17*(1+Assumptions!$N$11)</f>
        <v>0</v>
      </c>
      <c r="W17" s="74">
        <f>V17*(1+Assumptions!$N$11)</f>
        <v>0</v>
      </c>
      <c r="X17" s="74">
        <f>W17*(1+Assumptions!$N$11)</f>
        <v>0</v>
      </c>
      <c r="Y17" s="74">
        <f>X17*(1+Assumptions!$N$11)</f>
        <v>0</v>
      </c>
      <c r="Z17" s="74">
        <f>Y17*(1+Assumptions!$N$11)</f>
        <v>0</v>
      </c>
      <c r="AA17" s="74">
        <f>Z17*(1+Assumptions!$N$11)</f>
        <v>0</v>
      </c>
      <c r="AB17" s="74">
        <f>AA17*(1+Assumptions!$N$11)</f>
        <v>0</v>
      </c>
      <c r="AC17" s="74">
        <f>AB17*(1+Assumptions!$N$11)</f>
        <v>0</v>
      </c>
      <c r="AD17" s="74">
        <f>AC17*(1+Assumptions!$N$11)</f>
        <v>0</v>
      </c>
      <c r="AE17" s="74">
        <f>AD17*(1+Assumptions!$N$11)</f>
        <v>0</v>
      </c>
      <c r="AF17" s="74">
        <f>AE17*(1+Assumptions!$N$11)</f>
        <v>0</v>
      </c>
      <c r="AG17" s="74">
        <f>AF17*(1+Assumptions!$N$11)</f>
        <v>0</v>
      </c>
    </row>
    <row r="18" spans="1:47">
      <c r="A18" s="3" t="s">
        <v>241</v>
      </c>
      <c r="C18" s="218">
        <f>+(Assumptions!$P$15*Assumptions!$H$62)/1000*(1+Assumptions!$N$11)^IS!C6</f>
        <v>0</v>
      </c>
      <c r="D18" s="74">
        <f>C18*(1+Assumptions!$N$11)</f>
        <v>0</v>
      </c>
      <c r="E18" s="74">
        <f>D18*(1+Assumptions!$N$11)</f>
        <v>0</v>
      </c>
      <c r="F18" s="74">
        <f>E18*(1+Assumptions!$N$11)</f>
        <v>0</v>
      </c>
      <c r="G18" s="74">
        <f>F18*(1+Assumptions!$N$11)</f>
        <v>0</v>
      </c>
      <c r="H18" s="74">
        <f>G18*(1+Assumptions!$N$11)</f>
        <v>0</v>
      </c>
      <c r="I18" s="74">
        <f>H18*(1+Assumptions!$N$11)</f>
        <v>0</v>
      </c>
      <c r="J18" s="74">
        <f>I18*(1+Assumptions!$N$11)</f>
        <v>0</v>
      </c>
      <c r="K18" s="74">
        <f>J18*(1+Assumptions!$N$11)</f>
        <v>0</v>
      </c>
      <c r="L18" s="74">
        <f>K18*(1+Assumptions!$N$11)</f>
        <v>0</v>
      </c>
      <c r="M18" s="74">
        <f>L18*(1+Assumptions!$N$11)</f>
        <v>0</v>
      </c>
      <c r="N18" s="74">
        <f>M18*(1+Assumptions!$N$11)</f>
        <v>0</v>
      </c>
      <c r="O18" s="74">
        <f>N18*(1+Assumptions!$N$11)</f>
        <v>0</v>
      </c>
      <c r="P18" s="74">
        <f>O18*(1+Assumptions!$N$11)</f>
        <v>0</v>
      </c>
      <c r="Q18" s="74">
        <f>P18*(1+Assumptions!$N$11)</f>
        <v>0</v>
      </c>
      <c r="R18" s="74">
        <f>Q18*(1+Assumptions!$N$11)</f>
        <v>0</v>
      </c>
      <c r="S18" s="74">
        <f>R18*(1+Assumptions!$N$11)</f>
        <v>0</v>
      </c>
      <c r="T18" s="74">
        <f>S18*(1+Assumptions!$N$11)</f>
        <v>0</v>
      </c>
      <c r="U18" s="74">
        <f>T18*(1+Assumptions!$N$11)</f>
        <v>0</v>
      </c>
      <c r="V18" s="74">
        <f>U18*(1+Assumptions!$N$11)</f>
        <v>0</v>
      </c>
      <c r="W18" s="74">
        <f>V18*(1+Assumptions!$N$11)</f>
        <v>0</v>
      </c>
      <c r="X18" s="74">
        <f>W18*(1+Assumptions!$N$11)</f>
        <v>0</v>
      </c>
      <c r="Y18" s="74">
        <f>X18*(1+Assumptions!$N$11)</f>
        <v>0</v>
      </c>
      <c r="Z18" s="74">
        <f>Y18*(1+Assumptions!$N$11)</f>
        <v>0</v>
      </c>
      <c r="AA18" s="74">
        <f>Z18*(1+Assumptions!$N$11)</f>
        <v>0</v>
      </c>
      <c r="AB18" s="74">
        <f>AA18*(1+Assumptions!$N$11)</f>
        <v>0</v>
      </c>
      <c r="AC18" s="74">
        <f>AB18*(1+Assumptions!$N$11)</f>
        <v>0</v>
      </c>
      <c r="AD18" s="74">
        <f>AC18*(1+Assumptions!$N$11)</f>
        <v>0</v>
      </c>
      <c r="AE18" s="74">
        <f>AD18*(1+Assumptions!$N$11)</f>
        <v>0</v>
      </c>
      <c r="AF18" s="74">
        <f>AE18*(1+Assumptions!$N$11)</f>
        <v>0</v>
      </c>
      <c r="AG18" s="74">
        <f>AF18*(1+Assumptions!$N$11)</f>
        <v>0</v>
      </c>
    </row>
    <row r="19" spans="1:47">
      <c r="A19" s="3" t="s">
        <v>242</v>
      </c>
      <c r="C19" s="74">
        <f>Assumptions!$P$16*Assumptions!$H$62/1000*(1+Assumptions!$N$11)^IS!C6</f>
        <v>0</v>
      </c>
      <c r="D19" s="74">
        <f>C19*(1+Assumptions!$N$11)</f>
        <v>0</v>
      </c>
      <c r="E19" s="74">
        <f>D19*(1+Assumptions!$N$11)</f>
        <v>0</v>
      </c>
      <c r="F19" s="74">
        <f>E19*(1+Assumptions!$N$11)</f>
        <v>0</v>
      </c>
      <c r="G19" s="74">
        <f>F19*(1+Assumptions!$N$11)</f>
        <v>0</v>
      </c>
      <c r="H19" s="74">
        <f>G19*(1+Assumptions!$N$11)</f>
        <v>0</v>
      </c>
      <c r="I19" s="74">
        <f>H19*(1+Assumptions!$N$11)</f>
        <v>0</v>
      </c>
      <c r="J19" s="74">
        <f>I19*(1+Assumptions!$N$11)</f>
        <v>0</v>
      </c>
      <c r="K19" s="74">
        <f>J19*(1+Assumptions!$N$11)</f>
        <v>0</v>
      </c>
      <c r="L19" s="74">
        <f>K19*(1+Assumptions!$N$11)</f>
        <v>0</v>
      </c>
      <c r="M19" s="74">
        <f>L19*(1+Assumptions!$N$11)</f>
        <v>0</v>
      </c>
      <c r="N19" s="74">
        <f>M19*(1+Assumptions!$N$11)</f>
        <v>0</v>
      </c>
      <c r="O19" s="74">
        <f>N19*(1+Assumptions!$N$11)</f>
        <v>0</v>
      </c>
      <c r="P19" s="74">
        <f>O19*(1+Assumptions!$N$11)</f>
        <v>0</v>
      </c>
      <c r="Q19" s="74">
        <f>P19*(1+Assumptions!$N$11)</f>
        <v>0</v>
      </c>
      <c r="R19" s="74">
        <f>Q19*(1+Assumptions!$N$11)</f>
        <v>0</v>
      </c>
      <c r="S19" s="74">
        <f>R19*(1+Assumptions!$N$11)</f>
        <v>0</v>
      </c>
      <c r="T19" s="74">
        <f>S19*(1+Assumptions!$N$11)</f>
        <v>0</v>
      </c>
      <c r="U19" s="74">
        <f>T19*(1+Assumptions!$N$11)</f>
        <v>0</v>
      </c>
      <c r="V19" s="74">
        <f>U19*(1+Assumptions!$N$11)</f>
        <v>0</v>
      </c>
      <c r="W19" s="74">
        <f>V19*(1+Assumptions!$N$11)</f>
        <v>0</v>
      </c>
      <c r="X19" s="74">
        <f>W19*(1+Assumptions!$N$11)</f>
        <v>0</v>
      </c>
      <c r="Y19" s="74">
        <f>X19*(1+Assumptions!$N$11)</f>
        <v>0</v>
      </c>
      <c r="Z19" s="74">
        <f>Y19*(1+Assumptions!$N$11)</f>
        <v>0</v>
      </c>
      <c r="AA19" s="74">
        <f>Z19*(1+Assumptions!$N$11)</f>
        <v>0</v>
      </c>
      <c r="AB19" s="74">
        <f>AA19*(1+Assumptions!$N$11)</f>
        <v>0</v>
      </c>
      <c r="AC19" s="74">
        <f>AB19*(1+Assumptions!$N$11)</f>
        <v>0</v>
      </c>
      <c r="AD19" s="74">
        <f>AC19*(1+Assumptions!$N$11)</f>
        <v>0</v>
      </c>
      <c r="AE19" s="74">
        <f>AD19*(1+Assumptions!$N$11)</f>
        <v>0</v>
      </c>
      <c r="AF19" s="74">
        <f>AE19*(1+Assumptions!$N$11)</f>
        <v>0</v>
      </c>
      <c r="AG19" s="74">
        <f>AF19*(1+Assumptions!$N$11)</f>
        <v>0</v>
      </c>
    </row>
    <row r="20" spans="1:47">
      <c r="A20" s="3" t="s">
        <v>35</v>
      </c>
      <c r="C20" s="74">
        <f>Assumptions!$N20*Assumptions!H18/12</f>
        <v>0</v>
      </c>
      <c r="D20" s="74">
        <f>Assumptions!$N20*(1+Assumptions!$N$11)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344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207</v>
      </c>
      <c r="C23" s="528">
        <v>400</v>
      </c>
      <c r="D23" s="194">
        <f>C23*(1+Assumptions!$P$30)</f>
        <v>408</v>
      </c>
      <c r="E23" s="194">
        <f>D23*(1+Assumptions!$P$30)</f>
        <v>416.16</v>
      </c>
      <c r="F23" s="194">
        <f>E23*(1+Assumptions!$P$30)</f>
        <v>424.48320000000001</v>
      </c>
      <c r="G23" s="194">
        <f>F23*(1+Assumptions!$P$30)</f>
        <v>432.97286400000002</v>
      </c>
      <c r="H23" s="194">
        <f>G23*(1+Assumptions!$P$30)</f>
        <v>441.63232128000004</v>
      </c>
      <c r="I23" s="194">
        <f>H23*(1+Assumptions!$P$30)</f>
        <v>450.46496770560003</v>
      </c>
      <c r="J23" s="194">
        <f>I23*(1+Assumptions!$P$30)</f>
        <v>459.47426705971202</v>
      </c>
      <c r="K23" s="194">
        <f>J23*(1+Assumptions!$P$30)</f>
        <v>468.66375240090628</v>
      </c>
      <c r="L23" s="194">
        <f>K23*(1+Assumptions!$P$30)</f>
        <v>478.03702744892439</v>
      </c>
      <c r="M23" s="194">
        <f>L23*(1+Assumptions!$P$30)</f>
        <v>487.59776799790291</v>
      </c>
      <c r="N23" s="194">
        <f>M23*(1+Assumptions!$P$30)</f>
        <v>497.34972335786097</v>
      </c>
      <c r="O23" s="194">
        <f>N23*(1+Assumptions!$P$30)</f>
        <v>507.29671782501822</v>
      </c>
      <c r="P23" s="194">
        <f>O23*(1+Assumptions!$P$30)</f>
        <v>517.44265218151861</v>
      </c>
      <c r="Q23" s="194">
        <f>P23*(1+Assumptions!$P$30)</f>
        <v>527.79150522514897</v>
      </c>
      <c r="R23" s="194">
        <f>Q23*(1+Assumptions!$P$30)</f>
        <v>538.34733532965197</v>
      </c>
      <c r="S23" s="194">
        <f>R23*(1+Assumptions!$P$30)</f>
        <v>549.11428203624507</v>
      </c>
      <c r="T23" s="194">
        <f>S23*(1+Assumptions!$P$30)</f>
        <v>560.09656767697004</v>
      </c>
      <c r="U23" s="194">
        <f>T23*(1+Assumptions!$P$30)</f>
        <v>571.29849903050945</v>
      </c>
      <c r="V23" s="194">
        <f>U23*(1+Assumptions!$P$30)</f>
        <v>582.7244690111196</v>
      </c>
      <c r="W23" s="194">
        <f>V23*(1+Assumptions!$P$30)</f>
        <v>594.37895839134205</v>
      </c>
      <c r="X23" s="194">
        <f>W23*(1+Assumptions!$P$30)</f>
        <v>606.26653755916891</v>
      </c>
      <c r="Y23" s="194">
        <f>X23*(1+Assumptions!$P$30)</f>
        <v>618.39186831035227</v>
      </c>
      <c r="Z23" s="194">
        <f>Y23*(1+Assumptions!$P$30)</f>
        <v>630.75970567655929</v>
      </c>
      <c r="AA23" s="194">
        <f>Z23*(1+Assumptions!$P$30)</f>
        <v>643.37489979009047</v>
      </c>
      <c r="AB23" s="194">
        <f>AA23*(1+Assumptions!$P$30)</f>
        <v>656.24239778589231</v>
      </c>
      <c r="AC23" s="194">
        <f>AB23*(1+Assumptions!$P$30)</f>
        <v>669.36724574161019</v>
      </c>
      <c r="AD23" s="194">
        <f>AC23*(1+Assumptions!$P$30)</f>
        <v>682.75459065644236</v>
      </c>
      <c r="AE23" s="194">
        <f>AD23*(1+Assumptions!$P$30)</f>
        <v>696.40968246957118</v>
      </c>
      <c r="AF23" s="194">
        <f>AE23*(1+Assumptions!$P$30)</f>
        <v>710.33787611896264</v>
      </c>
      <c r="AG23" s="194">
        <f>AF23*(1+Assumptions!$P$30)</f>
        <v>724.54463364134187</v>
      </c>
    </row>
    <row r="24" spans="1:47">
      <c r="A24" s="5" t="s">
        <v>197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201</v>
      </c>
      <c r="C25" s="194">
        <v>0</v>
      </c>
      <c r="D25" s="194">
        <v>0</v>
      </c>
      <c r="E25" s="194">
        <v>0</v>
      </c>
      <c r="F25" s="194">
        <v>0</v>
      </c>
      <c r="G25" s="194">
        <v>0</v>
      </c>
      <c r="H25" s="194">
        <v>0</v>
      </c>
      <c r="I25" s="194">
        <v>0</v>
      </c>
      <c r="J25" s="194">
        <v>0</v>
      </c>
      <c r="K25" s="194">
        <v>0</v>
      </c>
      <c r="L25" s="194">
        <v>0</v>
      </c>
      <c r="M25" s="194">
        <v>0</v>
      </c>
      <c r="N25" s="194">
        <v>0</v>
      </c>
      <c r="O25" s="194">
        <v>0</v>
      </c>
      <c r="P25" s="194">
        <v>0</v>
      </c>
      <c r="Q25" s="194">
        <v>0</v>
      </c>
      <c r="R25" s="194">
        <v>0</v>
      </c>
      <c r="S25" s="194">
        <v>0</v>
      </c>
      <c r="T25" s="194">
        <v>0</v>
      </c>
      <c r="U25" s="194">
        <v>0</v>
      </c>
      <c r="V25" s="194">
        <v>0</v>
      </c>
      <c r="W25" s="194">
        <v>0</v>
      </c>
      <c r="X25" s="194">
        <v>0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44</v>
      </c>
      <c r="C27" s="74">
        <f>Assumptions!$O$23*Assumptions!$H$68*Assumptions!H18/12</f>
        <v>0</v>
      </c>
      <c r="D27" s="74">
        <f>Assumptions!$O$23*Assumptions!$H$68*(1+Assumptions!$N$11)</f>
        <v>0</v>
      </c>
      <c r="E27" s="74">
        <f>Assumptions!$O$23*Assumptions!$H$68*(1+Assumptions!$N$11)</f>
        <v>0</v>
      </c>
      <c r="F27" s="74">
        <f>Assumptions!$O$23*Assumptions!$H$68*(1+Assumptions!$N$11)</f>
        <v>0</v>
      </c>
      <c r="G27" s="74">
        <f>Assumptions!$O$23*Assumptions!$H$68*(1+Assumptions!$N$11)</f>
        <v>0</v>
      </c>
      <c r="H27" s="74">
        <f>Assumptions!$O$23*Assumptions!$H$68*(1+Assumptions!$N$11)</f>
        <v>0</v>
      </c>
      <c r="I27" s="74">
        <f>Assumptions!$O$23*Assumptions!$H$68*(1+Assumptions!$N$11)</f>
        <v>0</v>
      </c>
      <c r="J27" s="74">
        <f>Assumptions!$O$23*Assumptions!$H$68*(1+Assumptions!$N$11)</f>
        <v>0</v>
      </c>
      <c r="K27" s="74">
        <f>Assumptions!$O$23*Assumptions!$H$68*(1+Assumptions!$N$11)</f>
        <v>0</v>
      </c>
      <c r="L27" s="74">
        <f>Assumptions!$O$23*Assumptions!$H$68*(1+Assumptions!$N$11)</f>
        <v>0</v>
      </c>
      <c r="M27" s="74">
        <f>Assumptions!$O$23*Assumptions!$H$68*(1+Assumptions!$N$11)</f>
        <v>0</v>
      </c>
      <c r="N27" s="74">
        <f>Assumptions!$O$23*Assumptions!$H$68*(1+Assumptions!$N$11)</f>
        <v>0</v>
      </c>
      <c r="O27" s="74">
        <f>Assumptions!$O$23*Assumptions!$H$68*(1+Assumptions!$N$11)</f>
        <v>0</v>
      </c>
      <c r="P27" s="74">
        <f>Assumptions!$O$23*Assumptions!$H$68*(1+Assumptions!$N$11)</f>
        <v>0</v>
      </c>
      <c r="Q27" s="74">
        <f>Assumptions!$O$23*Assumptions!$H$68*(1+Assumptions!$N$11)</f>
        <v>0</v>
      </c>
      <c r="R27" s="74">
        <f>Assumptions!$O$23*Assumptions!$H$68*(1+Assumptions!$N$11)</f>
        <v>0</v>
      </c>
      <c r="S27" s="74">
        <f>Assumptions!$O$23*Assumptions!$H$68*(1+Assumptions!$N$11)</f>
        <v>0</v>
      </c>
      <c r="T27" s="74">
        <f>Assumptions!$O$23*Assumptions!$H$68*(1+Assumptions!$N$11)</f>
        <v>0</v>
      </c>
      <c r="U27" s="74">
        <f>Assumptions!$O$23*Assumptions!$H$68*(1+Assumptions!$N$11)</f>
        <v>0</v>
      </c>
      <c r="V27" s="74">
        <f>Assumptions!$O$23*Assumptions!$H$68*(1+Assumptions!$N$11)</f>
        <v>0</v>
      </c>
      <c r="W27" s="74">
        <f>Assumptions!$O$23*Assumptions!$H$68*(1+Assumptions!$N$11)</f>
        <v>0</v>
      </c>
      <c r="X27" s="74">
        <f>Assumptions!$O$23*Assumptions!$H$68*(1+Assumptions!$N$11)</f>
        <v>0</v>
      </c>
      <c r="Y27" s="74">
        <f>Assumptions!$O$23*Assumptions!$H$68*(1+Assumptions!$N$11)</f>
        <v>0</v>
      </c>
      <c r="Z27" s="74">
        <f>Assumptions!$O$23*Assumptions!$H$68*(1+Assumptions!$N$11)</f>
        <v>0</v>
      </c>
      <c r="AA27" s="74">
        <f>Assumptions!$O$23*Assumptions!$H$68*(1+Assumptions!$N$11)</f>
        <v>0</v>
      </c>
      <c r="AB27" s="74">
        <f>Assumptions!$O$23*Assumptions!$H$68*(1+Assumptions!$N$11)</f>
        <v>0</v>
      </c>
      <c r="AC27" s="74">
        <f>Assumptions!$O$23*Assumptions!$H$68*(1+Assumptions!$N$11)</f>
        <v>0</v>
      </c>
      <c r="AD27" s="74">
        <f>Assumptions!$O$23*Assumptions!$H$68*(1+Assumptions!$N$11)</f>
        <v>0</v>
      </c>
      <c r="AE27" s="74">
        <f>Assumptions!$O$23*Assumptions!$H$68*(1+Assumptions!$N$11)</f>
        <v>0</v>
      </c>
      <c r="AF27" s="74">
        <f>Assumptions!$O$23*Assumptions!$H$68*(1+Assumptions!$N$11)</f>
        <v>0</v>
      </c>
      <c r="AG27" s="74">
        <f>Assumptions!$O$23*Assumptions!$H$68*(1+Assumptions!$N$11)</f>
        <v>0</v>
      </c>
    </row>
    <row r="28" spans="1:47">
      <c r="A28" s="3" t="s">
        <v>45</v>
      </c>
      <c r="C28" s="74">
        <f>Assumptions!$N24*Assumptions!H18/12</f>
        <v>0</v>
      </c>
      <c r="D28" s="74">
        <f>Assumptions!$N24*(1+Assumptions!$N$11)</f>
        <v>0</v>
      </c>
      <c r="E28" s="74">
        <f>D28*(1+Assumptions!$N$11)</f>
        <v>0</v>
      </c>
      <c r="F28" s="74">
        <f>E28*(1+Assumptions!$N$11)</f>
        <v>0</v>
      </c>
      <c r="G28" s="74">
        <f>F28*(1+Assumptions!$N$11)</f>
        <v>0</v>
      </c>
      <c r="H28" s="74">
        <f>G28*(1+Assumptions!$N$11)</f>
        <v>0</v>
      </c>
      <c r="I28" s="74">
        <f>H28*(1+Assumptions!$N$11)</f>
        <v>0</v>
      </c>
      <c r="J28" s="74">
        <f>I28*(1+Assumptions!$N$11)</f>
        <v>0</v>
      </c>
      <c r="K28" s="74">
        <f>J28*(1+Assumptions!$N$11)</f>
        <v>0</v>
      </c>
      <c r="L28" s="74">
        <f>K28*(1+Assumptions!$N$11)</f>
        <v>0</v>
      </c>
      <c r="M28" s="74">
        <f>L28*(1+Assumptions!$N$11)</f>
        <v>0</v>
      </c>
      <c r="N28" s="74">
        <f>M28*(1+Assumptions!$N$11)</f>
        <v>0</v>
      </c>
      <c r="O28" s="74">
        <f>N28*(1+Assumptions!$N$11)</f>
        <v>0</v>
      </c>
      <c r="P28" s="74">
        <f>O28*(1+Assumptions!$N$11)</f>
        <v>0</v>
      </c>
      <c r="Q28" s="74">
        <f>P28*(1+Assumptions!$N$11)</f>
        <v>0</v>
      </c>
      <c r="R28" s="74">
        <f>Q28*(1+Assumptions!$N$11)</f>
        <v>0</v>
      </c>
      <c r="S28" s="74">
        <f>R28*(1+Assumptions!$N$11)</f>
        <v>0</v>
      </c>
      <c r="T28" s="74">
        <f>S28*(1+Assumptions!$N$11)</f>
        <v>0</v>
      </c>
      <c r="U28" s="74">
        <f>T28*(1+Assumptions!$N$11)</f>
        <v>0</v>
      </c>
      <c r="V28" s="74">
        <f>U28*(1+Assumptions!$N$11)</f>
        <v>0</v>
      </c>
      <c r="W28" s="74">
        <f>V28*(1+Assumptions!$N$11)</f>
        <v>0</v>
      </c>
      <c r="X28" s="74">
        <f>W28*(1+Assumptions!$N$11)</f>
        <v>0</v>
      </c>
      <c r="Y28" s="74">
        <f>X28*(1+Assumptions!$N$11)</f>
        <v>0</v>
      </c>
      <c r="Z28" s="74">
        <f>Y28*(1+Assumptions!$N$11)</f>
        <v>0</v>
      </c>
      <c r="AA28" s="74">
        <f>Z28*(1+Assumptions!$N$11)</f>
        <v>0</v>
      </c>
      <c r="AB28" s="74">
        <f>AA28*(1+Assumptions!$N$11)</f>
        <v>0</v>
      </c>
      <c r="AC28" s="74">
        <f>AB28*(1+Assumptions!$N$11)</f>
        <v>0</v>
      </c>
      <c r="AD28" s="74">
        <f>AC28*(1+Assumptions!$N$11)</f>
        <v>0</v>
      </c>
      <c r="AE28" s="74">
        <f>AD28*(1+Assumptions!$N$11)</f>
        <v>0</v>
      </c>
      <c r="AF28" s="74">
        <f>AE28*(1+Assumptions!$N$11)</f>
        <v>0</v>
      </c>
      <c r="AG28" s="74">
        <f>AF28*(1+Assumptions!$N$11)</f>
        <v>0</v>
      </c>
    </row>
    <row r="29" spans="1:47">
      <c r="A29" s="3" t="s">
        <v>46</v>
      </c>
      <c r="C29" s="75">
        <f>Assumptions!$N25*Assumptions!H18/12</f>
        <v>0</v>
      </c>
      <c r="D29" s="75">
        <f>Assumptions!$N25*(1+Assumptions!$N$11)</f>
        <v>0</v>
      </c>
      <c r="E29" s="75">
        <f>D29*(1+Assumptions!$N$11)</f>
        <v>0</v>
      </c>
      <c r="F29" s="75">
        <f>E29*(1+Assumptions!$N$11)</f>
        <v>0</v>
      </c>
      <c r="G29" s="75">
        <f>F29*(1+Assumptions!$N$11)</f>
        <v>0</v>
      </c>
      <c r="H29" s="75">
        <f>G29*(1+Assumptions!$N$11)</f>
        <v>0</v>
      </c>
      <c r="I29" s="75">
        <f>H29*(1+Assumptions!$N$11)</f>
        <v>0</v>
      </c>
      <c r="J29" s="75">
        <f>I29*(1+Assumptions!$N$11)</f>
        <v>0</v>
      </c>
      <c r="K29" s="75">
        <f>J29*(1+Assumptions!$N$11)</f>
        <v>0</v>
      </c>
      <c r="L29" s="75">
        <f>K29*(1+Assumptions!$N$11)</f>
        <v>0</v>
      </c>
      <c r="M29" s="75">
        <f>L29*(1+Assumptions!$N$11)</f>
        <v>0</v>
      </c>
      <c r="N29" s="75">
        <f>M29*(1+Assumptions!$N$11)</f>
        <v>0</v>
      </c>
      <c r="O29" s="75">
        <f>N29*(1+Assumptions!$N$11)</f>
        <v>0</v>
      </c>
      <c r="P29" s="75">
        <f>O29*(1+Assumptions!$N$11)</f>
        <v>0</v>
      </c>
      <c r="Q29" s="75">
        <f>P29*(1+Assumptions!$N$11)</f>
        <v>0</v>
      </c>
      <c r="R29" s="75">
        <f>Q29*(1+Assumptions!$N$11)</f>
        <v>0</v>
      </c>
      <c r="S29" s="75">
        <f>R29*(1+Assumptions!$N$11)</f>
        <v>0</v>
      </c>
      <c r="T29" s="75">
        <f>S29*(1+Assumptions!$N$11)</f>
        <v>0</v>
      </c>
      <c r="U29" s="75">
        <f>T29*(1+Assumptions!$N$11)</f>
        <v>0</v>
      </c>
      <c r="V29" s="75">
        <f>U29*(1+Assumptions!$N$11)</f>
        <v>0</v>
      </c>
      <c r="W29" s="75">
        <f>V29*(1+Assumptions!$N$11)</f>
        <v>0</v>
      </c>
      <c r="X29" s="75">
        <f>W29*(1+Assumptions!$N$11)</f>
        <v>0</v>
      </c>
      <c r="Y29" s="75">
        <f>X29*(1+Assumptions!$N$11)</f>
        <v>0</v>
      </c>
      <c r="Z29" s="75">
        <f>Y29*(1+Assumptions!$N$11)</f>
        <v>0</v>
      </c>
      <c r="AA29" s="75">
        <f>Z29*(1+Assumptions!$N$11)</f>
        <v>0</v>
      </c>
      <c r="AB29" s="75">
        <f>AA29*(1+Assumptions!$N$11)</f>
        <v>0</v>
      </c>
      <c r="AC29" s="75">
        <f>AB29*(1+Assumptions!$N$11)</f>
        <v>0</v>
      </c>
      <c r="AD29" s="75">
        <f>AC29*(1+Assumptions!$N$11)</f>
        <v>0</v>
      </c>
      <c r="AE29" s="75">
        <f>AD29*(1+Assumptions!$N$11)</f>
        <v>0</v>
      </c>
      <c r="AF29" s="75">
        <f>AE29*(1+Assumptions!$N$11)</f>
        <v>0</v>
      </c>
      <c r="AG29" s="75">
        <f>AF29*(1+Assumptions!$N$11)</f>
        <v>0</v>
      </c>
    </row>
    <row r="30" spans="1:47">
      <c r="A30" s="3" t="s">
        <v>47</v>
      </c>
      <c r="C30" s="65">
        <f t="shared" ref="C30:X30" si="1">SUM(C16:C29)</f>
        <v>22857.521079834998</v>
      </c>
      <c r="D30" s="65">
        <f t="shared" si="1"/>
        <v>22176.831122812495</v>
      </c>
      <c r="E30" s="65">
        <f t="shared" si="1"/>
        <v>21897.6679595475</v>
      </c>
      <c r="F30" s="65">
        <f t="shared" si="1"/>
        <v>21814.160992409998</v>
      </c>
      <c r="G30" s="65">
        <f t="shared" si="1"/>
        <v>21807.696494804997</v>
      </c>
      <c r="H30" s="65">
        <f t="shared" si="1"/>
        <v>22151.154948795</v>
      </c>
      <c r="I30" s="65">
        <f t="shared" si="1"/>
        <v>22683.092879325603</v>
      </c>
      <c r="J30" s="65">
        <f t="shared" si="1"/>
        <v>22735.44021012721</v>
      </c>
      <c r="K30" s="65">
        <f t="shared" si="1"/>
        <v>22744.629695468404</v>
      </c>
      <c r="L30" s="65">
        <f t="shared" si="1"/>
        <v>22754.002970516423</v>
      </c>
      <c r="M30" s="65">
        <f t="shared" si="1"/>
        <v>22763.563711065402</v>
      </c>
      <c r="N30" s="65">
        <f t="shared" si="1"/>
        <v>22773.315666425358</v>
      </c>
      <c r="O30" s="65">
        <f t="shared" si="1"/>
        <v>22783.262660892517</v>
      </c>
      <c r="P30" s="65">
        <f t="shared" si="1"/>
        <v>22793.408595249017</v>
      </c>
      <c r="Q30" s="65">
        <f t="shared" si="1"/>
        <v>22803.757448292647</v>
      </c>
      <c r="R30" s="65">
        <f t="shared" si="1"/>
        <v>22814.313278397149</v>
      </c>
      <c r="S30" s="65">
        <f t="shared" si="1"/>
        <v>22830.524701416241</v>
      </c>
      <c r="T30" s="65">
        <f t="shared" si="1"/>
        <v>22841.506987056968</v>
      </c>
      <c r="U30" s="65">
        <f t="shared" si="1"/>
        <v>22852.708918410506</v>
      </c>
      <c r="V30" s="65">
        <f t="shared" si="1"/>
        <v>22864.134888391116</v>
      </c>
      <c r="W30" s="65">
        <f t="shared" si="1"/>
        <v>22875.78937777134</v>
      </c>
      <c r="X30" s="65">
        <f t="shared" si="1"/>
        <v>11875.025830119172</v>
      </c>
      <c r="Y30" s="65">
        <f t="shared" ref="Y30:AG30" si="2">SUM(Y16:Y29)</f>
        <v>11887.151160870355</v>
      </c>
      <c r="Z30" s="65">
        <f t="shared" si="2"/>
        <v>11899.518998236561</v>
      </c>
      <c r="AA30" s="65">
        <f t="shared" si="2"/>
        <v>11912.134192350093</v>
      </c>
      <c r="AB30" s="65">
        <f t="shared" si="2"/>
        <v>11925.001690345895</v>
      </c>
      <c r="AC30" s="65">
        <f t="shared" si="2"/>
        <v>11938.126538301613</v>
      </c>
      <c r="AD30" s="65">
        <f t="shared" si="2"/>
        <v>11951.513883216445</v>
      </c>
      <c r="AE30" s="65">
        <f t="shared" si="2"/>
        <v>11965.168975029574</v>
      </c>
      <c r="AF30" s="65">
        <f t="shared" si="2"/>
        <v>11979.097168678965</v>
      </c>
      <c r="AG30" s="65">
        <f t="shared" si="2"/>
        <v>11993.303926201344</v>
      </c>
    </row>
    <row r="31" spans="1:47">
      <c r="A31" s="4"/>
      <c r="C31" s="368"/>
      <c r="D31" s="368"/>
      <c r="E31" s="368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368"/>
      <c r="R31" s="368"/>
      <c r="S31" s="368"/>
      <c r="T31" s="368"/>
      <c r="U31" s="368"/>
      <c r="V31" s="368"/>
      <c r="W31" s="368"/>
      <c r="X31" s="368"/>
      <c r="Y31" s="368"/>
      <c r="Z31" s="368"/>
      <c r="AA31" s="368"/>
      <c r="AB31" s="368"/>
      <c r="AC31" s="368"/>
      <c r="AD31" s="368"/>
      <c r="AE31" s="368"/>
      <c r="AF31" s="368"/>
      <c r="AG31" s="368"/>
    </row>
    <row r="32" spans="1:47">
      <c r="A32" s="1" t="s">
        <v>48</v>
      </c>
      <c r="C32" s="123">
        <f t="shared" ref="C32:X32" si="3">C13-C30</f>
        <v>15997.759999999998</v>
      </c>
      <c r="D32" s="123">
        <f t="shared" si="3"/>
        <v>24188.639999999999</v>
      </c>
      <c r="E32" s="123">
        <f t="shared" si="3"/>
        <v>24180.479999999996</v>
      </c>
      <c r="F32" s="123">
        <f t="shared" si="3"/>
        <v>24172.156800000004</v>
      </c>
      <c r="G32" s="123">
        <f t="shared" si="3"/>
        <v>24163.667135999993</v>
      </c>
      <c r="H32" s="123">
        <f t="shared" si="3"/>
        <v>24155.007678719991</v>
      </c>
      <c r="I32" s="123">
        <f t="shared" si="3"/>
        <v>24146.175032294392</v>
      </c>
      <c r="J32" s="123">
        <f t="shared" si="3"/>
        <v>24137.165732940284</v>
      </c>
      <c r="K32" s="123">
        <f t="shared" si="3"/>
        <v>24127.97624759909</v>
      </c>
      <c r="L32" s="123">
        <f t="shared" si="3"/>
        <v>24118.602972551071</v>
      </c>
      <c r="M32" s="123">
        <f t="shared" si="3"/>
        <v>24109.042232002092</v>
      </c>
      <c r="N32" s="123">
        <f t="shared" si="3"/>
        <v>24099.290276642136</v>
      </c>
      <c r="O32" s="123">
        <f t="shared" si="3"/>
        <v>24089.343282174978</v>
      </c>
      <c r="P32" s="123">
        <f t="shared" si="3"/>
        <v>24079.197347818477</v>
      </c>
      <c r="Q32" s="123">
        <f t="shared" si="3"/>
        <v>24068.848494774847</v>
      </c>
      <c r="R32" s="123">
        <f t="shared" si="3"/>
        <v>24058.292664670345</v>
      </c>
      <c r="S32" s="123">
        <f t="shared" si="3"/>
        <v>24047.525717963752</v>
      </c>
      <c r="T32" s="123">
        <f t="shared" si="3"/>
        <v>24036.543432323026</v>
      </c>
      <c r="U32" s="123">
        <f t="shared" si="3"/>
        <v>24025.341500969487</v>
      </c>
      <c r="V32" s="123">
        <f t="shared" si="3"/>
        <v>24013.915530988877</v>
      </c>
      <c r="W32" s="123">
        <f t="shared" si="3"/>
        <v>8756.2689313699011</v>
      </c>
      <c r="X32" s="123">
        <f t="shared" si="3"/>
        <v>-606.26653755916959</v>
      </c>
      <c r="Y32" s="123">
        <f t="shared" ref="Y32:AG32" si="4">Y13-Y30</f>
        <v>-618.39186831035295</v>
      </c>
      <c r="Z32" s="123">
        <f t="shared" si="4"/>
        <v>-630.75970567655895</v>
      </c>
      <c r="AA32" s="123">
        <f t="shared" si="4"/>
        <v>-643.37489979009115</v>
      </c>
      <c r="AB32" s="123">
        <f t="shared" si="4"/>
        <v>-656.24239778589254</v>
      </c>
      <c r="AC32" s="123">
        <f t="shared" si="4"/>
        <v>-669.36724574161053</v>
      </c>
      <c r="AD32" s="123">
        <f t="shared" si="4"/>
        <v>-682.75459065644282</v>
      </c>
      <c r="AE32" s="123">
        <f t="shared" si="4"/>
        <v>-696.40968246957164</v>
      </c>
      <c r="AF32" s="123">
        <f t="shared" si="4"/>
        <v>-710.33787611896332</v>
      </c>
      <c r="AG32" s="123">
        <f t="shared" si="4"/>
        <v>-724.54463364134244</v>
      </c>
    </row>
    <row r="33" spans="1:33">
      <c r="A33" s="1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68"/>
      <c r="N33" s="368"/>
      <c r="O33" s="368"/>
      <c r="P33" s="368"/>
      <c r="Q33" s="368"/>
      <c r="R33" s="368"/>
      <c r="S33" s="368"/>
      <c r="T33" s="368"/>
      <c r="U33" s="368"/>
      <c r="V33" s="368"/>
      <c r="W33" s="368"/>
      <c r="X33" s="368"/>
      <c r="Y33" s="368"/>
      <c r="Z33" s="368"/>
      <c r="AA33" s="368"/>
      <c r="AB33" s="368"/>
      <c r="AC33" s="368"/>
      <c r="AD33" s="368"/>
      <c r="AE33" s="368"/>
      <c r="AF33" s="368"/>
      <c r="AG33" s="368"/>
    </row>
    <row r="34" spans="1:33">
      <c r="A34" s="3" t="s">
        <v>49</v>
      </c>
      <c r="C34" s="65">
        <f>Depreciation!D48</f>
        <v>5382.2947624878007</v>
      </c>
      <c r="D34" s="65">
        <f>Depreciation!E48</f>
        <v>8073.4421437317014</v>
      </c>
      <c r="E34" s="65">
        <f>Depreciation!F48</f>
        <v>8073.4421437317014</v>
      </c>
      <c r="F34" s="65">
        <f>Depreciation!G48</f>
        <v>8073.4421437317014</v>
      </c>
      <c r="G34" s="65">
        <f>Depreciation!H48</f>
        <v>8073.4421437317014</v>
      </c>
      <c r="H34" s="65">
        <f>Depreciation!I48</f>
        <v>6584.1546837317019</v>
      </c>
      <c r="I34" s="65">
        <f>Depreciation!J48</f>
        <v>5839.5109537317021</v>
      </c>
      <c r="J34" s="65">
        <f>Depreciation!K48</f>
        <v>5839.5109537317021</v>
      </c>
      <c r="K34" s="65">
        <f>Depreciation!L48</f>
        <v>5839.5109537317021</v>
      </c>
      <c r="L34" s="65">
        <f>Depreciation!M48</f>
        <v>5839.5109537317021</v>
      </c>
      <c r="M34" s="65">
        <f>Depreciation!N48</f>
        <v>5839.5109537317021</v>
      </c>
      <c r="N34" s="65">
        <f>Depreciation!O48</f>
        <v>5839.5109537317021</v>
      </c>
      <c r="O34" s="65">
        <f>Depreciation!P48</f>
        <v>5839.5109537317021</v>
      </c>
      <c r="P34" s="65">
        <f>Depreciation!Q48</f>
        <v>5839.5109537317021</v>
      </c>
      <c r="Q34" s="65">
        <f>Depreciation!R48</f>
        <v>5839.5109537317021</v>
      </c>
      <c r="R34" s="65">
        <f>Depreciation!S48</f>
        <v>5839.5109537317021</v>
      </c>
      <c r="S34" s="65">
        <f>Depreciation!T48</f>
        <v>5839.5109537317021</v>
      </c>
      <c r="T34" s="65">
        <f>Depreciation!U48</f>
        <v>5839.5109537317021</v>
      </c>
      <c r="U34" s="65">
        <f>Depreciation!V48</f>
        <v>5839.5109537317021</v>
      </c>
      <c r="V34" s="65">
        <f>Depreciation!W48</f>
        <v>5839.5109537317021</v>
      </c>
      <c r="W34" s="65">
        <f>Depreciation!X48</f>
        <v>5839.5109537317021</v>
      </c>
      <c r="X34" s="65">
        <f>Depreciation!Y48</f>
        <v>5839.5109537317021</v>
      </c>
      <c r="Y34" s="65">
        <f>Depreciation!Z48</f>
        <v>5839.5109537317021</v>
      </c>
      <c r="Z34" s="65">
        <f>Depreciation!AA48</f>
        <v>5839.5109537317021</v>
      </c>
      <c r="AA34" s="65">
        <f>Depreciation!AB48</f>
        <v>5839.5109537317021</v>
      </c>
      <c r="AB34" s="65">
        <f>Depreciation!AC48</f>
        <v>5839.5109537317021</v>
      </c>
      <c r="AC34" s="65">
        <f>Depreciation!AD48</f>
        <v>5839.5109537317021</v>
      </c>
      <c r="AD34" s="65">
        <f>Depreciation!AE48</f>
        <v>5839.5109537317021</v>
      </c>
      <c r="AE34" s="65">
        <f>Depreciation!AF48</f>
        <v>5839.5109537317021</v>
      </c>
      <c r="AF34" s="65">
        <f>Depreciation!AG48</f>
        <v>5839.5109537317021</v>
      </c>
      <c r="AG34" s="65">
        <f>Depreciation!AH48</f>
        <v>1946.5036512439012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50</v>
      </c>
      <c r="C36" s="123">
        <f>C32-C34</f>
        <v>10615.465237512199</v>
      </c>
      <c r="D36" s="123">
        <f t="shared" ref="D36:X36" si="5">D32-D34</f>
        <v>16115.197856268298</v>
      </c>
      <c r="E36" s="123">
        <f t="shared" si="5"/>
        <v>16107.037856268294</v>
      </c>
      <c r="F36" s="123">
        <f t="shared" si="5"/>
        <v>16098.714656268303</v>
      </c>
      <c r="G36" s="123">
        <f t="shared" si="5"/>
        <v>16090.224992268291</v>
      </c>
      <c r="H36" s="123">
        <f t="shared" si="5"/>
        <v>17570.852994988287</v>
      </c>
      <c r="I36" s="123">
        <f t="shared" si="5"/>
        <v>18306.664078562688</v>
      </c>
      <c r="J36" s="123">
        <f t="shared" si="5"/>
        <v>18297.654779208584</v>
      </c>
      <c r="K36" s="123">
        <f t="shared" si="5"/>
        <v>18288.46529386739</v>
      </c>
      <c r="L36" s="123">
        <f t="shared" si="5"/>
        <v>18279.09201881937</v>
      </c>
      <c r="M36" s="123">
        <f t="shared" si="5"/>
        <v>18269.531278270391</v>
      </c>
      <c r="N36" s="123">
        <f t="shared" si="5"/>
        <v>18259.779322910435</v>
      </c>
      <c r="O36" s="123">
        <f t="shared" si="5"/>
        <v>18249.832328443277</v>
      </c>
      <c r="P36" s="123">
        <f t="shared" si="5"/>
        <v>18239.686394086777</v>
      </c>
      <c r="Q36" s="123">
        <f t="shared" si="5"/>
        <v>18229.337541043147</v>
      </c>
      <c r="R36" s="123">
        <f t="shared" si="5"/>
        <v>18218.781710938645</v>
      </c>
      <c r="S36" s="123">
        <f t="shared" si="5"/>
        <v>18208.014764232052</v>
      </c>
      <c r="T36" s="123">
        <f t="shared" si="5"/>
        <v>18197.032478591325</v>
      </c>
      <c r="U36" s="123">
        <f t="shared" si="5"/>
        <v>18185.830547237783</v>
      </c>
      <c r="V36" s="123">
        <f t="shared" si="5"/>
        <v>18174.404577257177</v>
      </c>
      <c r="W36" s="123">
        <f t="shared" si="5"/>
        <v>2916.757977638199</v>
      </c>
      <c r="X36" s="123">
        <f t="shared" si="5"/>
        <v>-6445.7774912908717</v>
      </c>
      <c r="Y36" s="123">
        <f t="shared" ref="Y36:AG36" si="6">Y32-Y34</f>
        <v>-6457.902822042055</v>
      </c>
      <c r="Z36" s="123">
        <f t="shared" si="6"/>
        <v>-6470.2706594082611</v>
      </c>
      <c r="AA36" s="123">
        <f t="shared" si="6"/>
        <v>-6482.8858535217933</v>
      </c>
      <c r="AB36" s="123">
        <f t="shared" si="6"/>
        <v>-6495.7533515175946</v>
      </c>
      <c r="AC36" s="123">
        <f t="shared" si="6"/>
        <v>-6508.8781994733126</v>
      </c>
      <c r="AD36" s="123">
        <f t="shared" si="6"/>
        <v>-6522.2655443881449</v>
      </c>
      <c r="AE36" s="123">
        <f t="shared" si="6"/>
        <v>-6535.9206362012737</v>
      </c>
      <c r="AF36" s="123">
        <f t="shared" si="6"/>
        <v>-6549.8488298506654</v>
      </c>
      <c r="AG36" s="123">
        <f t="shared" si="6"/>
        <v>-2671.0482848852434</v>
      </c>
    </row>
    <row r="37" spans="1:33">
      <c r="A37" s="1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</row>
    <row r="38" spans="1:33">
      <c r="A38" s="3" t="s">
        <v>130</v>
      </c>
      <c r="C38" s="65">
        <f>Debt!B57</f>
        <v>4399.8091626891601</v>
      </c>
      <c r="D38" s="65">
        <f>Debt!C57</f>
        <v>5823.1064830803871</v>
      </c>
      <c r="E38" s="65">
        <f>Debt!D57</f>
        <v>4748.9864780911712</v>
      </c>
      <c r="F38" s="65">
        <f>Debt!E57</f>
        <v>3584.3640333888316</v>
      </c>
      <c r="G38" s="65">
        <f>Debt!F57</f>
        <v>2318.6216384613754</v>
      </c>
      <c r="H38" s="65">
        <f>Debt!G57</f>
        <v>949.39670167863335</v>
      </c>
      <c r="I38" s="65">
        <f>Debt!H57</f>
        <v>57.22892910550275</v>
      </c>
      <c r="J38" s="65">
        <f>Debt!I57</f>
        <v>0</v>
      </c>
      <c r="K38" s="65">
        <f>Debt!J57</f>
        <v>0</v>
      </c>
      <c r="L38" s="65">
        <f>Debt!K57</f>
        <v>0</v>
      </c>
      <c r="M38" s="65">
        <f>Debt!L57</f>
        <v>0</v>
      </c>
      <c r="N38" s="65">
        <f>Debt!M57</f>
        <v>0</v>
      </c>
      <c r="O38" s="65">
        <f>Debt!N57</f>
        <v>0</v>
      </c>
      <c r="P38" s="65">
        <f>Debt!O57</f>
        <v>0</v>
      </c>
      <c r="Q38" s="65">
        <f>Debt!P57</f>
        <v>0</v>
      </c>
      <c r="R38" s="65">
        <f>Debt!Q57</f>
        <v>0</v>
      </c>
      <c r="S38" s="65">
        <f>Debt!R57</f>
        <v>0</v>
      </c>
      <c r="T38" s="65">
        <f>Debt!S57</f>
        <v>0</v>
      </c>
      <c r="U38" s="65">
        <f>Debt!T57</f>
        <v>0</v>
      </c>
      <c r="V38" s="65">
        <f>Debt!U57</f>
        <v>0</v>
      </c>
      <c r="W38" s="65">
        <f>Debt!V57</f>
        <v>0</v>
      </c>
      <c r="X38" s="65">
        <f>Debt!W57</f>
        <v>0</v>
      </c>
      <c r="Y38" s="65">
        <f>Debt!X57</f>
        <v>19.727488344145183</v>
      </c>
      <c r="Z38" s="65">
        <f>Debt!Y57</f>
        <v>61.598441566773218</v>
      </c>
      <c r="AA38" s="65">
        <f>Debt!Z57</f>
        <v>107.90008186012059</v>
      </c>
      <c r="AB38" s="65">
        <f>Debt!AA57</f>
        <v>158.84859705648938</v>
      </c>
      <c r="AC38" s="65">
        <f>Debt!AB57</f>
        <v>214.9399046011232</v>
      </c>
      <c r="AD38" s="65">
        <f>Debt!AC57</f>
        <v>276.55970004733427</v>
      </c>
      <c r="AE38" s="65">
        <f>Debt!AD57</f>
        <v>344.35672583830069</v>
      </c>
      <c r="AF38" s="65">
        <f>Debt!AE57</f>
        <v>418.66293996243087</v>
      </c>
      <c r="AG38" s="65">
        <f>Debt!AF57</f>
        <v>515.01463307297263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203</v>
      </c>
      <c r="C40" s="123">
        <f>C36-C38</f>
        <v>6215.6560748230386</v>
      </c>
      <c r="D40" s="123">
        <f t="shared" ref="D40:X40" si="7">D36-D38</f>
        <v>10292.091373187912</v>
      </c>
      <c r="E40" s="123">
        <f t="shared" si="7"/>
        <v>11358.051378177122</v>
      </c>
      <c r="F40" s="123">
        <f t="shared" si="7"/>
        <v>12514.350622879472</v>
      </c>
      <c r="G40" s="123">
        <f t="shared" si="7"/>
        <v>13771.603353806917</v>
      </c>
      <c r="H40" s="123">
        <f t="shared" si="7"/>
        <v>16621.456293309653</v>
      </c>
      <c r="I40" s="123">
        <f t="shared" si="7"/>
        <v>18249.435149457186</v>
      </c>
      <c r="J40" s="123">
        <f t="shared" si="7"/>
        <v>18297.654779208584</v>
      </c>
      <c r="K40" s="123">
        <f t="shared" si="7"/>
        <v>18288.46529386739</v>
      </c>
      <c r="L40" s="123">
        <f t="shared" si="7"/>
        <v>18279.09201881937</v>
      </c>
      <c r="M40" s="123">
        <f t="shared" si="7"/>
        <v>18269.531278270391</v>
      </c>
      <c r="N40" s="123">
        <f t="shared" si="7"/>
        <v>18259.779322910435</v>
      </c>
      <c r="O40" s="123">
        <f t="shared" si="7"/>
        <v>18249.832328443277</v>
      </c>
      <c r="P40" s="123">
        <f t="shared" si="7"/>
        <v>18239.686394086777</v>
      </c>
      <c r="Q40" s="123">
        <f t="shared" si="7"/>
        <v>18229.337541043147</v>
      </c>
      <c r="R40" s="123">
        <f t="shared" si="7"/>
        <v>18218.781710938645</v>
      </c>
      <c r="S40" s="123">
        <f t="shared" si="7"/>
        <v>18208.014764232052</v>
      </c>
      <c r="T40" s="123">
        <f t="shared" si="7"/>
        <v>18197.032478591325</v>
      </c>
      <c r="U40" s="123">
        <f t="shared" si="7"/>
        <v>18185.830547237783</v>
      </c>
      <c r="V40" s="123">
        <f t="shared" si="7"/>
        <v>18174.404577257177</v>
      </c>
      <c r="W40" s="123">
        <f t="shared" si="7"/>
        <v>2916.757977638199</v>
      </c>
      <c r="X40" s="123">
        <f t="shared" si="7"/>
        <v>-6445.7774912908717</v>
      </c>
      <c r="Y40" s="123">
        <f t="shared" ref="Y40:AG40" si="8">Y36-Y38</f>
        <v>-6477.6303103862001</v>
      </c>
      <c r="Z40" s="123">
        <f t="shared" si="8"/>
        <v>-6531.8691009750346</v>
      </c>
      <c r="AA40" s="123">
        <f t="shared" si="8"/>
        <v>-6590.785935381914</v>
      </c>
      <c r="AB40" s="123">
        <f t="shared" si="8"/>
        <v>-6654.6019485740844</v>
      </c>
      <c r="AC40" s="123">
        <f t="shared" si="8"/>
        <v>-6723.8181040744357</v>
      </c>
      <c r="AD40" s="123">
        <f t="shared" si="8"/>
        <v>-6798.8252444354794</v>
      </c>
      <c r="AE40" s="123">
        <f t="shared" si="8"/>
        <v>-6880.2773620395747</v>
      </c>
      <c r="AF40" s="123">
        <f t="shared" si="8"/>
        <v>-6968.5117698130962</v>
      </c>
      <c r="AG40" s="123">
        <f t="shared" si="8"/>
        <v>-3186.0629179582161</v>
      </c>
    </row>
    <row r="41" spans="1:33">
      <c r="A41" s="1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</row>
    <row r="42" spans="1:33">
      <c r="A42" s="3" t="s">
        <v>51</v>
      </c>
      <c r="B42" s="344">
        <f>Assumptions!N51</f>
        <v>7.0000000000000007E-2</v>
      </c>
      <c r="C42" s="74">
        <f>-C40*$B$42</f>
        <v>-435.09592523761273</v>
      </c>
      <c r="D42" s="74">
        <f t="shared" ref="D42:AG42" si="9">-D40*$B$42</f>
        <v>-720.44639612315393</v>
      </c>
      <c r="E42" s="74">
        <f t="shared" si="9"/>
        <v>-795.06359647239867</v>
      </c>
      <c r="F42" s="74">
        <f t="shared" si="9"/>
        <v>-876.00454360156311</v>
      </c>
      <c r="G42" s="74">
        <f t="shared" si="9"/>
        <v>-964.01223476648431</v>
      </c>
      <c r="H42" s="74">
        <f t="shared" si="9"/>
        <v>-1163.5019405316759</v>
      </c>
      <c r="I42" s="74">
        <f t="shared" si="9"/>
        <v>-1277.4604604620031</v>
      </c>
      <c r="J42" s="74">
        <f t="shared" si="9"/>
        <v>-1280.8358345446011</v>
      </c>
      <c r="K42" s="74">
        <f t="shared" si="9"/>
        <v>-1280.1925705707174</v>
      </c>
      <c r="L42" s="74">
        <f t="shared" si="9"/>
        <v>-1279.5364413173561</v>
      </c>
      <c r="M42" s="74">
        <f t="shared" si="9"/>
        <v>-1278.8671894789275</v>
      </c>
      <c r="N42" s="74">
        <f t="shared" si="9"/>
        <v>-1278.1845526037307</v>
      </c>
      <c r="O42" s="74">
        <f t="shared" si="9"/>
        <v>-1277.4882629910296</v>
      </c>
      <c r="P42" s="74">
        <f t="shared" si="9"/>
        <v>-1276.7780475860745</v>
      </c>
      <c r="Q42" s="74">
        <f t="shared" si="9"/>
        <v>-1276.0536278730203</v>
      </c>
      <c r="R42" s="74">
        <f t="shared" si="9"/>
        <v>-1275.3147197657054</v>
      </c>
      <c r="S42" s="74">
        <f t="shared" si="9"/>
        <v>-1274.5610334962437</v>
      </c>
      <c r="T42" s="74">
        <f t="shared" si="9"/>
        <v>-1273.7922735013929</v>
      </c>
      <c r="U42" s="74">
        <f t="shared" si="9"/>
        <v>-1273.0081383066449</v>
      </c>
      <c r="V42" s="74">
        <f t="shared" si="9"/>
        <v>-1272.2083204080025</v>
      </c>
      <c r="W42" s="74">
        <f t="shared" si="9"/>
        <v>-204.17305843467395</v>
      </c>
      <c r="X42" s="74">
        <f t="shared" si="9"/>
        <v>451.20442439036105</v>
      </c>
      <c r="Y42" s="74">
        <f t="shared" si="9"/>
        <v>453.43412172703404</v>
      </c>
      <c r="Z42" s="74">
        <f t="shared" si="9"/>
        <v>457.23083706825247</v>
      </c>
      <c r="AA42" s="74">
        <f t="shared" si="9"/>
        <v>461.35501547673402</v>
      </c>
      <c r="AB42" s="74">
        <f t="shared" si="9"/>
        <v>465.82213640018597</v>
      </c>
      <c r="AC42" s="74">
        <f t="shared" si="9"/>
        <v>470.66726728521053</v>
      </c>
      <c r="AD42" s="74">
        <f t="shared" si="9"/>
        <v>475.91776711048362</v>
      </c>
      <c r="AE42" s="74">
        <f t="shared" si="9"/>
        <v>481.61941534277025</v>
      </c>
      <c r="AF42" s="74">
        <f t="shared" si="9"/>
        <v>487.79582388691676</v>
      </c>
      <c r="AG42" s="74">
        <f t="shared" si="9"/>
        <v>223.02440425707513</v>
      </c>
    </row>
    <row r="43" spans="1:33">
      <c r="A43" s="3" t="s">
        <v>52</v>
      </c>
      <c r="B43" s="344">
        <f>Assumptions!N50</f>
        <v>0.35</v>
      </c>
      <c r="C43" s="74">
        <f t="shared" ref="C43:AG43" si="10">(C40+C42)*-$B$43</f>
        <v>-2023.1960523548989</v>
      </c>
      <c r="D43" s="74">
        <f t="shared" si="10"/>
        <v>-3350.0757419726651</v>
      </c>
      <c r="E43" s="74">
        <f t="shared" si="10"/>
        <v>-3697.0457235966528</v>
      </c>
      <c r="F43" s="74">
        <f t="shared" si="10"/>
        <v>-4073.4211277472682</v>
      </c>
      <c r="G43" s="74">
        <f t="shared" si="10"/>
        <v>-4482.6568916641509</v>
      </c>
      <c r="H43" s="74">
        <f t="shared" si="10"/>
        <v>-5410.2840234722917</v>
      </c>
      <c r="I43" s="74">
        <f t="shared" si="10"/>
        <v>-5940.1911411483134</v>
      </c>
      <c r="J43" s="74">
        <f t="shared" si="10"/>
        <v>-5955.8866306323944</v>
      </c>
      <c r="K43" s="74">
        <f t="shared" si="10"/>
        <v>-5952.8954531538348</v>
      </c>
      <c r="L43" s="74">
        <f t="shared" si="10"/>
        <v>-5949.8444521257052</v>
      </c>
      <c r="M43" s="74">
        <f t="shared" si="10"/>
        <v>-5946.7324310770127</v>
      </c>
      <c r="N43" s="74">
        <f t="shared" si="10"/>
        <v>-5943.5581696073459</v>
      </c>
      <c r="O43" s="74">
        <f t="shared" si="10"/>
        <v>-5940.3204229082867</v>
      </c>
      <c r="P43" s="74">
        <f t="shared" si="10"/>
        <v>-5937.0179212752455</v>
      </c>
      <c r="Q43" s="74">
        <f t="shared" si="10"/>
        <v>-5933.649369609544</v>
      </c>
      <c r="R43" s="74">
        <f t="shared" si="10"/>
        <v>-5930.2134469105285</v>
      </c>
      <c r="S43" s="74">
        <f t="shared" si="10"/>
        <v>-5926.708805757532</v>
      </c>
      <c r="T43" s="74">
        <f t="shared" si="10"/>
        <v>-5923.1340717814765</v>
      </c>
      <c r="U43" s="74">
        <f t="shared" si="10"/>
        <v>-5919.4878431258976</v>
      </c>
      <c r="V43" s="74">
        <f t="shared" si="10"/>
        <v>-5915.7686898972115</v>
      </c>
      <c r="W43" s="74">
        <f t="shared" si="10"/>
        <v>-949.40472172123373</v>
      </c>
      <c r="X43" s="74">
        <f t="shared" si="10"/>
        <v>2098.1005734151786</v>
      </c>
      <c r="Y43" s="74">
        <f t="shared" si="10"/>
        <v>2108.4686660307079</v>
      </c>
      <c r="Z43" s="74">
        <f t="shared" si="10"/>
        <v>2126.1233923673735</v>
      </c>
      <c r="AA43" s="74">
        <f t="shared" si="10"/>
        <v>2145.3008219668131</v>
      </c>
      <c r="AB43" s="74">
        <f t="shared" si="10"/>
        <v>2166.0729342608643</v>
      </c>
      <c r="AC43" s="74">
        <f t="shared" si="10"/>
        <v>2188.6027928762287</v>
      </c>
      <c r="AD43" s="74">
        <f t="shared" si="10"/>
        <v>2213.0176170637483</v>
      </c>
      <c r="AE43" s="74">
        <f t="shared" si="10"/>
        <v>2239.5302813438811</v>
      </c>
      <c r="AF43" s="74">
        <f t="shared" si="10"/>
        <v>2268.2505810741627</v>
      </c>
      <c r="AG43" s="74">
        <f t="shared" si="10"/>
        <v>1037.0634797953992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6">
      <c r="A45" s="54" t="s">
        <v>53</v>
      </c>
      <c r="B45" s="46"/>
      <c r="C45" s="369">
        <f t="shared" ref="C45:AG45" si="11">C40+C42+C43</f>
        <v>3757.3640972305275</v>
      </c>
      <c r="D45" s="369">
        <f t="shared" si="11"/>
        <v>6221.5692350920926</v>
      </c>
      <c r="E45" s="369">
        <f t="shared" si="11"/>
        <v>6865.9420581080703</v>
      </c>
      <c r="F45" s="369">
        <f t="shared" si="11"/>
        <v>7564.9249515306419</v>
      </c>
      <c r="G45" s="369">
        <f t="shared" si="11"/>
        <v>8324.9342273762813</v>
      </c>
      <c r="H45" s="369">
        <f t="shared" si="11"/>
        <v>10047.670329305685</v>
      </c>
      <c r="I45" s="369">
        <f t="shared" si="11"/>
        <v>11031.78354784687</v>
      </c>
      <c r="J45" s="369">
        <f t="shared" si="11"/>
        <v>11060.93231403159</v>
      </c>
      <c r="K45" s="369">
        <f t="shared" si="11"/>
        <v>11055.377270142837</v>
      </c>
      <c r="L45" s="369">
        <f t="shared" si="11"/>
        <v>11049.711125376311</v>
      </c>
      <c r="M45" s="369">
        <f t="shared" si="11"/>
        <v>11043.931657714453</v>
      </c>
      <c r="N45" s="369">
        <f t="shared" si="11"/>
        <v>11038.036600699357</v>
      </c>
      <c r="O45" s="369">
        <f t="shared" si="11"/>
        <v>11032.023642543962</v>
      </c>
      <c r="P45" s="369">
        <f t="shared" si="11"/>
        <v>11025.890425225458</v>
      </c>
      <c r="Q45" s="369">
        <f t="shared" si="11"/>
        <v>11019.634543560582</v>
      </c>
      <c r="R45" s="369">
        <f t="shared" si="11"/>
        <v>11013.25354426241</v>
      </c>
      <c r="S45" s="369">
        <f t="shared" si="11"/>
        <v>11006.744924978277</v>
      </c>
      <c r="T45" s="369">
        <f t="shared" si="11"/>
        <v>11000.106133308456</v>
      </c>
      <c r="U45" s="369">
        <f t="shared" si="11"/>
        <v>10993.334565805239</v>
      </c>
      <c r="V45" s="369">
        <f t="shared" si="11"/>
        <v>10986.427566951965</v>
      </c>
      <c r="W45" s="369">
        <f t="shared" si="11"/>
        <v>1763.1801974822915</v>
      </c>
      <c r="X45" s="369">
        <f t="shared" si="11"/>
        <v>-3896.4724934853321</v>
      </c>
      <c r="Y45" s="369">
        <f t="shared" si="11"/>
        <v>-3915.7275226284582</v>
      </c>
      <c r="Z45" s="369">
        <f t="shared" si="11"/>
        <v>-3948.5148715394089</v>
      </c>
      <c r="AA45" s="369">
        <f t="shared" si="11"/>
        <v>-3984.1300979383673</v>
      </c>
      <c r="AB45" s="369">
        <f t="shared" si="11"/>
        <v>-4022.7068779130345</v>
      </c>
      <c r="AC45" s="369">
        <f t="shared" si="11"/>
        <v>-4064.5480439129969</v>
      </c>
      <c r="AD45" s="369">
        <f t="shared" si="11"/>
        <v>-4109.889860261248</v>
      </c>
      <c r="AE45" s="369">
        <f t="shared" si="11"/>
        <v>-4159.127665352923</v>
      </c>
      <c r="AF45" s="369">
        <f t="shared" si="11"/>
        <v>-4212.4653648520161</v>
      </c>
      <c r="AG45" s="369">
        <f t="shared" si="11"/>
        <v>-1925.9750339057416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70"/>
      <c r="AA49" s="370"/>
      <c r="AB49" s="370"/>
      <c r="AC49" s="370"/>
      <c r="AD49" s="370"/>
      <c r="AE49" s="370"/>
      <c r="AF49" s="370"/>
      <c r="AG49" s="370"/>
    </row>
    <row r="50" spans="1:33">
      <c r="A50" s="11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370"/>
      <c r="Y50" s="370"/>
      <c r="Z50" s="370"/>
      <c r="AA50" s="370"/>
      <c r="AB50" s="370"/>
      <c r="AC50" s="370"/>
      <c r="AD50" s="370"/>
      <c r="AE50" s="370"/>
      <c r="AF50" s="370"/>
      <c r="AG50" s="370"/>
    </row>
    <row r="51" spans="1:33">
      <c r="C51" s="370"/>
      <c r="D51" s="370"/>
      <c r="E51" s="370"/>
      <c r="F51" s="370"/>
      <c r="G51" s="370"/>
    </row>
    <row r="52" spans="1:33">
      <c r="C52" s="6"/>
      <c r="D52" s="6"/>
      <c r="E52" s="6"/>
      <c r="F52" s="6"/>
      <c r="G52" s="6"/>
    </row>
    <row r="53" spans="1:33">
      <c r="C53" s="370"/>
      <c r="D53" s="370"/>
      <c r="E53" s="370"/>
      <c r="F53" s="370"/>
      <c r="G53" s="370"/>
    </row>
    <row r="54" spans="1:33">
      <c r="C54" s="370"/>
      <c r="D54" s="370"/>
      <c r="E54" s="370"/>
      <c r="F54" s="370"/>
      <c r="G54" s="370"/>
    </row>
    <row r="55" spans="1:33">
      <c r="C55" s="370"/>
      <c r="D55" s="370"/>
      <c r="E55" s="370"/>
      <c r="F55" s="370"/>
      <c r="G55" s="370"/>
    </row>
    <row r="56" spans="1:33">
      <c r="C56" s="370"/>
      <c r="D56" s="370"/>
      <c r="E56" s="370"/>
      <c r="F56" s="370"/>
      <c r="G56" s="370"/>
    </row>
    <row r="57" spans="1:33">
      <c r="C57" s="370"/>
      <c r="D57" s="370"/>
      <c r="E57" s="370"/>
      <c r="F57" s="370"/>
      <c r="G57" s="370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1"/>
      <c r="D60" s="371"/>
      <c r="E60" s="371"/>
      <c r="F60" s="371"/>
      <c r="G60" s="6"/>
    </row>
    <row r="61" spans="1:33">
      <c r="C61" s="6"/>
      <c r="D61" s="6"/>
      <c r="E61" s="6"/>
      <c r="F61" s="6"/>
      <c r="G61" s="6"/>
    </row>
    <row r="62" spans="1:33">
      <c r="C62" s="371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3.2"/>
  <cols>
    <col min="1" max="1" width="34.44140625" customWidth="1"/>
    <col min="2" max="2" width="11.33203125" bestFit="1" customWidth="1"/>
    <col min="3" max="3" width="11.33203125" customWidth="1"/>
    <col min="4" max="24" width="12.5546875" customWidth="1"/>
    <col min="25" max="25" width="13.33203125" bestFit="1" customWidth="1"/>
    <col min="26" max="27" width="13.33203125" style="87" customWidth="1"/>
    <col min="28" max="34" width="13.33203125" customWidth="1"/>
  </cols>
  <sheetData>
    <row r="2" spans="1:60" ht="17.399999999999999">
      <c r="A2" s="86" t="str">
        <f>Assumptions!A3</f>
        <v>PROJECT NAME: Homestead, Florida</v>
      </c>
    </row>
    <row r="4" spans="1:60" ht="17.399999999999999">
      <c r="A4" s="60" t="s">
        <v>132</v>
      </c>
      <c r="B4" s="8"/>
      <c r="C4" s="8"/>
    </row>
    <row r="6" spans="1:60">
      <c r="C6" s="314">
        <v>0</v>
      </c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60" s="6" customFormat="1" ht="13.8" thickBot="1">
      <c r="A7" s="122" t="s">
        <v>39</v>
      </c>
      <c r="B7" s="7"/>
      <c r="C7" s="315" t="s">
        <v>246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6"/>
      <c r="D8" s="211">
        <f>Assumptions!H17+365.25*Assumptions!H18/12</f>
        <v>37255.5</v>
      </c>
      <c r="E8" s="211">
        <f t="shared" ref="E8:AH8" si="0">D8+365.25</f>
        <v>37620.75</v>
      </c>
      <c r="F8" s="211">
        <f t="shared" si="0"/>
        <v>37986</v>
      </c>
      <c r="G8" s="211">
        <f t="shared" si="0"/>
        <v>38351.25</v>
      </c>
      <c r="H8" s="211">
        <f t="shared" si="0"/>
        <v>38716.5</v>
      </c>
      <c r="I8" s="211">
        <f t="shared" si="0"/>
        <v>39081.75</v>
      </c>
      <c r="J8" s="211">
        <f t="shared" si="0"/>
        <v>39447</v>
      </c>
      <c r="K8" s="211">
        <f t="shared" si="0"/>
        <v>39812.25</v>
      </c>
      <c r="L8" s="211">
        <f t="shared" si="0"/>
        <v>40177.5</v>
      </c>
      <c r="M8" s="211">
        <f t="shared" si="0"/>
        <v>40542.75</v>
      </c>
      <c r="N8" s="211">
        <f t="shared" si="0"/>
        <v>40908</v>
      </c>
      <c r="O8" s="211">
        <f t="shared" si="0"/>
        <v>41273.25</v>
      </c>
      <c r="P8" s="211">
        <f t="shared" si="0"/>
        <v>41638.5</v>
      </c>
      <c r="Q8" s="211">
        <f t="shared" si="0"/>
        <v>42003.75</v>
      </c>
      <c r="R8" s="211">
        <f t="shared" si="0"/>
        <v>42369</v>
      </c>
      <c r="S8" s="211">
        <f t="shared" si="0"/>
        <v>42734.25</v>
      </c>
      <c r="T8" s="211">
        <f t="shared" si="0"/>
        <v>43099.5</v>
      </c>
      <c r="U8" s="211">
        <f t="shared" si="0"/>
        <v>43464.75</v>
      </c>
      <c r="V8" s="211">
        <f t="shared" si="0"/>
        <v>43830</v>
      </c>
      <c r="W8" s="211">
        <f t="shared" si="0"/>
        <v>44195.25</v>
      </c>
      <c r="X8" s="211">
        <f t="shared" si="0"/>
        <v>44560.5</v>
      </c>
      <c r="Y8" s="211">
        <f t="shared" si="0"/>
        <v>44925.75</v>
      </c>
      <c r="Z8" s="211">
        <f t="shared" si="0"/>
        <v>45291</v>
      </c>
      <c r="AA8" s="211">
        <f t="shared" si="0"/>
        <v>45656.25</v>
      </c>
      <c r="AB8" s="211">
        <f t="shared" si="0"/>
        <v>46021.5</v>
      </c>
      <c r="AC8" s="211">
        <f t="shared" si="0"/>
        <v>46386.75</v>
      </c>
      <c r="AD8" s="211">
        <f t="shared" si="0"/>
        <v>46752</v>
      </c>
      <c r="AE8" s="211">
        <f t="shared" si="0"/>
        <v>47117.25</v>
      </c>
      <c r="AF8" s="211">
        <f t="shared" si="0"/>
        <v>47482.5</v>
      </c>
      <c r="AG8" s="211">
        <f t="shared" si="0"/>
        <v>47847.75</v>
      </c>
      <c r="AH8" s="211">
        <f t="shared" si="0"/>
        <v>48213</v>
      </c>
    </row>
    <row r="9" spans="1:60">
      <c r="A9" s="1" t="s">
        <v>133</v>
      </c>
      <c r="B9" s="12"/>
      <c r="C9" s="317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7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134</v>
      </c>
      <c r="B11" s="12"/>
      <c r="C11" s="3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7"/>
      <c r="AJ11" s="307"/>
      <c r="AK11" s="307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7"/>
      <c r="BA11" s="307"/>
      <c r="BB11" s="307"/>
      <c r="BC11" s="307"/>
      <c r="BD11" s="307"/>
      <c r="BE11" s="307"/>
      <c r="BF11" s="307"/>
      <c r="BG11" s="307"/>
      <c r="BH11" s="307"/>
    </row>
    <row r="12" spans="1:60">
      <c r="A12" s="23" t="s">
        <v>135</v>
      </c>
      <c r="B12" s="12"/>
      <c r="C12" s="3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7"/>
      <c r="AJ12" s="307"/>
      <c r="AK12" s="307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7"/>
      <c r="BF12" s="307"/>
      <c r="BG12" s="307"/>
      <c r="BH12" s="307"/>
    </row>
    <row r="13" spans="1:60">
      <c r="A13" s="23" t="s">
        <v>136</v>
      </c>
      <c r="B13" s="12"/>
      <c r="C13" s="3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7"/>
      <c r="AJ13" s="307"/>
      <c r="AK13" s="307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7"/>
      <c r="AX13" s="307"/>
      <c r="AY13" s="307"/>
      <c r="AZ13" s="307"/>
      <c r="BA13" s="307"/>
      <c r="BB13" s="307"/>
      <c r="BC13" s="307"/>
      <c r="BD13" s="307"/>
      <c r="BE13" s="307"/>
      <c r="BF13" s="307"/>
      <c r="BG13" s="307"/>
      <c r="BH13" s="307"/>
    </row>
    <row r="14" spans="1:60">
      <c r="A14" s="23" t="s">
        <v>137</v>
      </c>
      <c r="B14" s="12"/>
      <c r="C14" s="3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7"/>
      <c r="BG14" s="307"/>
      <c r="BH14" s="307"/>
    </row>
    <row r="15" spans="1:60">
      <c r="A15" s="306" t="s">
        <v>138</v>
      </c>
      <c r="B15" s="58"/>
      <c r="C15" s="319">
        <v>0</v>
      </c>
      <c r="D15" s="306">
        <v>0</v>
      </c>
      <c r="E15" s="306">
        <v>0</v>
      </c>
      <c r="F15" s="306">
        <v>0</v>
      </c>
      <c r="G15" s="306">
        <v>0</v>
      </c>
      <c r="H15" s="306">
        <v>0</v>
      </c>
      <c r="I15" s="306">
        <v>0</v>
      </c>
      <c r="J15" s="306">
        <v>0</v>
      </c>
      <c r="K15" s="306">
        <v>0</v>
      </c>
      <c r="L15" s="306">
        <v>0</v>
      </c>
      <c r="M15" s="306">
        <v>0</v>
      </c>
      <c r="N15" s="306">
        <v>0</v>
      </c>
      <c r="O15" s="306">
        <v>0</v>
      </c>
      <c r="P15" s="306">
        <v>0</v>
      </c>
      <c r="Q15" s="306">
        <v>0</v>
      </c>
      <c r="R15" s="306">
        <v>0</v>
      </c>
      <c r="S15" s="306">
        <v>0</v>
      </c>
      <c r="T15" s="306">
        <v>0</v>
      </c>
      <c r="U15" s="306">
        <v>0</v>
      </c>
      <c r="V15" s="306">
        <v>0</v>
      </c>
      <c r="W15" s="306">
        <v>0</v>
      </c>
      <c r="X15" s="306">
        <v>0</v>
      </c>
      <c r="Y15" s="306">
        <v>0</v>
      </c>
      <c r="Z15" s="306">
        <v>0</v>
      </c>
      <c r="AA15" s="306">
        <v>0</v>
      </c>
      <c r="AB15" s="306">
        <v>0</v>
      </c>
      <c r="AC15" s="306">
        <v>0</v>
      </c>
      <c r="AD15" s="306">
        <v>0</v>
      </c>
      <c r="AE15" s="306">
        <v>0</v>
      </c>
      <c r="AF15" s="306">
        <v>0</v>
      </c>
      <c r="AG15" s="306">
        <v>0</v>
      </c>
      <c r="AH15" s="306">
        <v>0</v>
      </c>
      <c r="AI15" s="307"/>
      <c r="AJ15" s="307"/>
      <c r="AK15" s="307"/>
      <c r="AL15" s="307"/>
      <c r="AM15" s="307"/>
      <c r="AN15" s="307"/>
      <c r="AO15" s="307"/>
      <c r="AP15" s="307"/>
      <c r="AQ15" s="307"/>
      <c r="AR15" s="307"/>
      <c r="AS15" s="307"/>
      <c r="AT15" s="307"/>
      <c r="AU15" s="307"/>
      <c r="AV15" s="307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7"/>
    </row>
    <row r="16" spans="1:60">
      <c r="A16" s="23" t="s">
        <v>139</v>
      </c>
      <c r="B16" s="12"/>
      <c r="C16" s="318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7"/>
    </row>
    <row r="17" spans="1:60">
      <c r="A17" s="13"/>
      <c r="B17" s="12"/>
      <c r="C17" s="318"/>
      <c r="D17" s="18"/>
      <c r="E17" s="18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150"/>
      <c r="AA17" s="150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307"/>
      <c r="AX17" s="307"/>
      <c r="AY17" s="307"/>
      <c r="AZ17" s="307"/>
      <c r="BA17" s="307"/>
      <c r="BB17" s="307"/>
      <c r="BC17" s="307"/>
      <c r="BD17" s="307"/>
      <c r="BE17" s="307"/>
      <c r="BF17" s="307"/>
      <c r="BG17" s="307"/>
      <c r="BH17" s="307"/>
    </row>
    <row r="18" spans="1:60">
      <c r="A18" s="23" t="s">
        <v>140</v>
      </c>
      <c r="B18" s="12"/>
      <c r="C18" s="318">
        <f>Assumptions!C60</f>
        <v>211507.14907439009</v>
      </c>
      <c r="D18" s="18">
        <f>Depreciation!$B$48</f>
        <v>205820.02107439007</v>
      </c>
      <c r="E18" s="18">
        <f>Depreciation!$B$48</f>
        <v>205820.02107439007</v>
      </c>
      <c r="F18" s="18">
        <f>Depreciation!$B$48</f>
        <v>205820.02107439007</v>
      </c>
      <c r="G18" s="18">
        <f>Depreciation!$B$48</f>
        <v>205820.02107439007</v>
      </c>
      <c r="H18" s="18">
        <f>Depreciation!$B$48</f>
        <v>205820.02107439007</v>
      </c>
      <c r="I18" s="18">
        <f>Depreciation!$B$48</f>
        <v>205820.02107439007</v>
      </c>
      <c r="J18" s="18">
        <f>Depreciation!$B$48</f>
        <v>205820.02107439007</v>
      </c>
      <c r="K18" s="18">
        <f>Depreciation!$B$48</f>
        <v>205820.02107439007</v>
      </c>
      <c r="L18" s="18">
        <f>Depreciation!$B$48</f>
        <v>205820.02107439007</v>
      </c>
      <c r="M18" s="18">
        <f>Depreciation!$B$48</f>
        <v>205820.02107439007</v>
      </c>
      <c r="N18" s="18">
        <f>Depreciation!$B$48</f>
        <v>205820.02107439007</v>
      </c>
      <c r="O18" s="18">
        <f>Depreciation!$B$48</f>
        <v>205820.02107439007</v>
      </c>
      <c r="P18" s="18">
        <f>Depreciation!$B$48</f>
        <v>205820.02107439007</v>
      </c>
      <c r="Q18" s="18">
        <f>Depreciation!$B$48</f>
        <v>205820.02107439007</v>
      </c>
      <c r="R18" s="18">
        <f>Depreciation!$B$48</f>
        <v>205820.02107439007</v>
      </c>
      <c r="S18" s="18">
        <f>Depreciation!$B$48</f>
        <v>205820.02107439007</v>
      </c>
      <c r="T18" s="18">
        <f>Depreciation!$B$48</f>
        <v>205820.02107439007</v>
      </c>
      <c r="U18" s="18">
        <f>Depreciation!$B$48</f>
        <v>205820.02107439007</v>
      </c>
      <c r="V18" s="18">
        <f>Depreciation!$B$48</f>
        <v>205820.02107439007</v>
      </c>
      <c r="W18" s="18">
        <f>Depreciation!$B$48</f>
        <v>205820.02107439007</v>
      </c>
      <c r="X18" s="18">
        <f>Depreciation!$B$48</f>
        <v>205820.02107439007</v>
      </c>
      <c r="Y18" s="18">
        <f>Depreciation!$B$48</f>
        <v>205820.02107439007</v>
      </c>
      <c r="Z18" s="18">
        <f>Depreciation!$B$48</f>
        <v>205820.02107439007</v>
      </c>
      <c r="AA18" s="18">
        <f>Depreciation!$B$48</f>
        <v>205820.02107439007</v>
      </c>
      <c r="AB18" s="18">
        <f>Depreciation!$B$48</f>
        <v>205820.02107439007</v>
      </c>
      <c r="AC18" s="18">
        <f>Depreciation!$B$48</f>
        <v>205820.02107439007</v>
      </c>
      <c r="AD18" s="18">
        <f>Depreciation!$B$48</f>
        <v>205820.02107439007</v>
      </c>
      <c r="AE18" s="18">
        <f>Depreciation!$B$48</f>
        <v>205820.02107439007</v>
      </c>
      <c r="AF18" s="18">
        <f>Depreciation!$B$48</f>
        <v>205820.02107439007</v>
      </c>
      <c r="AG18" s="18">
        <f>Depreciation!$B$48</f>
        <v>205820.02107439007</v>
      </c>
      <c r="AH18" s="18">
        <f>Depreciation!$B$48</f>
        <v>205820.02107439007</v>
      </c>
      <c r="AI18" s="307"/>
      <c r="AJ18" s="307"/>
      <c r="AK18" s="307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307"/>
      <c r="BA18" s="307"/>
      <c r="BB18" s="307"/>
      <c r="BC18" s="307"/>
      <c r="BD18" s="307"/>
      <c r="BE18" s="307"/>
      <c r="BF18" s="307"/>
      <c r="BG18" s="307"/>
      <c r="BH18" s="307"/>
    </row>
    <row r="19" spans="1:60">
      <c r="A19" s="23" t="s">
        <v>141</v>
      </c>
      <c r="B19" s="13"/>
      <c r="C19" s="320">
        <v>0</v>
      </c>
      <c r="D19" s="308">
        <f>SUM(Depreciation!$D$48:D48)</f>
        <v>5382.2947624878007</v>
      </c>
      <c r="E19" s="308">
        <f>SUM(Depreciation!$D$48:E48)</f>
        <v>13455.736906219503</v>
      </c>
      <c r="F19" s="308">
        <f>SUM(Depreciation!$D$48:F48)</f>
        <v>21529.179049951206</v>
      </c>
      <c r="G19" s="308">
        <f>SUM(Depreciation!$D$48:G48)</f>
        <v>29602.621193682906</v>
      </c>
      <c r="H19" s="308">
        <f>SUM(Depreciation!$D$48:H48)</f>
        <v>37676.063337414605</v>
      </c>
      <c r="I19" s="308">
        <f>SUM(Depreciation!$D$48:I48)</f>
        <v>44260.218021146306</v>
      </c>
      <c r="J19" s="308">
        <f>SUM(Depreciation!$D$48:J48)</f>
        <v>50099.728974878009</v>
      </c>
      <c r="K19" s="308">
        <f>SUM(Depreciation!$D$48:K48)</f>
        <v>55939.239928609713</v>
      </c>
      <c r="L19" s="308">
        <f>SUM(Depreciation!$D$48:L48)</f>
        <v>61778.750882341417</v>
      </c>
      <c r="M19" s="308">
        <f>SUM(Depreciation!$D$48:M48)</f>
        <v>67618.261836073114</v>
      </c>
      <c r="N19" s="308">
        <f>SUM(Depreciation!$D$48:N48)</f>
        <v>73457.772789804818</v>
      </c>
      <c r="O19" s="308">
        <f>SUM(Depreciation!$D$48:O48)</f>
        <v>79297.283743536522</v>
      </c>
      <c r="P19" s="308">
        <f>SUM(Depreciation!$D$48:P48)</f>
        <v>85136.794697268226</v>
      </c>
      <c r="Q19" s="308">
        <f>SUM(Depreciation!$D$48:Q48)</f>
        <v>90976.30565099993</v>
      </c>
      <c r="R19" s="308">
        <f>SUM(Depreciation!$D$48:R48)</f>
        <v>96815.816604731634</v>
      </c>
      <c r="S19" s="308">
        <f>SUM(Depreciation!$D$48:S48)</f>
        <v>102655.32755846334</v>
      </c>
      <c r="T19" s="308">
        <f>SUM(Depreciation!$D$48:T48)</f>
        <v>108494.83851219504</v>
      </c>
      <c r="U19" s="308">
        <f>SUM(Depreciation!$D$48:U48)</f>
        <v>114334.34946592675</v>
      </c>
      <c r="V19" s="308">
        <f>SUM(Depreciation!$D$48:V48)</f>
        <v>120173.86041965845</v>
      </c>
      <c r="W19" s="308">
        <f>SUM(Depreciation!$D$48:W48)</f>
        <v>126013.37137339015</v>
      </c>
      <c r="X19" s="308">
        <f>SUM(Depreciation!$D$48:X48)</f>
        <v>131852.88232712186</v>
      </c>
      <c r="Y19" s="308">
        <f>SUM(Depreciation!$D$48:Y48)</f>
        <v>137692.39328085355</v>
      </c>
      <c r="Z19" s="308">
        <f>SUM(Depreciation!$D$48:Z48)</f>
        <v>143531.90423458524</v>
      </c>
      <c r="AA19" s="308">
        <f>SUM(Depreciation!$D$48:AA48)</f>
        <v>149371.41518831693</v>
      </c>
      <c r="AB19" s="308">
        <f>SUM(Depreciation!$D$48:AB48)</f>
        <v>155210.92614204861</v>
      </c>
      <c r="AC19" s="308">
        <f>SUM(Depreciation!$D$48:AC48)</f>
        <v>161050.4370957803</v>
      </c>
      <c r="AD19" s="308">
        <f>SUM(Depreciation!$D$48:AD48)</f>
        <v>166889.94804951199</v>
      </c>
      <c r="AE19" s="308">
        <f>SUM(Depreciation!$D$48:AE48)</f>
        <v>172729.45900324368</v>
      </c>
      <c r="AF19" s="308">
        <f>SUM(Depreciation!$D$48:AF48)</f>
        <v>178568.96995697537</v>
      </c>
      <c r="AG19" s="308">
        <f>SUM(Depreciation!$D$48:AG48)</f>
        <v>184408.48091070706</v>
      </c>
      <c r="AH19" s="308">
        <f>SUM(Depreciation!$D$48:AH48)</f>
        <v>186354.98456195096</v>
      </c>
      <c r="AI19" s="307"/>
      <c r="AJ19" s="307"/>
      <c r="AK19" s="307"/>
      <c r="AL19" s="307"/>
      <c r="AM19" s="307"/>
      <c r="AN19" s="307"/>
      <c r="AO19" s="307"/>
      <c r="AP19" s="307"/>
      <c r="AQ19" s="307"/>
      <c r="AR19" s="307"/>
      <c r="AS19" s="307"/>
      <c r="AT19" s="307"/>
      <c r="AU19" s="307"/>
      <c r="AV19" s="307"/>
      <c r="AW19" s="307"/>
      <c r="AX19" s="307"/>
      <c r="AY19" s="307"/>
      <c r="AZ19" s="307"/>
      <c r="BA19" s="307"/>
      <c r="BB19" s="307"/>
      <c r="BC19" s="307"/>
      <c r="BD19" s="307"/>
      <c r="BE19" s="307"/>
      <c r="BF19" s="307"/>
      <c r="BG19" s="307"/>
      <c r="BH19" s="307"/>
    </row>
    <row r="20" spans="1:60">
      <c r="A20" s="23" t="s">
        <v>142</v>
      </c>
      <c r="B20" s="13"/>
      <c r="C20" s="321">
        <f>C18-C19</f>
        <v>211507.14907439009</v>
      </c>
      <c r="D20" s="23">
        <f>D18-D19</f>
        <v>200437.72631190225</v>
      </c>
      <c r="E20" s="23">
        <f t="shared" ref="E20:AH20" si="2">E18-E19</f>
        <v>192364.28416817056</v>
      </c>
      <c r="F20" s="23">
        <f t="shared" si="2"/>
        <v>184290.84202443887</v>
      </c>
      <c r="G20" s="23">
        <f t="shared" si="2"/>
        <v>176217.39988070715</v>
      </c>
      <c r="H20" s="23">
        <f t="shared" si="2"/>
        <v>168143.95773697546</v>
      </c>
      <c r="I20" s="23">
        <f t="shared" si="2"/>
        <v>161559.80305324376</v>
      </c>
      <c r="J20" s="23">
        <f t="shared" si="2"/>
        <v>155720.29209951207</v>
      </c>
      <c r="K20" s="23">
        <f t="shared" si="2"/>
        <v>149880.78114578035</v>
      </c>
      <c r="L20" s="23">
        <f t="shared" si="2"/>
        <v>144041.27019204866</v>
      </c>
      <c r="M20" s="23">
        <f t="shared" si="2"/>
        <v>138201.75923831697</v>
      </c>
      <c r="N20" s="23">
        <f t="shared" si="2"/>
        <v>132362.24828458525</v>
      </c>
      <c r="O20" s="23">
        <f t="shared" si="2"/>
        <v>126522.73733085355</v>
      </c>
      <c r="P20" s="23">
        <f t="shared" si="2"/>
        <v>120683.22637712184</v>
      </c>
      <c r="Q20" s="23">
        <f t="shared" si="2"/>
        <v>114843.71542339014</v>
      </c>
      <c r="R20" s="23">
        <f t="shared" si="2"/>
        <v>109004.20446965843</v>
      </c>
      <c r="S20" s="23">
        <f t="shared" si="2"/>
        <v>103164.69351592673</v>
      </c>
      <c r="T20" s="23">
        <f t="shared" si="2"/>
        <v>97325.182562195027</v>
      </c>
      <c r="U20" s="23">
        <f t="shared" si="2"/>
        <v>91485.671608463323</v>
      </c>
      <c r="V20" s="23">
        <f t="shared" si="2"/>
        <v>85646.160654731619</v>
      </c>
      <c r="W20" s="23">
        <f t="shared" si="2"/>
        <v>79806.649700999915</v>
      </c>
      <c r="X20" s="23">
        <f t="shared" si="2"/>
        <v>73967.138747268211</v>
      </c>
      <c r="Y20" s="23">
        <f t="shared" si="2"/>
        <v>68127.627793536521</v>
      </c>
      <c r="Z20" s="23">
        <f t="shared" si="2"/>
        <v>62288.116839804832</v>
      </c>
      <c r="AA20" s="23">
        <f t="shared" si="2"/>
        <v>56448.605886073143</v>
      </c>
      <c r="AB20" s="23">
        <f t="shared" si="2"/>
        <v>50609.094932341453</v>
      </c>
      <c r="AC20" s="23">
        <f t="shared" si="2"/>
        <v>44769.583978609764</v>
      </c>
      <c r="AD20" s="23">
        <f t="shared" si="2"/>
        <v>38930.073024878075</v>
      </c>
      <c r="AE20" s="23">
        <f t="shared" si="2"/>
        <v>33090.562071146385</v>
      </c>
      <c r="AF20" s="23">
        <f t="shared" si="2"/>
        <v>27251.051117414696</v>
      </c>
      <c r="AG20" s="23">
        <f t="shared" si="2"/>
        <v>21411.540163683007</v>
      </c>
      <c r="AH20" s="23">
        <f t="shared" si="2"/>
        <v>19465.03651243911</v>
      </c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307"/>
      <c r="BA20" s="307"/>
      <c r="BB20" s="307"/>
      <c r="BC20" s="307"/>
      <c r="BD20" s="307"/>
      <c r="BE20" s="307"/>
      <c r="BF20" s="307"/>
      <c r="BG20" s="307"/>
      <c r="BH20" s="307"/>
    </row>
    <row r="21" spans="1:60">
      <c r="A21" s="23"/>
      <c r="B21" s="13"/>
      <c r="C21" s="32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  <c r="AW21" s="307"/>
      <c r="AX21" s="307"/>
      <c r="AY21" s="307"/>
      <c r="AZ21" s="307"/>
      <c r="BA21" s="307"/>
      <c r="BB21" s="307"/>
      <c r="BC21" s="307"/>
      <c r="BD21" s="307"/>
      <c r="BE21" s="307"/>
      <c r="BF21" s="307"/>
      <c r="BG21" s="307"/>
      <c r="BH21" s="307"/>
    </row>
    <row r="22" spans="1:60">
      <c r="A22" s="23" t="s">
        <v>143</v>
      </c>
      <c r="B22" s="13"/>
      <c r="C22" s="318">
        <f>Assumptions!$C$49</f>
        <v>5687.1279999999997</v>
      </c>
      <c r="D22" s="18">
        <f>Assumptions!$C$49</f>
        <v>5687.1279999999997</v>
      </c>
      <c r="E22" s="18">
        <f>Assumptions!$C$49</f>
        <v>5687.1279999999997</v>
      </c>
      <c r="F22" s="18">
        <f>Assumptions!$C$49</f>
        <v>5687.1279999999997</v>
      </c>
      <c r="G22" s="18">
        <f>Assumptions!$C$49</f>
        <v>5687.1279999999997</v>
      </c>
      <c r="H22" s="18">
        <f>Assumptions!$C$49</f>
        <v>5687.1279999999997</v>
      </c>
      <c r="I22" s="18">
        <f>Assumptions!$C$49</f>
        <v>5687.1279999999997</v>
      </c>
      <c r="J22" s="18">
        <f>Assumptions!$C$49</f>
        <v>5687.1279999999997</v>
      </c>
      <c r="K22" s="18">
        <f>Assumptions!$C$49</f>
        <v>5687.1279999999997</v>
      </c>
      <c r="L22" s="18">
        <f>Assumptions!$C$49</f>
        <v>5687.1279999999997</v>
      </c>
      <c r="M22" s="18">
        <f>Assumptions!$C$49</f>
        <v>5687.1279999999997</v>
      </c>
      <c r="N22" s="18">
        <f>Assumptions!$C$49</f>
        <v>5687.1279999999997</v>
      </c>
      <c r="O22" s="18">
        <f>Assumptions!$C$49</f>
        <v>5687.1279999999997</v>
      </c>
      <c r="P22" s="18">
        <f>Assumptions!$C$49</f>
        <v>5687.1279999999997</v>
      </c>
      <c r="Q22" s="18">
        <f>Assumptions!$C$49</f>
        <v>5687.1279999999997</v>
      </c>
      <c r="R22" s="18">
        <f>Assumptions!$C$49</f>
        <v>5687.1279999999997</v>
      </c>
      <c r="S22" s="18">
        <f>Assumptions!$C$49</f>
        <v>5687.1279999999997</v>
      </c>
      <c r="T22" s="18">
        <f>Assumptions!$C$49</f>
        <v>5687.1279999999997</v>
      </c>
      <c r="U22" s="18">
        <f>Assumptions!$C$49</f>
        <v>5687.1279999999997</v>
      </c>
      <c r="V22" s="18">
        <f>Assumptions!$C$49</f>
        <v>5687.1279999999997</v>
      </c>
      <c r="W22" s="18">
        <f>Assumptions!$C$49</f>
        <v>5687.1279999999997</v>
      </c>
      <c r="X22" s="18">
        <f>Assumptions!$C$49</f>
        <v>5687.1279999999997</v>
      </c>
      <c r="Y22" s="18">
        <f>Assumptions!$C$49</f>
        <v>5687.1279999999997</v>
      </c>
      <c r="Z22" s="18">
        <f>Assumptions!$C$49</f>
        <v>5687.1279999999997</v>
      </c>
      <c r="AA22" s="18">
        <f>Assumptions!$C$49</f>
        <v>5687.1279999999997</v>
      </c>
      <c r="AB22" s="18">
        <f>Assumptions!$C$49</f>
        <v>5687.1279999999997</v>
      </c>
      <c r="AC22" s="18">
        <f>Assumptions!$C$49</f>
        <v>5687.1279999999997</v>
      </c>
      <c r="AD22" s="18">
        <f>Assumptions!$C$49</f>
        <v>5687.1279999999997</v>
      </c>
      <c r="AE22" s="18">
        <f>Assumptions!$C$49</f>
        <v>5687.1279999999997</v>
      </c>
      <c r="AF22" s="18">
        <f>Assumptions!$C$49</f>
        <v>5687.1279999999997</v>
      </c>
      <c r="AG22" s="18">
        <f>Assumptions!$C$49</f>
        <v>5687.1279999999997</v>
      </c>
      <c r="AH22" s="18">
        <f>Assumptions!$C$49</f>
        <v>5687.1279999999997</v>
      </c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7"/>
      <c r="BE22" s="307"/>
      <c r="BF22" s="307"/>
      <c r="BG22" s="307"/>
      <c r="BH22" s="307"/>
    </row>
    <row r="23" spans="1:60">
      <c r="A23" s="23" t="s">
        <v>144</v>
      </c>
      <c r="B23" s="13"/>
      <c r="C23" s="322">
        <v>0</v>
      </c>
      <c r="D23" s="309">
        <v>0</v>
      </c>
      <c r="E23" s="309">
        <v>0</v>
      </c>
      <c r="F23" s="309">
        <v>0</v>
      </c>
      <c r="G23" s="309">
        <v>0</v>
      </c>
      <c r="H23" s="309">
        <v>0</v>
      </c>
      <c r="I23" s="309">
        <v>0</v>
      </c>
      <c r="J23" s="309">
        <v>0</v>
      </c>
      <c r="K23" s="309">
        <v>0</v>
      </c>
      <c r="L23" s="309">
        <v>0</v>
      </c>
      <c r="M23" s="309">
        <v>0</v>
      </c>
      <c r="N23" s="309">
        <v>0</v>
      </c>
      <c r="O23" s="309">
        <v>0</v>
      </c>
      <c r="P23" s="309">
        <v>0</v>
      </c>
      <c r="Q23" s="309">
        <v>0</v>
      </c>
      <c r="R23" s="309">
        <v>0</v>
      </c>
      <c r="S23" s="309">
        <v>0</v>
      </c>
      <c r="T23" s="309">
        <v>0</v>
      </c>
      <c r="U23" s="309">
        <v>0</v>
      </c>
      <c r="V23" s="309">
        <v>0</v>
      </c>
      <c r="W23" s="309">
        <v>0</v>
      </c>
      <c r="X23" s="309">
        <v>0</v>
      </c>
      <c r="Y23" s="309">
        <v>0</v>
      </c>
      <c r="Z23" s="309">
        <v>0</v>
      </c>
      <c r="AA23" s="309">
        <v>0</v>
      </c>
      <c r="AB23" s="309">
        <v>0</v>
      </c>
      <c r="AC23" s="309">
        <v>0</v>
      </c>
      <c r="AD23" s="309">
        <v>0</v>
      </c>
      <c r="AE23" s="309">
        <v>0</v>
      </c>
      <c r="AF23" s="309">
        <v>0</v>
      </c>
      <c r="AG23" s="309">
        <v>0</v>
      </c>
      <c r="AH23" s="309">
        <v>0</v>
      </c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307"/>
      <c r="AX23" s="307"/>
      <c r="AY23" s="307"/>
      <c r="AZ23" s="307"/>
      <c r="BA23" s="307"/>
      <c r="BB23" s="307"/>
      <c r="BC23" s="307"/>
      <c r="BD23" s="307"/>
      <c r="BE23" s="307"/>
      <c r="BF23" s="307"/>
      <c r="BG23" s="307"/>
      <c r="BH23" s="307"/>
    </row>
    <row r="24" spans="1:60">
      <c r="A24" s="13"/>
      <c r="B24" s="13"/>
      <c r="C24" s="321"/>
      <c r="D24" s="23"/>
      <c r="E24" s="23"/>
      <c r="F24" s="310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150"/>
      <c r="AA24" s="150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307"/>
      <c r="AY24" s="307"/>
      <c r="AZ24" s="307"/>
      <c r="BA24" s="307"/>
      <c r="BB24" s="307"/>
      <c r="BC24" s="307"/>
      <c r="BD24" s="307"/>
      <c r="BE24" s="307"/>
      <c r="BF24" s="307"/>
      <c r="BG24" s="307"/>
      <c r="BH24" s="307"/>
    </row>
    <row r="25" spans="1:60">
      <c r="A25" s="133" t="s">
        <v>145</v>
      </c>
      <c r="B25" s="13"/>
      <c r="C25" s="321">
        <f>SUM(C16,C20,C22,C23)</f>
        <v>217194.27707439009</v>
      </c>
      <c r="D25" s="23">
        <f>SUM(D16,D20,D22,D23)</f>
        <v>206124.85431190225</v>
      </c>
      <c r="E25" s="23">
        <f t="shared" ref="E25:AH25" si="3">SUM(E16,E20,E22,E23)</f>
        <v>198051.41216817056</v>
      </c>
      <c r="F25" s="23">
        <f t="shared" si="3"/>
        <v>189977.97002443887</v>
      </c>
      <c r="G25" s="23">
        <f t="shared" si="3"/>
        <v>181904.52788070714</v>
      </c>
      <c r="H25" s="23">
        <f t="shared" si="3"/>
        <v>173831.08573697545</v>
      </c>
      <c r="I25" s="23">
        <f t="shared" si="3"/>
        <v>167246.93105324375</v>
      </c>
      <c r="J25" s="23">
        <f t="shared" si="3"/>
        <v>161407.42009951206</v>
      </c>
      <c r="K25" s="23">
        <f t="shared" si="3"/>
        <v>155567.90914578034</v>
      </c>
      <c r="L25" s="23">
        <f t="shared" si="3"/>
        <v>149728.39819204865</v>
      </c>
      <c r="M25" s="23">
        <f t="shared" si="3"/>
        <v>143888.88723831697</v>
      </c>
      <c r="N25" s="23">
        <f t="shared" si="3"/>
        <v>138049.37628458525</v>
      </c>
      <c r="O25" s="23">
        <f t="shared" si="3"/>
        <v>132209.86533085356</v>
      </c>
      <c r="P25" s="23">
        <f t="shared" si="3"/>
        <v>126370.35437712184</v>
      </c>
      <c r="Q25" s="23">
        <f t="shared" si="3"/>
        <v>120530.84342339014</v>
      </c>
      <c r="R25" s="23">
        <f t="shared" si="3"/>
        <v>114691.33246965843</v>
      </c>
      <c r="S25" s="23">
        <f t="shared" si="3"/>
        <v>108851.82151592673</v>
      </c>
      <c r="T25" s="23">
        <f t="shared" si="3"/>
        <v>103012.31056219502</v>
      </c>
      <c r="U25" s="23">
        <f t="shared" si="3"/>
        <v>97172.79960846332</v>
      </c>
      <c r="V25" s="23">
        <f t="shared" si="3"/>
        <v>91333.288654731616</v>
      </c>
      <c r="W25" s="23">
        <f t="shared" si="3"/>
        <v>85493.777700999912</v>
      </c>
      <c r="X25" s="23">
        <f t="shared" si="3"/>
        <v>79654.266747268208</v>
      </c>
      <c r="Y25" s="23">
        <f t="shared" si="3"/>
        <v>73814.755793536518</v>
      </c>
      <c r="Z25" s="23">
        <f t="shared" si="3"/>
        <v>67975.244839804829</v>
      </c>
      <c r="AA25" s="23">
        <f t="shared" si="3"/>
        <v>62135.73388607314</v>
      </c>
      <c r="AB25" s="23">
        <f t="shared" si="3"/>
        <v>56296.22293234145</v>
      </c>
      <c r="AC25" s="23">
        <f t="shared" si="3"/>
        <v>50456.711978609761</v>
      </c>
      <c r="AD25" s="23">
        <f t="shared" si="3"/>
        <v>44617.201024878072</v>
      </c>
      <c r="AE25" s="23">
        <f t="shared" si="3"/>
        <v>38777.690071146382</v>
      </c>
      <c r="AF25" s="23">
        <f t="shared" si="3"/>
        <v>32938.179117414693</v>
      </c>
      <c r="AG25" s="23">
        <f t="shared" si="3"/>
        <v>27098.668163683007</v>
      </c>
      <c r="AH25" s="23">
        <f t="shared" si="3"/>
        <v>25152.164512439111</v>
      </c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307"/>
      <c r="AX25" s="307"/>
      <c r="AY25" s="307"/>
      <c r="AZ25" s="307"/>
      <c r="BA25" s="307"/>
      <c r="BB25" s="307"/>
      <c r="BC25" s="307"/>
      <c r="BD25" s="307"/>
      <c r="BE25" s="307"/>
      <c r="BF25" s="307"/>
      <c r="BG25" s="307"/>
      <c r="BH25" s="307"/>
    </row>
    <row r="26" spans="1:60">
      <c r="A26" s="13"/>
      <c r="B26" s="13"/>
      <c r="C26" s="321"/>
      <c r="D26" s="23"/>
      <c r="E26" s="23"/>
      <c r="F26" s="310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150"/>
      <c r="AA26" s="150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7"/>
      <c r="BA26" s="307"/>
      <c r="BB26" s="307"/>
      <c r="BC26" s="307"/>
      <c r="BD26" s="307"/>
      <c r="BE26" s="307"/>
      <c r="BF26" s="307"/>
      <c r="BG26" s="307"/>
      <c r="BH26" s="307"/>
    </row>
    <row r="27" spans="1:60">
      <c r="A27" s="13"/>
      <c r="B27" s="13"/>
      <c r="C27" s="321"/>
      <c r="D27" s="23"/>
      <c r="E27" s="23"/>
      <c r="F27" s="310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150"/>
      <c r="AA27" s="150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</row>
    <row r="28" spans="1:60">
      <c r="A28" s="133" t="s">
        <v>146</v>
      </c>
      <c r="B28" s="13"/>
      <c r="C28" s="321"/>
      <c r="D28" s="23"/>
      <c r="E28" s="23"/>
      <c r="F28" s="310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150"/>
      <c r="AA28" s="150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</row>
    <row r="29" spans="1:60">
      <c r="A29" s="133"/>
      <c r="B29" s="13"/>
      <c r="C29" s="321"/>
      <c r="D29" s="23"/>
      <c r="E29" s="23"/>
      <c r="F29" s="310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150"/>
      <c r="AA29" s="150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</row>
    <row r="30" spans="1:60">
      <c r="A30" s="23" t="s">
        <v>147</v>
      </c>
      <c r="C30" s="3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7"/>
      <c r="AJ30" s="307"/>
      <c r="AK30" s="307"/>
      <c r="AL30" s="307"/>
      <c r="AM30" s="307"/>
      <c r="AN30" s="307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</row>
    <row r="31" spans="1:60">
      <c r="A31" s="23" t="s">
        <v>148</v>
      </c>
      <c r="C31" s="3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7"/>
      <c r="AJ31" s="307"/>
      <c r="AK31" s="307"/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7"/>
      <c r="BC31" s="307"/>
      <c r="BD31" s="307"/>
      <c r="BE31" s="307"/>
      <c r="BF31" s="307"/>
      <c r="BG31" s="307"/>
      <c r="BH31" s="307"/>
    </row>
    <row r="32" spans="1:60">
      <c r="A32" s="23" t="s">
        <v>149</v>
      </c>
      <c r="C32" s="321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07"/>
      <c r="AJ32" s="307"/>
      <c r="AK32" s="307"/>
      <c r="AL32" s="307"/>
      <c r="AM32" s="307"/>
      <c r="AN32" s="307"/>
      <c r="AO32" s="307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307"/>
      <c r="BA32" s="307"/>
      <c r="BB32" s="307"/>
      <c r="BC32" s="307"/>
      <c r="BD32" s="307"/>
      <c r="BE32" s="307"/>
      <c r="BF32" s="307"/>
      <c r="BG32" s="307"/>
      <c r="BH32" s="307"/>
    </row>
    <row r="33" spans="1:60">
      <c r="A33" s="23" t="s">
        <v>150</v>
      </c>
      <c r="C33" s="318">
        <v>0</v>
      </c>
      <c r="D33" s="18">
        <f>Assumptions!$C$49</f>
        <v>5687.1279999999997</v>
      </c>
      <c r="E33" s="18">
        <f>Assumptions!$C$49</f>
        <v>5687.1279999999997</v>
      </c>
      <c r="F33" s="18">
        <f>Assumptions!$C$49</f>
        <v>5687.1279999999997</v>
      </c>
      <c r="G33" s="18">
        <f>Assumptions!$C$49</f>
        <v>5687.1279999999997</v>
      </c>
      <c r="H33" s="18">
        <f>Assumptions!$C$49</f>
        <v>5687.1279999999997</v>
      </c>
      <c r="I33" s="18">
        <f>Assumptions!$C$49</f>
        <v>5687.1279999999997</v>
      </c>
      <c r="J33" s="18">
        <f>Assumptions!$C$49</f>
        <v>5687.1279999999997</v>
      </c>
      <c r="K33" s="18">
        <f>Assumptions!$C$49</f>
        <v>5687.1279999999997</v>
      </c>
      <c r="L33" s="18">
        <f>Assumptions!$C$49</f>
        <v>5687.1279999999997</v>
      </c>
      <c r="M33" s="18">
        <f>Assumptions!$C$49</f>
        <v>5687.1279999999997</v>
      </c>
      <c r="N33" s="18">
        <f>Assumptions!$C$49</f>
        <v>5687.1279999999997</v>
      </c>
      <c r="O33" s="18">
        <f>Assumptions!$C$49</f>
        <v>5687.1279999999997</v>
      </c>
      <c r="P33" s="18">
        <f>Assumptions!$C$49</f>
        <v>5687.1279999999997</v>
      </c>
      <c r="Q33" s="18">
        <f>Assumptions!$C$49</f>
        <v>5687.1279999999997</v>
      </c>
      <c r="R33" s="18">
        <f>Assumptions!$C$49</f>
        <v>5687.1279999999997</v>
      </c>
      <c r="S33" s="18">
        <f>Assumptions!$C$49</f>
        <v>5687.1279999999997</v>
      </c>
      <c r="T33" s="18">
        <f>Assumptions!$C$49</f>
        <v>5687.1279999999997</v>
      </c>
      <c r="U33" s="18">
        <f>Assumptions!$C$49</f>
        <v>5687.1279999999997</v>
      </c>
      <c r="V33" s="18">
        <f>Assumptions!$C$49</f>
        <v>5687.1279999999997</v>
      </c>
      <c r="W33" s="18">
        <f>Assumptions!$C$49</f>
        <v>5687.1279999999997</v>
      </c>
      <c r="X33" s="18">
        <f>Assumptions!$C$49</f>
        <v>5687.1279999999997</v>
      </c>
      <c r="Y33" s="18">
        <f>Assumptions!$C$49</f>
        <v>5687.1279999999997</v>
      </c>
      <c r="Z33" s="18">
        <f>Assumptions!$C$49</f>
        <v>5687.1279999999997</v>
      </c>
      <c r="AA33" s="18">
        <f>Assumptions!$C$49</f>
        <v>5687.1279999999997</v>
      </c>
      <c r="AB33" s="18">
        <f>Assumptions!$C$49</f>
        <v>5687.1279999999997</v>
      </c>
      <c r="AC33" s="18">
        <f>Assumptions!$C$49</f>
        <v>5687.1279999999997</v>
      </c>
      <c r="AD33" s="18">
        <f>Assumptions!$C$49</f>
        <v>5687.1279999999997</v>
      </c>
      <c r="AE33" s="18">
        <f>Assumptions!$C$49</f>
        <v>5687.1279999999997</v>
      </c>
      <c r="AF33" s="18">
        <f>Assumptions!$C$49</f>
        <v>5687.1279999999997</v>
      </c>
      <c r="AG33" s="18">
        <f>Assumptions!$C$49</f>
        <v>5687.1279999999997</v>
      </c>
      <c r="AH33" s="18">
        <f>Assumptions!$C$49</f>
        <v>5687.1279999999997</v>
      </c>
      <c r="AI33" s="307"/>
      <c r="AJ33" s="307"/>
      <c r="AK33" s="307"/>
      <c r="AL33" s="307"/>
      <c r="AM33" s="307"/>
      <c r="AN33" s="307"/>
      <c r="AO33" s="307"/>
      <c r="AP33" s="307"/>
      <c r="AQ33" s="307"/>
      <c r="AR33" s="307"/>
      <c r="AS33" s="307"/>
      <c r="AT33" s="307"/>
      <c r="AU33" s="307"/>
      <c r="AV33" s="307"/>
      <c r="AW33" s="307"/>
      <c r="AX33" s="307"/>
      <c r="AY33" s="307"/>
      <c r="AZ33" s="307"/>
      <c r="BA33" s="307"/>
      <c r="BB33" s="307"/>
      <c r="BC33" s="307"/>
      <c r="BD33" s="307"/>
      <c r="BE33" s="307"/>
      <c r="BF33" s="307"/>
      <c r="BG33" s="307"/>
      <c r="BH33" s="307"/>
    </row>
    <row r="34" spans="1:60">
      <c r="A34" s="23" t="s">
        <v>151</v>
      </c>
      <c r="C34" s="321">
        <f>Assumptions!C12</f>
        <v>81657.998843824083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7"/>
      <c r="AJ34" s="307"/>
      <c r="AK34" s="307"/>
      <c r="AL34" s="307"/>
      <c r="AM34" s="307"/>
      <c r="AN34" s="307"/>
      <c r="AO34" s="307"/>
      <c r="AP34" s="307"/>
      <c r="AQ34" s="307"/>
      <c r="AR34" s="307"/>
      <c r="AS34" s="307"/>
      <c r="AT34" s="307"/>
      <c r="AU34" s="307"/>
      <c r="AV34" s="307"/>
      <c r="AW34" s="307"/>
      <c r="AX34" s="307"/>
      <c r="AY34" s="307"/>
      <c r="AZ34" s="307"/>
      <c r="BA34" s="307"/>
      <c r="BB34" s="307"/>
      <c r="BC34" s="307"/>
      <c r="BD34" s="307"/>
      <c r="BE34" s="307"/>
      <c r="BF34" s="307"/>
      <c r="BG34" s="307"/>
      <c r="BH34" s="307"/>
    </row>
    <row r="35" spans="1:60">
      <c r="A35" s="23" t="s">
        <v>152</v>
      </c>
      <c r="C35" s="320">
        <v>0</v>
      </c>
      <c r="D35" s="308">
        <v>0</v>
      </c>
      <c r="E35" s="308">
        <v>0</v>
      </c>
      <c r="F35" s="311">
        <v>0</v>
      </c>
      <c r="G35" s="312">
        <v>0</v>
      </c>
      <c r="H35" s="312">
        <v>0</v>
      </c>
      <c r="I35" s="312">
        <v>0</v>
      </c>
      <c r="J35" s="312">
        <v>0</v>
      </c>
      <c r="K35" s="312">
        <v>0</v>
      </c>
      <c r="L35" s="312">
        <v>0</v>
      </c>
      <c r="M35" s="312">
        <v>0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12">
        <v>0</v>
      </c>
      <c r="U35" s="312">
        <v>0</v>
      </c>
      <c r="V35" s="312">
        <v>0</v>
      </c>
      <c r="W35" s="312">
        <v>0</v>
      </c>
      <c r="X35" s="312">
        <v>0</v>
      </c>
      <c r="Y35" s="312">
        <v>0</v>
      </c>
      <c r="Z35" s="313">
        <v>0</v>
      </c>
      <c r="AA35" s="313">
        <v>0</v>
      </c>
      <c r="AB35" s="312">
        <v>0</v>
      </c>
      <c r="AC35" s="312">
        <v>0</v>
      </c>
      <c r="AD35" s="312">
        <v>0</v>
      </c>
      <c r="AE35" s="312">
        <v>0</v>
      </c>
      <c r="AF35" s="312">
        <v>0</v>
      </c>
      <c r="AG35" s="312">
        <v>0</v>
      </c>
      <c r="AH35" s="312">
        <v>0</v>
      </c>
      <c r="AI35" s="307"/>
      <c r="AJ35" s="307"/>
      <c r="AK35" s="307"/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7"/>
      <c r="BG35" s="307"/>
      <c r="BH35" s="307"/>
    </row>
    <row r="36" spans="1:60">
      <c r="A36" s="23"/>
      <c r="C36" s="321"/>
      <c r="D36" s="23"/>
      <c r="E36" s="23"/>
      <c r="F36" s="310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150"/>
      <c r="AA36" s="150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7"/>
      <c r="AW36" s="307"/>
      <c r="AX36" s="307"/>
      <c r="AY36" s="307"/>
      <c r="AZ36" s="307"/>
      <c r="BA36" s="307"/>
      <c r="BB36" s="307"/>
      <c r="BC36" s="307"/>
      <c r="BD36" s="307"/>
      <c r="BE36" s="307"/>
      <c r="BF36" s="307"/>
      <c r="BG36" s="307"/>
      <c r="BH36" s="307"/>
    </row>
    <row r="37" spans="1:60">
      <c r="A37" s="133" t="s">
        <v>153</v>
      </c>
      <c r="B37" s="13"/>
      <c r="C37" s="321">
        <f>SUM(C30:C35)</f>
        <v>81657.998843824083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7"/>
      <c r="AJ37" s="307"/>
      <c r="AK37" s="307"/>
      <c r="AL37" s="307"/>
      <c r="AM37" s="307"/>
      <c r="AN37" s="307"/>
      <c r="AO37" s="307"/>
      <c r="AP37" s="307"/>
      <c r="AQ37" s="307"/>
      <c r="AR37" s="307"/>
      <c r="AS37" s="307"/>
      <c r="AT37" s="307"/>
      <c r="AU37" s="307"/>
      <c r="AV37" s="307"/>
      <c r="AW37" s="307"/>
      <c r="AX37" s="307"/>
      <c r="AY37" s="307"/>
      <c r="AZ37" s="307"/>
      <c r="BA37" s="307"/>
      <c r="BB37" s="307"/>
      <c r="BC37" s="307"/>
      <c r="BD37" s="307"/>
      <c r="BE37" s="307"/>
      <c r="BF37" s="307"/>
      <c r="BG37" s="307"/>
      <c r="BH37" s="307"/>
    </row>
    <row r="38" spans="1:60">
      <c r="A38" s="23"/>
      <c r="B38" s="13"/>
      <c r="C38" s="321"/>
      <c r="D38" s="23"/>
      <c r="E38" s="23"/>
      <c r="F38" s="310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150"/>
      <c r="AA38" s="150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  <c r="AL38" s="307"/>
      <c r="AM38" s="307"/>
      <c r="AN38" s="307"/>
      <c r="AO38" s="307"/>
      <c r="AP38" s="307"/>
      <c r="AQ38" s="307"/>
      <c r="AR38" s="307"/>
      <c r="AS38" s="307"/>
      <c r="AT38" s="307"/>
      <c r="AU38" s="307"/>
      <c r="AV38" s="307"/>
      <c r="AW38" s="307"/>
      <c r="AX38" s="307"/>
      <c r="AY38" s="307"/>
      <c r="AZ38" s="307"/>
      <c r="BA38" s="307"/>
      <c r="BB38" s="307"/>
      <c r="BC38" s="307"/>
      <c r="BD38" s="307"/>
      <c r="BE38" s="307"/>
      <c r="BF38" s="307"/>
      <c r="BG38" s="307"/>
      <c r="BH38" s="307"/>
    </row>
    <row r="39" spans="1:60">
      <c r="A39" s="133" t="s">
        <v>154</v>
      </c>
      <c r="B39" s="13"/>
      <c r="C39" s="321"/>
      <c r="D39" s="23"/>
      <c r="E39" s="23"/>
      <c r="F39" s="310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150"/>
      <c r="AA39" s="150"/>
      <c r="AB39" s="307"/>
      <c r="AC39" s="307"/>
      <c r="AD39" s="307"/>
      <c r="AE39" s="307"/>
      <c r="AF39" s="307"/>
      <c r="AG39" s="307"/>
      <c r="AH39" s="307"/>
      <c r="AI39" s="307"/>
      <c r="AJ39" s="307"/>
      <c r="AK39" s="307"/>
      <c r="AL39" s="307"/>
      <c r="AM39" s="307"/>
      <c r="AN39" s="307"/>
      <c r="AO39" s="307"/>
      <c r="AP39" s="307"/>
      <c r="AQ39" s="307"/>
      <c r="AR39" s="307"/>
      <c r="AS39" s="307"/>
      <c r="AT39" s="307"/>
      <c r="AU39" s="307"/>
      <c r="AV39" s="307"/>
      <c r="AW39" s="307"/>
      <c r="AX39" s="307"/>
      <c r="AY39" s="307"/>
      <c r="AZ39" s="307"/>
      <c r="BA39" s="307"/>
      <c r="BB39" s="307"/>
      <c r="BC39" s="307"/>
      <c r="BD39" s="307"/>
      <c r="BE39" s="307"/>
      <c r="BF39" s="307"/>
      <c r="BG39" s="307"/>
      <c r="BH39" s="307"/>
    </row>
    <row r="40" spans="1:60">
      <c r="A40" s="133"/>
      <c r="B40" s="13"/>
      <c r="C40" s="321"/>
      <c r="D40" s="23"/>
      <c r="E40" s="23"/>
      <c r="F40" s="310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150"/>
      <c r="AA40" s="150"/>
      <c r="AB40" s="307"/>
      <c r="AC40" s="307"/>
      <c r="AD40" s="307"/>
      <c r="AE40" s="307"/>
      <c r="AF40" s="307"/>
      <c r="AG40" s="307"/>
      <c r="AH40" s="307"/>
      <c r="AI40" s="307"/>
      <c r="AJ40" s="307"/>
      <c r="AK40" s="307"/>
      <c r="AL40" s="307"/>
      <c r="AM40" s="307"/>
      <c r="AN40" s="307"/>
      <c r="AO40" s="307"/>
      <c r="AP40" s="307"/>
      <c r="AQ40" s="307"/>
      <c r="AR40" s="307"/>
      <c r="AS40" s="307"/>
      <c r="AT40" s="307"/>
      <c r="AU40" s="307"/>
      <c r="AV40" s="307"/>
      <c r="AW40" s="307"/>
      <c r="AX40" s="307"/>
      <c r="AY40" s="307"/>
      <c r="AZ40" s="307"/>
      <c r="BA40" s="307"/>
      <c r="BB40" s="307"/>
      <c r="BC40" s="307"/>
      <c r="BD40" s="307"/>
      <c r="BE40" s="307"/>
      <c r="BF40" s="307"/>
      <c r="BG40" s="307"/>
      <c r="BH40" s="307"/>
    </row>
    <row r="41" spans="1:60">
      <c r="A41" s="23" t="s">
        <v>155</v>
      </c>
      <c r="C41" s="321">
        <f>Assumptions!$C$11</f>
        <v>129849.15023056601</v>
      </c>
      <c r="D41" s="23">
        <f>Assumptions!$C$11</f>
        <v>129849.15023056601</v>
      </c>
      <c r="E41" s="23">
        <f>Assumptions!$C$11</f>
        <v>129849.15023056601</v>
      </c>
      <c r="F41" s="23">
        <f>Assumptions!$C$11</f>
        <v>129849.15023056601</v>
      </c>
      <c r="G41" s="23">
        <f>Assumptions!$C$11</f>
        <v>129849.15023056601</v>
      </c>
      <c r="H41" s="23">
        <f>Assumptions!$C$11</f>
        <v>129849.15023056601</v>
      </c>
      <c r="I41" s="23">
        <f>Assumptions!$C$11</f>
        <v>129849.15023056601</v>
      </c>
      <c r="J41" s="23">
        <f>Assumptions!$C$11</f>
        <v>129849.15023056601</v>
      </c>
      <c r="K41" s="23">
        <f>Assumptions!$C$11</f>
        <v>129849.15023056601</v>
      </c>
      <c r="L41" s="23">
        <f>Assumptions!$C$11</f>
        <v>129849.15023056601</v>
      </c>
      <c r="M41" s="23">
        <f>Assumptions!$C$11</f>
        <v>129849.15023056601</v>
      </c>
      <c r="N41" s="23">
        <f>Assumptions!$C$11</f>
        <v>129849.15023056601</v>
      </c>
      <c r="O41" s="23">
        <f>Assumptions!$C$11</f>
        <v>129849.15023056601</v>
      </c>
      <c r="P41" s="23">
        <f>Assumptions!$C$11</f>
        <v>129849.15023056601</v>
      </c>
      <c r="Q41" s="23">
        <f>Assumptions!$C$11</f>
        <v>129849.15023056601</v>
      </c>
      <c r="R41" s="23">
        <f>Assumptions!$C$11</f>
        <v>129849.15023056601</v>
      </c>
      <c r="S41" s="23">
        <f>Assumptions!$C$11</f>
        <v>129849.15023056601</v>
      </c>
      <c r="T41" s="23">
        <f>Assumptions!$C$11</f>
        <v>129849.15023056601</v>
      </c>
      <c r="U41" s="23">
        <f>Assumptions!$C$11</f>
        <v>129849.15023056601</v>
      </c>
      <c r="V41" s="23">
        <f>Assumptions!$C$11</f>
        <v>129849.15023056601</v>
      </c>
      <c r="W41" s="23">
        <f>Assumptions!$C$11</f>
        <v>129849.15023056601</v>
      </c>
      <c r="X41" s="23">
        <f>Assumptions!$C$11</f>
        <v>129849.15023056601</v>
      </c>
      <c r="Y41" s="23">
        <f>Assumptions!$C$11</f>
        <v>129849.15023056601</v>
      </c>
      <c r="Z41" s="23">
        <f>Assumptions!$C$11</f>
        <v>129849.15023056601</v>
      </c>
      <c r="AA41" s="23">
        <f>Assumptions!$C$11</f>
        <v>129849.15023056601</v>
      </c>
      <c r="AB41" s="23">
        <f>Assumptions!$C$11</f>
        <v>129849.15023056601</v>
      </c>
      <c r="AC41" s="23">
        <f>Assumptions!$C$11</f>
        <v>129849.15023056601</v>
      </c>
      <c r="AD41" s="23">
        <f>Assumptions!$C$11</f>
        <v>129849.15023056601</v>
      </c>
      <c r="AE41" s="23">
        <f>Assumptions!$C$11</f>
        <v>129849.15023056601</v>
      </c>
      <c r="AF41" s="23">
        <f>Assumptions!$C$11</f>
        <v>129849.15023056601</v>
      </c>
      <c r="AG41" s="23">
        <f>Assumptions!$C$11</f>
        <v>129849.15023056601</v>
      </c>
      <c r="AH41" s="23">
        <f>Assumptions!$C$11</f>
        <v>129849.15023056601</v>
      </c>
      <c r="AI41" s="307"/>
      <c r="AJ41" s="307"/>
      <c r="AK41" s="307"/>
      <c r="AL41" s="307"/>
      <c r="AM41" s="307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307"/>
      <c r="BA41" s="307"/>
      <c r="BB41" s="307"/>
      <c r="BC41" s="307"/>
      <c r="BD41" s="307"/>
      <c r="BE41" s="307"/>
      <c r="BF41" s="307"/>
      <c r="BG41" s="307"/>
      <c r="BH41" s="307"/>
    </row>
    <row r="42" spans="1:60">
      <c r="A42" s="23" t="s">
        <v>156</v>
      </c>
      <c r="C42" s="320" t="e">
        <f>IS!B45-'Returns Analysis'!#REF!</f>
        <v>#REF!</v>
      </c>
      <c r="D42" s="308" t="e">
        <f>IS!C45-'Returns Analysis'!#REF!</f>
        <v>#REF!</v>
      </c>
      <c r="E42" s="308" t="e">
        <f>IS!D45-'Returns Analysis'!#REF!</f>
        <v>#REF!</v>
      </c>
      <c r="F42" s="308" t="e">
        <f>IS!E45-'Returns Analysis'!#REF!</f>
        <v>#REF!</v>
      </c>
      <c r="G42" s="308" t="e">
        <f>IS!F45-'Returns Analysis'!#REF!</f>
        <v>#REF!</v>
      </c>
      <c r="H42" s="308" t="e">
        <f>IS!G45-'Returns Analysis'!#REF!</f>
        <v>#REF!</v>
      </c>
      <c r="I42" s="308" t="e">
        <f>IS!H45-'Returns Analysis'!#REF!</f>
        <v>#REF!</v>
      </c>
      <c r="J42" s="308" t="e">
        <f>IS!I45-'Returns Analysis'!#REF!</f>
        <v>#REF!</v>
      </c>
      <c r="K42" s="308" t="e">
        <f>IS!J45-'Returns Analysis'!#REF!</f>
        <v>#REF!</v>
      </c>
      <c r="L42" s="308" t="e">
        <f>IS!K45-'Returns Analysis'!#REF!</f>
        <v>#REF!</v>
      </c>
      <c r="M42" s="308" t="e">
        <f>IS!L45-'Returns Analysis'!#REF!</f>
        <v>#REF!</v>
      </c>
      <c r="N42" s="308" t="e">
        <f>IS!M45-'Returns Analysis'!#REF!</f>
        <v>#REF!</v>
      </c>
      <c r="O42" s="308" t="e">
        <f>IS!N45-'Returns Analysis'!#REF!</f>
        <v>#REF!</v>
      </c>
      <c r="P42" s="308" t="e">
        <f>IS!O45-'Returns Analysis'!#REF!</f>
        <v>#REF!</v>
      </c>
      <c r="Q42" s="308" t="e">
        <f>IS!P45-'Returns Analysis'!#REF!</f>
        <v>#REF!</v>
      </c>
      <c r="R42" s="308" t="e">
        <f>IS!Q45-'Returns Analysis'!#REF!</f>
        <v>#REF!</v>
      </c>
      <c r="S42" s="308" t="e">
        <f>IS!R45-'Returns Analysis'!#REF!</f>
        <v>#REF!</v>
      </c>
      <c r="T42" s="308" t="e">
        <f>IS!S45-'Returns Analysis'!#REF!</f>
        <v>#REF!</v>
      </c>
      <c r="U42" s="308" t="e">
        <f>IS!T45-'Returns Analysis'!#REF!</f>
        <v>#REF!</v>
      </c>
      <c r="V42" s="308" t="e">
        <f>IS!U45-'Returns Analysis'!#REF!</f>
        <v>#REF!</v>
      </c>
      <c r="W42" s="308" t="e">
        <f>IS!V45-'Returns Analysis'!#REF!</f>
        <v>#REF!</v>
      </c>
      <c r="X42" s="308" t="e">
        <f>IS!W45-'Returns Analysis'!#REF!</f>
        <v>#REF!</v>
      </c>
      <c r="Y42" s="308" t="e">
        <f>IS!X45-'Returns Analysis'!#REF!</f>
        <v>#REF!</v>
      </c>
      <c r="Z42" s="308" t="e">
        <f>IS!Y45-'Returns Analysis'!#REF!</f>
        <v>#REF!</v>
      </c>
      <c r="AA42" s="308" t="e">
        <f>IS!Z45-'Returns Analysis'!#REF!</f>
        <v>#REF!</v>
      </c>
      <c r="AB42" s="308" t="e">
        <f>IS!AA45-'Returns Analysis'!#REF!</f>
        <v>#REF!</v>
      </c>
      <c r="AC42" s="308" t="e">
        <f>IS!AB45-'Returns Analysis'!#REF!</f>
        <v>#REF!</v>
      </c>
      <c r="AD42" s="308" t="e">
        <f>IS!AC45-'Returns Analysis'!#REF!</f>
        <v>#REF!</v>
      </c>
      <c r="AE42" s="308" t="e">
        <f>IS!AD45-'Returns Analysis'!#REF!</f>
        <v>#REF!</v>
      </c>
      <c r="AF42" s="308" t="e">
        <f>IS!AE45-'Returns Analysis'!#REF!</f>
        <v>#REF!</v>
      </c>
      <c r="AG42" s="308" t="e">
        <f>IS!AF45-'Returns Analysis'!#REF!</f>
        <v>#REF!</v>
      </c>
      <c r="AH42" s="308" t="e">
        <f>IS!AG45-'Returns Analysis'!#REF!</f>
        <v>#REF!</v>
      </c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  <c r="AT42" s="307"/>
      <c r="AU42" s="307"/>
      <c r="AV42" s="307"/>
      <c r="AW42" s="307"/>
      <c r="AX42" s="307"/>
      <c r="AY42" s="307"/>
      <c r="AZ42" s="307"/>
      <c r="BA42" s="307"/>
      <c r="BB42" s="307"/>
      <c r="BC42" s="307"/>
      <c r="BD42" s="307"/>
      <c r="BE42" s="307"/>
      <c r="BF42" s="307"/>
      <c r="BG42" s="307"/>
      <c r="BH42" s="307"/>
    </row>
    <row r="43" spans="1:60">
      <c r="A43" s="23" t="s">
        <v>157</v>
      </c>
      <c r="C43" s="321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7"/>
      <c r="AJ43" s="307"/>
      <c r="AK43" s="307"/>
      <c r="AL43" s="307"/>
      <c r="AM43" s="307"/>
      <c r="AN43" s="307"/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7"/>
      <c r="BA43" s="307"/>
      <c r="BB43" s="307"/>
      <c r="BC43" s="307"/>
      <c r="BD43" s="307"/>
      <c r="BE43" s="307"/>
      <c r="BF43" s="307"/>
      <c r="BG43" s="307"/>
      <c r="BH43" s="307"/>
    </row>
    <row r="44" spans="1:60">
      <c r="A44" s="13"/>
      <c r="B44" s="13"/>
      <c r="C44" s="321"/>
      <c r="D44" s="23"/>
      <c r="E44" s="23"/>
      <c r="F44" s="310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150"/>
      <c r="AA44" s="150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  <c r="AT44" s="307"/>
      <c r="AU44" s="307"/>
      <c r="AV44" s="307"/>
      <c r="AW44" s="307"/>
      <c r="AX44" s="307"/>
      <c r="AY44" s="307"/>
      <c r="AZ44" s="307"/>
      <c r="BA44" s="307"/>
      <c r="BB44" s="307"/>
      <c r="BC44" s="307"/>
      <c r="BD44" s="307"/>
      <c r="BE44" s="307"/>
      <c r="BF44" s="307"/>
      <c r="BG44" s="307"/>
      <c r="BH44" s="307"/>
    </row>
    <row r="45" spans="1:60">
      <c r="A45" s="133" t="s">
        <v>158</v>
      </c>
      <c r="B45" s="13"/>
      <c r="C45" s="321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7"/>
      <c r="AJ45" s="307"/>
      <c r="AK45" s="307"/>
      <c r="AL45" s="307"/>
      <c r="AM45" s="307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307"/>
      <c r="BA45" s="307"/>
      <c r="BB45" s="307"/>
      <c r="BC45" s="307"/>
      <c r="BD45" s="307"/>
      <c r="BE45" s="307"/>
      <c r="BF45" s="307"/>
      <c r="BG45" s="307"/>
      <c r="BH45" s="307"/>
    </row>
    <row r="46" spans="1:60">
      <c r="A46" s="23"/>
      <c r="B46" s="13"/>
      <c r="C46" s="321"/>
      <c r="D46" s="23"/>
      <c r="E46" s="23"/>
      <c r="F46" s="310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150"/>
      <c r="AA46" s="150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7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307"/>
      <c r="BA46" s="307"/>
      <c r="BB46" s="307"/>
      <c r="BC46" s="307"/>
      <c r="BD46" s="307"/>
      <c r="BE46" s="307"/>
      <c r="BF46" s="307"/>
      <c r="BG46" s="307"/>
      <c r="BH46" s="307"/>
    </row>
    <row r="47" spans="1:60">
      <c r="A47" s="133" t="s">
        <v>159</v>
      </c>
      <c r="B47" s="13"/>
      <c r="C47" s="321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7"/>
      <c r="AJ47" s="307"/>
      <c r="AK47" s="307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307"/>
      <c r="BA47" s="307"/>
      <c r="BB47" s="307"/>
      <c r="BC47" s="307"/>
      <c r="BD47" s="307"/>
      <c r="BE47" s="307"/>
      <c r="BF47" s="307"/>
      <c r="BG47" s="307"/>
      <c r="BH47" s="307"/>
    </row>
    <row r="48" spans="1:60">
      <c r="A48" s="13"/>
      <c r="B48" s="13"/>
      <c r="C48" s="23"/>
      <c r="D48" s="23"/>
      <c r="E48" s="23"/>
      <c r="F48" s="310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150"/>
      <c r="AA48" s="150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7"/>
      <c r="AQ48" s="307"/>
      <c r="AR48" s="307"/>
      <c r="AS48" s="307"/>
      <c r="AT48" s="307"/>
      <c r="AU48" s="307"/>
      <c r="AV48" s="307"/>
      <c r="AW48" s="307"/>
      <c r="AX48" s="307"/>
      <c r="AY48" s="307"/>
      <c r="AZ48" s="307"/>
      <c r="BA48" s="307"/>
      <c r="BB48" s="307"/>
      <c r="BC48" s="307"/>
      <c r="BD48" s="307"/>
      <c r="BE48" s="307"/>
      <c r="BF48" s="307"/>
      <c r="BG48" s="307"/>
      <c r="BH48" s="307"/>
    </row>
    <row r="49" spans="1:60">
      <c r="A49" s="13"/>
      <c r="B49" s="13"/>
      <c r="C49" s="23"/>
      <c r="D49" s="23"/>
      <c r="E49" s="23"/>
      <c r="F49" s="310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150"/>
      <c r="AA49" s="150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7"/>
      <c r="AN49" s="307"/>
      <c r="AO49" s="307"/>
      <c r="AP49" s="307"/>
      <c r="AQ49" s="307"/>
      <c r="AR49" s="307"/>
      <c r="AS49" s="307"/>
      <c r="AT49" s="307"/>
      <c r="AU49" s="307"/>
      <c r="AV49" s="307"/>
      <c r="AW49" s="307"/>
      <c r="AX49" s="307"/>
      <c r="AY49" s="307"/>
      <c r="AZ49" s="307"/>
      <c r="BA49" s="307"/>
      <c r="BB49" s="307"/>
      <c r="BC49" s="307"/>
      <c r="BD49" s="307"/>
      <c r="BE49" s="307"/>
      <c r="BF49" s="307"/>
      <c r="BG49" s="307"/>
      <c r="BH49" s="307"/>
    </row>
    <row r="50" spans="1:60">
      <c r="A50" s="13"/>
      <c r="B50" s="13"/>
      <c r="C50" s="23"/>
      <c r="D50" s="23"/>
      <c r="E50" s="23"/>
      <c r="F50" s="310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150"/>
      <c r="AA50" s="150"/>
      <c r="AB50" s="307"/>
      <c r="AC50" s="307"/>
      <c r="AD50" s="307"/>
      <c r="AE50" s="307"/>
      <c r="AF50" s="307"/>
      <c r="AG50" s="307"/>
      <c r="AH50" s="307"/>
      <c r="AI50" s="307"/>
      <c r="AJ50" s="307"/>
      <c r="AK50" s="307"/>
      <c r="AL50" s="307"/>
      <c r="AM50" s="307"/>
      <c r="AN50" s="307"/>
      <c r="AO50" s="307"/>
      <c r="AP50" s="307"/>
      <c r="AQ50" s="307"/>
      <c r="AR50" s="307"/>
      <c r="AS50" s="307"/>
      <c r="AT50" s="307"/>
      <c r="AU50" s="307"/>
      <c r="AV50" s="307"/>
      <c r="AW50" s="307"/>
      <c r="AX50" s="307"/>
      <c r="AY50" s="307"/>
      <c r="AZ50" s="307"/>
      <c r="BA50" s="307"/>
      <c r="BB50" s="307"/>
      <c r="BC50" s="307"/>
      <c r="BD50" s="307"/>
      <c r="BE50" s="307"/>
      <c r="BF50" s="307"/>
      <c r="BG50" s="307"/>
      <c r="BH50" s="307"/>
    </row>
    <row r="51" spans="1:60">
      <c r="A51" s="13"/>
      <c r="B51" s="13"/>
      <c r="C51" s="23"/>
      <c r="D51" s="23"/>
      <c r="E51" s="23"/>
      <c r="F51" s="310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150"/>
      <c r="AA51" s="150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307"/>
      <c r="BA51" s="307"/>
      <c r="BB51" s="307"/>
      <c r="BC51" s="307"/>
      <c r="BD51" s="307"/>
      <c r="BE51" s="307"/>
      <c r="BF51" s="307"/>
      <c r="BG51" s="307"/>
      <c r="BH51" s="307"/>
    </row>
    <row r="52" spans="1:60">
      <c r="A52" s="13"/>
      <c r="B52" s="13"/>
      <c r="C52" s="23"/>
      <c r="D52" s="23"/>
      <c r="E52" s="23"/>
      <c r="F52" s="310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150"/>
      <c r="AA52" s="150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  <c r="AX52" s="307"/>
      <c r="AY52" s="307"/>
      <c r="AZ52" s="307"/>
      <c r="BA52" s="307"/>
      <c r="BB52" s="307"/>
      <c r="BC52" s="307"/>
      <c r="BD52" s="307"/>
      <c r="BE52" s="307"/>
      <c r="BF52" s="307"/>
      <c r="BG52" s="307"/>
      <c r="BH52" s="307"/>
    </row>
    <row r="53" spans="1:60">
      <c r="A53" s="13"/>
      <c r="B53" s="13"/>
      <c r="C53" s="23"/>
      <c r="D53" s="23"/>
      <c r="E53" s="23"/>
      <c r="F53" s="310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150"/>
      <c r="AA53" s="150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307"/>
      <c r="BA53" s="307"/>
      <c r="BB53" s="307"/>
      <c r="BC53" s="307"/>
      <c r="BD53" s="307"/>
      <c r="BE53" s="307"/>
      <c r="BF53" s="307"/>
      <c r="BG53" s="307"/>
      <c r="BH53" s="307"/>
    </row>
    <row r="54" spans="1:60">
      <c r="A54" s="13"/>
      <c r="B54" s="13"/>
      <c r="C54" s="23"/>
      <c r="D54" s="23"/>
      <c r="E54" s="23"/>
      <c r="F54" s="310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150"/>
      <c r="AA54" s="150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</row>
    <row r="55" spans="1:60">
      <c r="A55" s="13"/>
      <c r="B55" s="180"/>
      <c r="C55" s="310"/>
      <c r="D55" s="310"/>
      <c r="E55" s="310"/>
      <c r="F55" s="310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150"/>
      <c r="AA55" s="150"/>
      <c r="AB55" s="307"/>
      <c r="AC55" s="307"/>
      <c r="AD55" s="307"/>
      <c r="AE55" s="307"/>
      <c r="AF55" s="307"/>
      <c r="AG55" s="307"/>
      <c r="AH55" s="307"/>
      <c r="AI55" s="307"/>
      <c r="AJ55" s="307"/>
      <c r="AK55" s="307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7"/>
      <c r="BF55" s="307"/>
      <c r="BG55" s="307"/>
      <c r="BH55" s="307"/>
    </row>
    <row r="56" spans="1:60">
      <c r="A56" s="13"/>
      <c r="B56" s="180"/>
      <c r="C56" s="310"/>
      <c r="D56" s="310"/>
      <c r="E56" s="310"/>
      <c r="F56" s="310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150"/>
      <c r="AA56" s="150"/>
      <c r="AB56" s="307"/>
      <c r="AC56" s="307"/>
      <c r="AD56" s="307"/>
      <c r="AE56" s="307"/>
      <c r="AF56" s="307"/>
      <c r="AG56" s="307"/>
      <c r="AH56" s="307"/>
      <c r="AI56" s="307"/>
      <c r="AJ56" s="307"/>
      <c r="AK56" s="307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307"/>
      <c r="BA56" s="307"/>
      <c r="BB56" s="307"/>
      <c r="BC56" s="307"/>
      <c r="BD56" s="307"/>
      <c r="BE56" s="307"/>
      <c r="BF56" s="307"/>
      <c r="BG56" s="307"/>
      <c r="BH56" s="307"/>
    </row>
    <row r="57" spans="1:60">
      <c r="A57" s="13"/>
      <c r="B57" s="180"/>
      <c r="C57" s="310"/>
      <c r="D57" s="310"/>
      <c r="E57" s="310"/>
      <c r="F57" s="310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150"/>
      <c r="AA57" s="150"/>
      <c r="AB57" s="307"/>
      <c r="AC57" s="307"/>
      <c r="AD57" s="307"/>
      <c r="AE57" s="307"/>
      <c r="AF57" s="307"/>
      <c r="AG57" s="307"/>
      <c r="AH57" s="307"/>
      <c r="AI57" s="307"/>
      <c r="AJ57" s="307"/>
      <c r="AK57" s="307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307"/>
      <c r="BA57" s="307"/>
      <c r="BB57" s="307"/>
      <c r="BC57" s="307"/>
      <c r="BD57" s="307"/>
      <c r="BE57" s="307"/>
      <c r="BF57" s="307"/>
      <c r="BG57" s="307"/>
      <c r="BH57" s="307"/>
    </row>
    <row r="58" spans="1:60">
      <c r="A58" s="13"/>
      <c r="B58" s="180"/>
      <c r="C58" s="310"/>
      <c r="D58" s="310"/>
      <c r="E58" s="310"/>
      <c r="F58" s="310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150"/>
      <c r="AA58" s="150"/>
      <c r="AB58" s="307"/>
      <c r="AC58" s="307"/>
      <c r="AD58" s="307"/>
      <c r="AE58" s="307"/>
      <c r="AF58" s="307"/>
      <c r="AG58" s="307"/>
      <c r="AH58" s="307"/>
      <c r="AI58" s="307"/>
      <c r="AJ58" s="307"/>
      <c r="AK58" s="307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7"/>
      <c r="BA58" s="307"/>
      <c r="BB58" s="307"/>
      <c r="BC58" s="307"/>
      <c r="BD58" s="307"/>
      <c r="BE58" s="307"/>
      <c r="BF58" s="307"/>
      <c r="BG58" s="307"/>
      <c r="BH58" s="307"/>
    </row>
    <row r="59" spans="1:60">
      <c r="A59" s="13"/>
      <c r="B59" s="180"/>
      <c r="C59" s="310"/>
      <c r="D59" s="310"/>
      <c r="E59" s="310"/>
      <c r="F59" s="310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150"/>
      <c r="AA59" s="150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7"/>
      <c r="BF59" s="307"/>
      <c r="BG59" s="307"/>
      <c r="BH59" s="307"/>
    </row>
    <row r="60" spans="1:60">
      <c r="A60" s="13"/>
      <c r="B60" s="180"/>
      <c r="C60" s="310"/>
      <c r="D60" s="310"/>
      <c r="E60" s="310"/>
      <c r="F60" s="310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150"/>
      <c r="AA60" s="150"/>
      <c r="AB60" s="307"/>
      <c r="AC60" s="307"/>
      <c r="AD60" s="307"/>
      <c r="AE60" s="307"/>
      <c r="AF60" s="307"/>
      <c r="AG60" s="307"/>
      <c r="AH60" s="307"/>
      <c r="AI60" s="307"/>
      <c r="AJ60" s="307"/>
      <c r="AK60" s="307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</row>
    <row r="61" spans="1:60">
      <c r="A61" s="180"/>
      <c r="B61" s="180"/>
      <c r="C61" s="310"/>
      <c r="D61" s="310"/>
      <c r="E61" s="310"/>
      <c r="F61" s="310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150"/>
      <c r="AA61" s="150"/>
      <c r="AB61" s="307"/>
      <c r="AC61" s="307"/>
      <c r="AD61" s="307"/>
      <c r="AE61" s="307"/>
      <c r="AF61" s="307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</row>
    <row r="62" spans="1:60"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150"/>
      <c r="AA62" s="150"/>
      <c r="AB62" s="307"/>
      <c r="AC62" s="307"/>
      <c r="AD62" s="307"/>
      <c r="AE62" s="307"/>
      <c r="AF62" s="307"/>
      <c r="AG62" s="307"/>
      <c r="AH62" s="307"/>
      <c r="AI62" s="307"/>
      <c r="AJ62" s="307"/>
      <c r="AK62" s="307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</row>
    <row r="63" spans="1:60"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150"/>
      <c r="AA63" s="150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</row>
    <row r="64" spans="1:60"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150"/>
      <c r="AA64" s="150"/>
      <c r="AB64" s="307"/>
      <c r="AC64" s="307"/>
      <c r="AD64" s="307"/>
      <c r="AE64" s="307"/>
      <c r="AF64" s="307"/>
      <c r="AG64" s="307"/>
      <c r="AH64" s="307"/>
      <c r="AI64" s="307"/>
      <c r="AJ64" s="307"/>
      <c r="AK64" s="307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</row>
    <row r="65" spans="3:51"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150"/>
      <c r="AA65" s="150"/>
      <c r="AB65" s="307"/>
      <c r="AC65" s="307"/>
      <c r="AD65" s="307"/>
      <c r="AE65" s="307"/>
      <c r="AF65" s="307"/>
      <c r="AG65" s="307"/>
      <c r="AH65" s="307"/>
      <c r="AI65" s="307"/>
      <c r="AJ65" s="307"/>
      <c r="AK65" s="307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</row>
    <row r="66" spans="3:51"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150"/>
      <c r="AA66" s="150"/>
      <c r="AB66" s="307"/>
      <c r="AC66" s="307"/>
      <c r="AD66" s="307"/>
      <c r="AE66" s="307"/>
      <c r="AF66" s="307"/>
      <c r="AG66" s="307"/>
      <c r="AH66" s="307"/>
      <c r="AI66" s="307"/>
      <c r="AJ66" s="307"/>
      <c r="AK66" s="307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</row>
    <row r="67" spans="3:51"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150"/>
      <c r="AA67" s="150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</row>
    <row r="68" spans="3:51"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150"/>
      <c r="AA68" s="150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</row>
    <row r="69" spans="3:51"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150"/>
      <c r="AA69" s="150"/>
      <c r="AB69" s="307"/>
      <c r="AC69" s="307"/>
      <c r="AD69" s="307"/>
      <c r="AE69" s="307"/>
      <c r="AF69" s="307"/>
      <c r="AG69" s="307"/>
      <c r="AH69" s="307"/>
      <c r="AI69" s="307"/>
      <c r="AJ69" s="307"/>
      <c r="AK69" s="307"/>
      <c r="AL69" s="307"/>
      <c r="AM69" s="307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</row>
    <row r="70" spans="3:51"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150"/>
      <c r="AA70" s="150"/>
      <c r="AB70" s="307"/>
      <c r="AC70" s="307"/>
      <c r="AD70" s="307"/>
      <c r="AE70" s="307"/>
      <c r="AF70" s="307"/>
      <c r="AG70" s="307"/>
      <c r="AH70" s="307"/>
      <c r="AI70" s="307"/>
      <c r="AJ70" s="307"/>
      <c r="AK70" s="307"/>
      <c r="AL70" s="307"/>
      <c r="AM70" s="307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</row>
    <row r="71" spans="3:51"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150"/>
      <c r="AA71" s="150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</row>
    <row r="72" spans="3:51"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150"/>
      <c r="AA72" s="150"/>
      <c r="AB72" s="307"/>
      <c r="AC72" s="307"/>
      <c r="AD72" s="307"/>
      <c r="AE72" s="307"/>
      <c r="AF72" s="307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</row>
    <row r="73" spans="3:51"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150"/>
      <c r="AA73" s="150"/>
      <c r="AB73" s="307"/>
      <c r="AC73" s="307"/>
      <c r="AD73" s="307"/>
      <c r="AE73" s="307"/>
      <c r="AF73" s="307"/>
      <c r="AG73" s="307"/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</row>
    <row r="74" spans="3:51"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150"/>
      <c r="AA74" s="150"/>
      <c r="AB74" s="307"/>
      <c r="AC74" s="307"/>
      <c r="AD74" s="307"/>
      <c r="AE74" s="307"/>
      <c r="AF74" s="307"/>
      <c r="AG74" s="307"/>
      <c r="AH74" s="307"/>
      <c r="AI74" s="307"/>
      <c r="AJ74" s="307"/>
      <c r="AK74" s="307"/>
      <c r="AL74" s="307"/>
      <c r="AM74" s="307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</row>
    <row r="75" spans="3:51"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150"/>
      <c r="AA75" s="150"/>
      <c r="AB75" s="307"/>
      <c r="AC75" s="307"/>
      <c r="AD75" s="307"/>
      <c r="AE75" s="307"/>
      <c r="AF75" s="307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</row>
    <row r="76" spans="3:51"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150"/>
      <c r="AA76" s="150"/>
      <c r="AB76" s="307"/>
      <c r="AC76" s="307"/>
      <c r="AD76" s="307"/>
      <c r="AE76" s="307"/>
      <c r="AF76" s="307"/>
      <c r="AG76" s="307"/>
      <c r="AH76" s="307"/>
      <c r="AI76" s="307"/>
      <c r="AJ76" s="307"/>
      <c r="AK76" s="307"/>
      <c r="AL76" s="307"/>
      <c r="AM76" s="307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</row>
    <row r="77" spans="3:51"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150"/>
      <c r="AA77" s="150"/>
      <c r="AB77" s="307"/>
      <c r="AC77" s="307"/>
      <c r="AD77" s="307"/>
      <c r="AE77" s="307"/>
      <c r="AF77" s="307"/>
      <c r="AG77" s="307"/>
      <c r="AH77" s="307"/>
      <c r="AI77" s="307"/>
      <c r="AJ77" s="307"/>
      <c r="AK77" s="307"/>
      <c r="AL77" s="307"/>
      <c r="AM77" s="307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</row>
    <row r="78" spans="3:51"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150"/>
      <c r="AA78" s="150"/>
      <c r="AB78" s="307"/>
      <c r="AC78" s="307"/>
      <c r="AD78" s="307"/>
      <c r="AE78" s="307"/>
      <c r="AF78" s="307"/>
      <c r="AG78" s="307"/>
      <c r="AH78" s="307"/>
      <c r="AI78" s="307"/>
      <c r="AJ78" s="307"/>
      <c r="AK78" s="307"/>
      <c r="AL78" s="307"/>
      <c r="AM78" s="307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</row>
    <row r="79" spans="3:51"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150"/>
      <c r="AA79" s="150"/>
      <c r="AB79" s="307"/>
      <c r="AC79" s="307"/>
      <c r="AD79" s="307"/>
      <c r="AE79" s="307"/>
      <c r="AF79" s="307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</row>
    <row r="80" spans="3:51"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150"/>
      <c r="AA80" s="150"/>
      <c r="AB80" s="307"/>
      <c r="AC80" s="307"/>
      <c r="AD80" s="307"/>
      <c r="AE80" s="307"/>
      <c r="AF80" s="307"/>
      <c r="AG80" s="307"/>
      <c r="AH80" s="307"/>
      <c r="AI80" s="307"/>
      <c r="AJ80" s="307"/>
      <c r="AK80" s="307"/>
      <c r="AL80" s="307"/>
      <c r="AM80" s="307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</row>
    <row r="81" spans="3:51"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150"/>
      <c r="AA81" s="150"/>
      <c r="AB81" s="307"/>
      <c r="AC81" s="307"/>
      <c r="AD81" s="307"/>
      <c r="AE81" s="307"/>
      <c r="AF81" s="307"/>
      <c r="AG81" s="307"/>
      <c r="AH81" s="307"/>
      <c r="AI81" s="307"/>
      <c r="AJ81" s="307"/>
      <c r="AK81" s="307"/>
      <c r="AL81" s="307"/>
      <c r="AM81" s="307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</row>
    <row r="82" spans="3:51"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150"/>
      <c r="AA82" s="150"/>
      <c r="AB82" s="307"/>
      <c r="AC82" s="307"/>
      <c r="AD82" s="307"/>
      <c r="AE82" s="307"/>
      <c r="AF82" s="307"/>
      <c r="AG82" s="307"/>
      <c r="AH82" s="307"/>
      <c r="AI82" s="307"/>
      <c r="AJ82" s="307"/>
      <c r="AK82" s="307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</row>
    <row r="83" spans="3:51"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150"/>
      <c r="AA83" s="150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</row>
    <row r="84" spans="3:51"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150"/>
      <c r="AA84" s="150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</row>
    <row r="85" spans="3:51"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150"/>
      <c r="AA85" s="150"/>
      <c r="AB85" s="307"/>
      <c r="AC85" s="307"/>
      <c r="AD85" s="307"/>
      <c r="AE85" s="307"/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</row>
    <row r="86" spans="3:51"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150"/>
      <c r="AA86" s="150"/>
      <c r="AB86" s="307"/>
      <c r="AC86" s="307"/>
      <c r="AD86" s="307"/>
      <c r="AE86" s="307"/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</row>
    <row r="87" spans="3:51"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150"/>
      <c r="AA87" s="150"/>
      <c r="AB87" s="307"/>
      <c r="AC87" s="307"/>
      <c r="AD87" s="307"/>
      <c r="AE87" s="307"/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</row>
    <row r="88" spans="3:51"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150"/>
      <c r="AA88" s="150"/>
      <c r="AB88" s="307"/>
      <c r="AC88" s="307"/>
      <c r="AD88" s="307"/>
      <c r="AE88" s="307"/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</row>
    <row r="89" spans="3:51"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150"/>
      <c r="AA89" s="150"/>
      <c r="AB89" s="307"/>
      <c r="AC89" s="307"/>
      <c r="AD89" s="307"/>
      <c r="AE89" s="307"/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</row>
    <row r="90" spans="3:51"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150"/>
      <c r="AA90" s="150"/>
      <c r="AB90" s="307"/>
      <c r="AC90" s="307"/>
      <c r="AD90" s="307"/>
      <c r="AE90" s="307"/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24" zoomScale="75" zoomScaleNormal="75" workbookViewId="0">
      <selection activeCell="B52" sqref="B52:W52 B8:W8"/>
    </sheetView>
  </sheetViews>
  <sheetFormatPr defaultColWidth="9.109375" defaultRowHeight="13.2" outlineLevelRow="1"/>
  <cols>
    <col min="1" max="1" width="42" style="12" bestFit="1" customWidth="1"/>
    <col min="2" max="2" width="11.6640625" style="12" bestFit="1" customWidth="1"/>
    <col min="3" max="3" width="11.33203125" style="12" bestFit="1" customWidth="1"/>
    <col min="4" max="4" width="11.6640625" style="12" bestFit="1" customWidth="1"/>
    <col min="5" max="5" width="11.33203125" style="12" bestFit="1" customWidth="1"/>
    <col min="6" max="8" width="11.6640625" style="12" bestFit="1" customWidth="1"/>
    <col min="9" max="9" width="11.33203125" style="12" bestFit="1" customWidth="1"/>
    <col min="10" max="11" width="11.6640625" style="12" bestFit="1" customWidth="1"/>
    <col min="12" max="12" width="11.33203125" style="12" bestFit="1" customWidth="1"/>
    <col min="13" max="13" width="10.88671875" style="12" bestFit="1" customWidth="1"/>
    <col min="14" max="16" width="11.33203125" style="12" bestFit="1" customWidth="1"/>
    <col min="17" max="17" width="11" style="12" bestFit="1" customWidth="1"/>
    <col min="18" max="20" width="11.33203125" style="12" bestFit="1" customWidth="1"/>
    <col min="21" max="21" width="11" style="12" bestFit="1" customWidth="1"/>
    <col min="22" max="22" width="11.6640625" style="12" bestFit="1" customWidth="1"/>
    <col min="23" max="23" width="11.33203125" style="12" bestFit="1" customWidth="1"/>
    <col min="24" max="24" width="11.6640625" style="12" bestFit="1" customWidth="1"/>
    <col min="25" max="25" width="11.33203125" style="12" bestFit="1" customWidth="1"/>
    <col min="26" max="28" width="11.6640625" style="12" bestFit="1" customWidth="1"/>
    <col min="29" max="29" width="11.33203125" style="12" bestFit="1" customWidth="1"/>
    <col min="30" max="32" width="11.6640625" style="12" bestFit="1" customWidth="1"/>
    <col min="33" max="33" width="11.33203125" style="12" bestFit="1" customWidth="1"/>
    <col min="34" max="16384" width="9.109375" style="12"/>
  </cols>
  <sheetData>
    <row r="2" spans="1:35" ht="17.399999999999999">
      <c r="A2" s="86" t="str">
        <f>Assumptions!A3</f>
        <v>PROJECT NAME: Homestead, Florida</v>
      </c>
      <c r="Y2" s="6"/>
      <c r="Z2" s="6"/>
    </row>
    <row r="3" spans="1:35">
      <c r="Y3" s="6"/>
      <c r="Z3" s="6"/>
    </row>
    <row r="4" spans="1:35" ht="17.399999999999999">
      <c r="A4" s="60" t="s">
        <v>374</v>
      </c>
      <c r="Y4" s="6"/>
      <c r="Z4" s="6"/>
    </row>
    <row r="5" spans="1:35">
      <c r="Y5" s="6"/>
      <c r="Z5" s="6"/>
    </row>
    <row r="6" spans="1:35">
      <c r="B6" s="212">
        <v>0</v>
      </c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5" ht="13.8" thickBot="1">
      <c r="A7" s="122" t="s">
        <v>39</v>
      </c>
      <c r="B7" s="7" t="s">
        <v>246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7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7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3"/>
      <c r="J10" s="163"/>
      <c r="K10" s="164"/>
      <c r="L10" s="164"/>
      <c r="M10" s="163"/>
      <c r="N10" s="163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IS!C32</f>
        <v>15997.759999999998</v>
      </c>
      <c r="D11" s="18">
        <f>IS!D32</f>
        <v>24188.639999999999</v>
      </c>
      <c r="E11" s="18">
        <f>IS!E32</f>
        <v>24180.479999999996</v>
      </c>
      <c r="F11" s="18">
        <f>IS!F32</f>
        <v>24172.156800000004</v>
      </c>
      <c r="G11" s="18">
        <f>IS!G32</f>
        <v>24163.667135999993</v>
      </c>
      <c r="H11" s="18">
        <f>IS!H32</f>
        <v>24155.007678719991</v>
      </c>
      <c r="I11" s="18">
        <f>IS!I32</f>
        <v>24146.175032294392</v>
      </c>
      <c r="J11" s="18">
        <f>IS!J32</f>
        <v>24137.165732940284</v>
      </c>
      <c r="K11" s="18">
        <f>IS!K32</f>
        <v>24127.97624759909</v>
      </c>
      <c r="L11" s="18">
        <f>IS!L32</f>
        <v>24118.602972551071</v>
      </c>
      <c r="M11" s="18">
        <f>IS!M32</f>
        <v>24109.042232002092</v>
      </c>
      <c r="N11" s="18">
        <f>IS!N32</f>
        <v>24099.290276642136</v>
      </c>
      <c r="O11" s="18">
        <f>IS!O32</f>
        <v>24089.343282174978</v>
      </c>
      <c r="P11" s="18">
        <f>IS!P32</f>
        <v>24079.197347818477</v>
      </c>
      <c r="Q11" s="18">
        <f>IS!Q32</f>
        <v>24068.848494774847</v>
      </c>
      <c r="R11" s="18">
        <f>IS!R32</f>
        <v>24058.292664670345</v>
      </c>
      <c r="S11" s="18">
        <f>IS!S32</f>
        <v>24047.525717963752</v>
      </c>
      <c r="T11" s="18">
        <f>IS!T32</f>
        <v>24036.543432323026</v>
      </c>
      <c r="U11" s="18">
        <f>IS!U32</f>
        <v>24025.341500969487</v>
      </c>
      <c r="V11" s="18">
        <f>IS!V32</f>
        <v>24013.915530988877</v>
      </c>
      <c r="W11" s="18">
        <f>IS!W32</f>
        <v>8756.2689313699011</v>
      </c>
      <c r="X11" s="18">
        <f>IS!X32</f>
        <v>-606.26653755916959</v>
      </c>
      <c r="Y11" s="18">
        <f>IS!Y32</f>
        <v>-618.39186831035295</v>
      </c>
      <c r="Z11" s="18">
        <f>IS!Z32</f>
        <v>-630.75970567655895</v>
      </c>
      <c r="AA11" s="18">
        <f>IS!AA32</f>
        <v>-643.37489979009115</v>
      </c>
      <c r="AB11" s="18">
        <f>IS!AB32</f>
        <v>-656.24239778589254</v>
      </c>
      <c r="AC11" s="18">
        <f>IS!AC32</f>
        <v>-669.36724574161053</v>
      </c>
      <c r="AD11" s="18">
        <f>IS!AD32</f>
        <v>-682.75459065644282</v>
      </c>
      <c r="AE11" s="18">
        <f>IS!AE32</f>
        <v>-696.40968246957164</v>
      </c>
      <c r="AF11" s="18">
        <f>IS!AF32</f>
        <v>-710.33787611896332</v>
      </c>
      <c r="AG11" s="18">
        <f>IS!AG32</f>
        <v>-724.54463364134244</v>
      </c>
    </row>
    <row r="12" spans="1:35">
      <c r="A12" s="45" t="s">
        <v>80</v>
      </c>
      <c r="B12" s="445">
        <v>0</v>
      </c>
      <c r="C12" s="445">
        <f>-(Debt!B36)</f>
        <v>-2821.9797136376992</v>
      </c>
      <c r="D12" s="445">
        <f>-(Debt!B44+Debt!C27+Debt!C36)</f>
        <v>-6078.6909387770002</v>
      </c>
      <c r="E12" s="445">
        <f>-(Debt!C44+Debt!D27+Debt!D36)</f>
        <v>-5028.1781849400759</v>
      </c>
      <c r="F12" s="445">
        <f>-(Debt!D44+Debt!E27+Debt!E36)</f>
        <v>-3889.1362789812656</v>
      </c>
      <c r="G12" s="445">
        <f>-(Debt!E44+Debt!F27+Debt!F36)</f>
        <v>-2644.2982438811941</v>
      </c>
      <c r="H12" s="445">
        <f>-(Debt!F44+Debt!G27+Debt!G36)</f>
        <v>-1304.772208066822</v>
      </c>
      <c r="I12" s="445">
        <f>-(Debt!G44+Debt!H27+Debt!H36)</f>
        <v>-114.4578582110055</v>
      </c>
      <c r="J12" s="445">
        <f>-(Debt!H44+Debt!I27+Debt!I36)</f>
        <v>0</v>
      </c>
      <c r="K12" s="445">
        <f>-(Debt!I44+Debt!J27+Debt!J36)</f>
        <v>0</v>
      </c>
      <c r="L12" s="445">
        <f>-(Debt!J44+Debt!K27+Debt!K36)</f>
        <v>0</v>
      </c>
      <c r="M12" s="445">
        <f>-(Debt!K44+Debt!L27+Debt!L36)</f>
        <v>0</v>
      </c>
      <c r="N12" s="445">
        <f>-(Debt!L44+Debt!M27+Debt!M36)</f>
        <v>0</v>
      </c>
      <c r="O12" s="445">
        <f>-(Debt!M44+Debt!N27+Debt!N36)</f>
        <v>0</v>
      </c>
      <c r="P12" s="445">
        <f>-(Debt!N44+Debt!O27+Debt!O36)</f>
        <v>0</v>
      </c>
      <c r="Q12" s="445">
        <f>-(Debt!O44+Debt!P27+Debt!P36)</f>
        <v>0</v>
      </c>
      <c r="R12" s="445">
        <f>-(Debt!P44+Debt!Q27+Debt!Q36)</f>
        <v>0</v>
      </c>
      <c r="S12" s="445">
        <f>-(Debt!Q44+Debt!R27+Debt!R36)</f>
        <v>0</v>
      </c>
      <c r="T12" s="445">
        <f>-(Debt!R44+Debt!S27+Debt!S36)</f>
        <v>0</v>
      </c>
      <c r="U12" s="445">
        <f>-(Debt!S44+Debt!T27+Debt!T36)</f>
        <v>0</v>
      </c>
      <c r="V12" s="445">
        <f>-(Debt!T44+Debt!U27+Debt!U36)</f>
        <v>0</v>
      </c>
      <c r="W12" s="445">
        <f>-(Debt!U44+Debt!V27+Debt!V36)</f>
        <v>0</v>
      </c>
      <c r="X12" s="445">
        <f>-(Debt!V44+Debt!W27+Debt!W36)</f>
        <v>0</v>
      </c>
      <c r="Y12" s="445">
        <f>-(Debt!W44+Debt!X27+Debt!X36)</f>
        <v>-9.789811455866225</v>
      </c>
      <c r="Z12" s="445">
        <f>-(Debt!X44+Debt!Y27+Debt!Y36)</f>
        <v>-50.675437069151656</v>
      </c>
      <c r="AA12" s="445">
        <f>-(Debt!Y44+Debt!Z27+Debt!Z36)</f>
        <v>-95.750619147374294</v>
      </c>
      <c r="AB12" s="445">
        <f>-(Debt!Z44+Debt!AA27+Debt!AA36)</f>
        <v>-145.52314955138519</v>
      </c>
      <c r="AC12" s="445">
        <f>-(Debt!AA44+Debt!AB27+Debt!AB36)</f>
        <v>-200.28151492096623</v>
      </c>
      <c r="AD12" s="445">
        <f>-(Debt!AB44+Debt!AC27+Debt!AC36)</f>
        <v>-260.65213041013135</v>
      </c>
      <c r="AE12" s="445">
        <f>-(Debt!AC44+Debt!AD27+Debt!AD36)</f>
        <v>-326.47365181754787</v>
      </c>
      <c r="AF12" s="445">
        <f>-(Debt!AD44+Debt!AE27+Debt!AE36)</f>
        <v>-399.26666064065228</v>
      </c>
      <c r="AG12" s="445">
        <f>-(Debt!AE44+Debt!AF27+Debt!AF36)</f>
        <v>-269.90383705741351</v>
      </c>
      <c r="AH12" s="13"/>
      <c r="AI12" s="13"/>
    </row>
    <row r="13" spans="1:35">
      <c r="A13" s="45" t="s">
        <v>346</v>
      </c>
      <c r="B13" s="64">
        <f>SUM(B11:B12)</f>
        <v>0</v>
      </c>
      <c r="C13" s="64">
        <f t="shared" ref="C13:AG13" si="0">SUM(C11:C12)</f>
        <v>13175.7802863623</v>
      </c>
      <c r="D13" s="64">
        <f t="shared" si="0"/>
        <v>18109.949061223</v>
      </c>
      <c r="E13" s="64">
        <f t="shared" si="0"/>
        <v>19152.30181505992</v>
      </c>
      <c r="F13" s="64">
        <f t="shared" si="0"/>
        <v>20283.020521018738</v>
      </c>
      <c r="G13" s="64">
        <f t="shared" si="0"/>
        <v>21519.3688921188</v>
      </c>
      <c r="H13" s="64">
        <f t="shared" si="0"/>
        <v>22850.23547065317</v>
      </c>
      <c r="I13" s="64">
        <f t="shared" si="0"/>
        <v>24031.717174083387</v>
      </c>
      <c r="J13" s="64">
        <f t="shared" si="0"/>
        <v>24137.165732940284</v>
      </c>
      <c r="K13" s="64">
        <f t="shared" si="0"/>
        <v>24127.97624759909</v>
      </c>
      <c r="L13" s="64">
        <f t="shared" si="0"/>
        <v>24118.602972551071</v>
      </c>
      <c r="M13" s="64">
        <f t="shared" si="0"/>
        <v>24109.042232002092</v>
      </c>
      <c r="N13" s="64">
        <f t="shared" si="0"/>
        <v>24099.290276642136</v>
      </c>
      <c r="O13" s="64">
        <f t="shared" si="0"/>
        <v>24089.343282174978</v>
      </c>
      <c r="P13" s="64">
        <f t="shared" si="0"/>
        <v>24079.197347818477</v>
      </c>
      <c r="Q13" s="64">
        <f t="shared" si="0"/>
        <v>24068.848494774847</v>
      </c>
      <c r="R13" s="64">
        <f t="shared" si="0"/>
        <v>24058.292664670345</v>
      </c>
      <c r="S13" s="64">
        <f t="shared" si="0"/>
        <v>24047.525717963752</v>
      </c>
      <c r="T13" s="64">
        <f t="shared" si="0"/>
        <v>24036.543432323026</v>
      </c>
      <c r="U13" s="64">
        <f t="shared" si="0"/>
        <v>24025.341500969487</v>
      </c>
      <c r="V13" s="64">
        <f t="shared" si="0"/>
        <v>24013.915530988877</v>
      </c>
      <c r="W13" s="64">
        <f t="shared" si="0"/>
        <v>8756.2689313699011</v>
      </c>
      <c r="X13" s="64">
        <f t="shared" si="0"/>
        <v>-606.26653755916959</v>
      </c>
      <c r="Y13" s="64">
        <f t="shared" si="0"/>
        <v>-628.18167976621919</v>
      </c>
      <c r="Z13" s="64">
        <f t="shared" si="0"/>
        <v>-681.43514274571066</v>
      </c>
      <c r="AA13" s="64">
        <f t="shared" si="0"/>
        <v>-739.12551893746547</v>
      </c>
      <c r="AB13" s="64">
        <f t="shared" si="0"/>
        <v>-801.76554733727767</v>
      </c>
      <c r="AC13" s="64">
        <f t="shared" si="0"/>
        <v>-869.64876066257671</v>
      </c>
      <c r="AD13" s="64">
        <f t="shared" si="0"/>
        <v>-943.40672106657416</v>
      </c>
      <c r="AE13" s="64">
        <f t="shared" si="0"/>
        <v>-1022.8833342871195</v>
      </c>
      <c r="AF13" s="64">
        <f t="shared" si="0"/>
        <v>-1109.6045367596157</v>
      </c>
      <c r="AG13" s="64">
        <f t="shared" si="0"/>
        <v>-994.44847069875595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347</v>
      </c>
      <c r="B15" s="18">
        <v>0</v>
      </c>
      <c r="C15" s="18">
        <f>-Taxes!B24-Taxes!B41</f>
        <v>-148.76539539162357</v>
      </c>
      <c r="D15" s="18">
        <f>-Taxes!C24-Taxes!C41</f>
        <v>0</v>
      </c>
      <c r="E15" s="18">
        <f>-Taxes!D24-Taxes!D41</f>
        <v>0</v>
      </c>
      <c r="F15" s="18">
        <f>-Taxes!E24-Taxes!E41</f>
        <v>-617.2003788920731</v>
      </c>
      <c r="G15" s="18">
        <f>-Taxes!F24-Taxes!F41</f>
        <v>-2421.1893037474711</v>
      </c>
      <c r="H15" s="18">
        <f>-Taxes!G24-Taxes!G41</f>
        <v>-4087.1956771676769</v>
      </c>
      <c r="I15" s="18">
        <f>-Taxes!H24-Taxes!H41</f>
        <v>-4985.1092388161233</v>
      </c>
      <c r="J15" s="18">
        <f>-Taxes!I24-Taxes!I41</f>
        <v>-4996.4816804421343</v>
      </c>
      <c r="K15" s="18">
        <f>-Taxes!J24-Taxes!J41</f>
        <v>-5000.545660930361</v>
      </c>
      <c r="L15" s="18">
        <f>-Taxes!K24-Taxes!K41</f>
        <v>-4989.1401087082004</v>
      </c>
      <c r="M15" s="18">
        <f>-Taxes!L24-Taxes!L41</f>
        <v>-4993.0572577617486</v>
      </c>
      <c r="N15" s="18">
        <f>-Taxes!M24-Taxes!M41</f>
        <v>-4981.501937476216</v>
      </c>
      <c r="O15" s="18">
        <f>-Taxes!N24-Taxes!N41</f>
        <v>-4985.2663231051247</v>
      </c>
      <c r="P15" s="18">
        <f>-Taxes!O24-Taxes!O41</f>
        <v>-4973.5551841264587</v>
      </c>
      <c r="Q15" s="18">
        <f>-Taxes!P24-Taxes!P41</f>
        <v>-4977.1606346883727</v>
      </c>
      <c r="R15" s="18">
        <f>-Taxes!Q24-Taxes!Q41</f>
        <v>-7244.0202763795824</v>
      </c>
      <c r="S15" s="18">
        <f>-Taxes!R24-Taxes!R41</f>
        <v>-9510.7964214546646</v>
      </c>
      <c r="T15" s="18">
        <f>-Taxes!S24-Taxes!S41</f>
        <v>-9506.4529274837587</v>
      </c>
      <c r="U15" s="18">
        <f>-Taxes!T24-Taxes!T41</f>
        <v>-9502.0225636334308</v>
      </c>
      <c r="V15" s="18">
        <f>-Taxes!U24-Taxes!U41</f>
        <v>-9497.503592506102</v>
      </c>
      <c r="W15" s="18">
        <f>-Taxes!V24-Taxes!V41</f>
        <v>-3463.1043623567957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-4894.4682056561142</v>
      </c>
      <c r="D16" s="23">
        <f>-Debt!C48</f>
        <v>-12478.559266270597</v>
      </c>
      <c r="E16" s="23">
        <f>-Debt!D48</f>
        <v>-13573.755977336004</v>
      </c>
      <c r="F16" s="23">
        <f>-Debt!E48</f>
        <v>-14719.092720655979</v>
      </c>
      <c r="G16" s="23">
        <f>-Debt!F48</f>
        <v>-15932.100169050587</v>
      </c>
      <c r="H16" s="23">
        <f>-Debt!G48</f>
        <v>-17277.663647244612</v>
      </c>
      <c r="I16" s="23">
        <f>-Debt!H48</f>
        <v>-2782.3588576101902</v>
      </c>
      <c r="J16" s="23">
        <f>-Debt!I48</f>
        <v>0</v>
      </c>
      <c r="K16" s="23">
        <f>-Debt!J48</f>
        <v>0</v>
      </c>
      <c r="L16" s="23">
        <f>-Debt!K48</f>
        <v>0</v>
      </c>
      <c r="M16" s="23">
        <f>-Debt!L48</f>
        <v>0</v>
      </c>
      <c r="N16" s="23">
        <f>-Debt!M48</f>
        <v>0</v>
      </c>
      <c r="O16" s="23">
        <f>-Debt!N48</f>
        <v>0</v>
      </c>
      <c r="P16" s="23">
        <f>-Debt!O48</f>
        <v>0</v>
      </c>
      <c r="Q16" s="23">
        <f>-Debt!P48</f>
        <v>0</v>
      </c>
      <c r="R16" s="23">
        <f>-Debt!Q48</f>
        <v>0</v>
      </c>
      <c r="S16" s="23">
        <f>-Debt!R48</f>
        <v>0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0</v>
      </c>
      <c r="Y16" s="23">
        <f>-Debt!X48</f>
        <v>483.15045810480444</v>
      </c>
      <c r="Z16" s="23">
        <f>-Debt!Y48</f>
        <v>533.83380925977633</v>
      </c>
      <c r="AA16" s="23">
        <f>-Debt!Z48</f>
        <v>587.90452331222082</v>
      </c>
      <c r="AB16" s="23">
        <f>-Debt!AA48</f>
        <v>647.85725466041117</v>
      </c>
      <c r="AC16" s="23">
        <f>-Debt!AB48</f>
        <v>712.66230213217295</v>
      </c>
      <c r="AD16" s="23">
        <f>-Debt!AC48</f>
        <v>783.63829084251347</v>
      </c>
      <c r="AE16" s="23">
        <f>-Debt!AD48</f>
        <v>859.19686535513483</v>
      </c>
      <c r="AF16" s="23">
        <f>-Debt!AE48</f>
        <v>943.00925107548301</v>
      </c>
      <c r="AG16" s="23">
        <f>-Debt!AF48</f>
        <v>963.47504465681504</v>
      </c>
    </row>
    <row r="17" spans="1:33">
      <c r="A17" s="45" t="s">
        <v>348</v>
      </c>
      <c r="B17" s="446">
        <v>0</v>
      </c>
      <c r="C17" s="446">
        <v>0</v>
      </c>
      <c r="D17" s="446">
        <v>0</v>
      </c>
      <c r="E17" s="446">
        <v>0</v>
      </c>
      <c r="F17" s="446">
        <v>0</v>
      </c>
      <c r="G17" s="446">
        <v>0</v>
      </c>
      <c r="H17" s="446">
        <v>0</v>
      </c>
      <c r="I17" s="446">
        <v>0</v>
      </c>
      <c r="J17" s="446">
        <v>0</v>
      </c>
      <c r="K17" s="446">
        <v>0</v>
      </c>
      <c r="L17" s="446">
        <v>0</v>
      </c>
      <c r="M17" s="446">
        <v>0</v>
      </c>
      <c r="N17" s="446">
        <v>0</v>
      </c>
      <c r="O17" s="446">
        <v>0</v>
      </c>
      <c r="P17" s="446">
        <v>0</v>
      </c>
      <c r="Q17" s="446">
        <v>0</v>
      </c>
      <c r="R17" s="446">
        <v>0</v>
      </c>
      <c r="S17" s="446">
        <v>0</v>
      </c>
      <c r="T17" s="446">
        <v>0</v>
      </c>
      <c r="U17" s="446">
        <v>0</v>
      </c>
      <c r="V17" s="446">
        <v>0</v>
      </c>
      <c r="W17" s="446">
        <v>0</v>
      </c>
      <c r="X17" s="446">
        <v>0</v>
      </c>
      <c r="Y17" s="446">
        <v>0</v>
      </c>
      <c r="Z17" s="446">
        <v>0</v>
      </c>
      <c r="AA17" s="446">
        <v>0</v>
      </c>
      <c r="AB17" s="446">
        <v>0</v>
      </c>
      <c r="AC17" s="446">
        <v>0</v>
      </c>
      <c r="AD17" s="446">
        <v>0</v>
      </c>
      <c r="AE17" s="446">
        <v>0</v>
      </c>
      <c r="AF17" s="446">
        <v>0</v>
      </c>
      <c r="AG17" s="446">
        <v>0</v>
      </c>
    </row>
    <row r="18" spans="1:33">
      <c r="A18" s="45" t="s">
        <v>349</v>
      </c>
      <c r="B18" s="64">
        <f>B13+B17+B16+B15</f>
        <v>0</v>
      </c>
      <c r="C18" s="64">
        <f t="shared" ref="C18:AG18" si="1">C13+C17+C16+C15</f>
        <v>8132.5466853145626</v>
      </c>
      <c r="D18" s="64">
        <f t="shared" si="1"/>
        <v>5631.3897949524035</v>
      </c>
      <c r="E18" s="64">
        <f t="shared" si="1"/>
        <v>5578.5458377239156</v>
      </c>
      <c r="F18" s="64">
        <f t="shared" si="1"/>
        <v>4946.7274214706858</v>
      </c>
      <c r="G18" s="64">
        <f t="shared" si="1"/>
        <v>3166.0794193207421</v>
      </c>
      <c r="H18" s="64">
        <f t="shared" si="1"/>
        <v>1485.3761462408811</v>
      </c>
      <c r="I18" s="64">
        <f t="shared" si="1"/>
        <v>16264.249077657074</v>
      </c>
      <c r="J18" s="64">
        <f t="shared" si="1"/>
        <v>19140.684052498149</v>
      </c>
      <c r="K18" s="64">
        <f t="shared" si="1"/>
        <v>19127.430586668728</v>
      </c>
      <c r="L18" s="64">
        <f t="shared" si="1"/>
        <v>19129.462863842869</v>
      </c>
      <c r="M18" s="64">
        <f t="shared" si="1"/>
        <v>19115.984974240342</v>
      </c>
      <c r="N18" s="64">
        <f t="shared" si="1"/>
        <v>19117.78833916592</v>
      </c>
      <c r="O18" s="64">
        <f t="shared" si="1"/>
        <v>19104.076959069855</v>
      </c>
      <c r="P18" s="64">
        <f t="shared" si="1"/>
        <v>19105.64216369202</v>
      </c>
      <c r="Q18" s="64">
        <f t="shared" si="1"/>
        <v>19091.687860086473</v>
      </c>
      <c r="R18" s="64">
        <f t="shared" si="1"/>
        <v>16814.272388290763</v>
      </c>
      <c r="S18" s="64">
        <f t="shared" si="1"/>
        <v>14536.729296509087</v>
      </c>
      <c r="T18" s="64">
        <f t="shared" si="1"/>
        <v>14530.090504839267</v>
      </c>
      <c r="U18" s="64">
        <f t="shared" si="1"/>
        <v>14523.318937336056</v>
      </c>
      <c r="V18" s="64">
        <f t="shared" si="1"/>
        <v>14516.411938482775</v>
      </c>
      <c r="W18" s="64">
        <f t="shared" si="1"/>
        <v>5293.1645690131054</v>
      </c>
      <c r="X18" s="64">
        <f t="shared" si="1"/>
        <v>-606.26653755916959</v>
      </c>
      <c r="Y18" s="64">
        <f t="shared" si="1"/>
        <v>-145.03122166141475</v>
      </c>
      <c r="Z18" s="64">
        <f t="shared" si="1"/>
        <v>-147.60133348593433</v>
      </c>
      <c r="AA18" s="64">
        <f t="shared" si="1"/>
        <v>-151.22099562524465</v>
      </c>
      <c r="AB18" s="64">
        <f t="shared" si="1"/>
        <v>-153.90829267686649</v>
      </c>
      <c r="AC18" s="64">
        <f t="shared" si="1"/>
        <v>-156.98645853040375</v>
      </c>
      <c r="AD18" s="64">
        <f t="shared" si="1"/>
        <v>-159.76843022406069</v>
      </c>
      <c r="AE18" s="64">
        <f t="shared" si="1"/>
        <v>-163.68646893198468</v>
      </c>
      <c r="AF18" s="64">
        <f t="shared" si="1"/>
        <v>-166.5952856841327</v>
      </c>
      <c r="AG18" s="64">
        <f t="shared" si="1"/>
        <v>-30.973426041940911</v>
      </c>
    </row>
    <row r="19" spans="1:33">
      <c r="A19" s="334"/>
      <c r="B19" s="399"/>
      <c r="C19" s="399"/>
      <c r="D19" s="399"/>
      <c r="E19" s="399"/>
      <c r="F19" s="399"/>
      <c r="G19" s="399"/>
      <c r="H19" s="399"/>
      <c r="I19" s="399"/>
      <c r="J19" s="399"/>
      <c r="K19" s="399"/>
      <c r="L19" s="399"/>
      <c r="M19" s="399"/>
      <c r="N19" s="399"/>
      <c r="O19" s="399"/>
      <c r="P19" s="399"/>
      <c r="Q19" s="399"/>
      <c r="R19" s="399"/>
      <c r="S19" s="399"/>
      <c r="T19" s="399"/>
      <c r="U19" s="399"/>
      <c r="V19" s="399"/>
      <c r="W19" s="399"/>
      <c r="X19" s="399"/>
      <c r="Y19" s="399"/>
      <c r="Z19" s="399"/>
      <c r="AA19" s="399"/>
      <c r="AB19" s="399"/>
      <c r="AC19" s="399"/>
      <c r="AD19" s="399"/>
      <c r="AE19" s="399"/>
      <c r="AF19" s="399"/>
      <c r="AG19" s="399"/>
    </row>
    <row r="20" spans="1:33">
      <c r="A20" s="447" t="s">
        <v>399</v>
      </c>
      <c r="B20" s="518">
        <v>1</v>
      </c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99"/>
      <c r="AB20" s="399"/>
      <c r="AC20" s="399"/>
      <c r="AD20" s="399"/>
      <c r="AE20" s="399"/>
      <c r="AF20" s="399"/>
      <c r="AG20" s="399"/>
    </row>
    <row r="21" spans="1:33">
      <c r="B21" s="64">
        <f>$B$20*B18</f>
        <v>0</v>
      </c>
      <c r="C21" s="64">
        <f t="shared" ref="C21:AG21" si="2">$B$20*C18</f>
        <v>8132.5466853145626</v>
      </c>
      <c r="D21" s="64">
        <f t="shared" si="2"/>
        <v>5631.3897949524035</v>
      </c>
      <c r="E21" s="64">
        <f t="shared" si="2"/>
        <v>5578.5458377239156</v>
      </c>
      <c r="F21" s="64">
        <f t="shared" si="2"/>
        <v>4946.7274214706858</v>
      </c>
      <c r="G21" s="64">
        <f t="shared" si="2"/>
        <v>3166.0794193207421</v>
      </c>
      <c r="H21" s="64">
        <f t="shared" si="2"/>
        <v>1485.3761462408811</v>
      </c>
      <c r="I21" s="64">
        <f t="shared" si="2"/>
        <v>16264.249077657074</v>
      </c>
      <c r="J21" s="64">
        <f t="shared" si="2"/>
        <v>19140.684052498149</v>
      </c>
      <c r="K21" s="64">
        <f t="shared" si="2"/>
        <v>19127.430586668728</v>
      </c>
      <c r="L21" s="64">
        <f t="shared" si="2"/>
        <v>19129.462863842869</v>
      </c>
      <c r="M21" s="64">
        <f t="shared" si="2"/>
        <v>19115.984974240342</v>
      </c>
      <c r="N21" s="64">
        <f t="shared" si="2"/>
        <v>19117.78833916592</v>
      </c>
      <c r="O21" s="64">
        <f t="shared" si="2"/>
        <v>19104.076959069855</v>
      </c>
      <c r="P21" s="64">
        <f t="shared" si="2"/>
        <v>19105.64216369202</v>
      </c>
      <c r="Q21" s="64">
        <f t="shared" si="2"/>
        <v>19091.687860086473</v>
      </c>
      <c r="R21" s="64">
        <f t="shared" si="2"/>
        <v>16814.272388290763</v>
      </c>
      <c r="S21" s="64">
        <f t="shared" si="2"/>
        <v>14536.729296509087</v>
      </c>
      <c r="T21" s="64">
        <f t="shared" si="2"/>
        <v>14530.090504839267</v>
      </c>
      <c r="U21" s="64">
        <f t="shared" si="2"/>
        <v>14523.318937336056</v>
      </c>
      <c r="V21" s="64">
        <f t="shared" si="2"/>
        <v>14516.411938482775</v>
      </c>
      <c r="W21" s="64">
        <f t="shared" si="2"/>
        <v>5293.1645690131054</v>
      </c>
      <c r="X21" s="64">
        <f t="shared" si="2"/>
        <v>-606.26653755916959</v>
      </c>
      <c r="Y21" s="64">
        <f t="shared" si="2"/>
        <v>-145.03122166141475</v>
      </c>
      <c r="Z21" s="64">
        <f t="shared" si="2"/>
        <v>-147.60133348593433</v>
      </c>
      <c r="AA21" s="64">
        <f t="shared" si="2"/>
        <v>-151.22099562524465</v>
      </c>
      <c r="AB21" s="64">
        <f t="shared" si="2"/>
        <v>-153.90829267686649</v>
      </c>
      <c r="AC21" s="64">
        <f t="shared" si="2"/>
        <v>-156.98645853040375</v>
      </c>
      <c r="AD21" s="64">
        <f t="shared" si="2"/>
        <v>-159.76843022406069</v>
      </c>
      <c r="AE21" s="64">
        <f t="shared" si="2"/>
        <v>-163.68646893198468</v>
      </c>
      <c r="AF21" s="64">
        <f t="shared" si="2"/>
        <v>-166.5952856841327</v>
      </c>
      <c r="AG21" s="64">
        <f t="shared" si="2"/>
        <v>-30.973426041940911</v>
      </c>
    </row>
    <row r="22" spans="1:33">
      <c r="B22" s="399"/>
      <c r="C22" s="399"/>
      <c r="D22" s="399"/>
      <c r="E22" s="399"/>
      <c r="F22" s="399"/>
      <c r="G22" s="399"/>
      <c r="H22" s="399"/>
      <c r="I22" s="399"/>
      <c r="J22" s="399"/>
      <c r="K22" s="399"/>
      <c r="L22" s="399"/>
      <c r="M22" s="399"/>
      <c r="N22" s="399"/>
      <c r="O22" s="399"/>
      <c r="P22" s="399"/>
      <c r="Q22" s="399"/>
      <c r="R22" s="399"/>
      <c r="S22" s="399"/>
      <c r="T22" s="399"/>
      <c r="U22" s="399"/>
      <c r="V22" s="399"/>
      <c r="W22" s="399"/>
      <c r="X22" s="399"/>
      <c r="Y22" s="399"/>
      <c r="Z22" s="399"/>
      <c r="AA22" s="399"/>
      <c r="AB22" s="399"/>
      <c r="AC22" s="399"/>
      <c r="AD22" s="399"/>
      <c r="AE22" s="399"/>
      <c r="AF22" s="399"/>
      <c r="AG22" s="399"/>
    </row>
    <row r="23" spans="1:33">
      <c r="A23" s="39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399"/>
      <c r="P23" s="399"/>
      <c r="Q23" s="399"/>
      <c r="R23" s="399"/>
      <c r="S23" s="399"/>
      <c r="T23" s="399"/>
      <c r="U23" s="399"/>
      <c r="V23" s="399"/>
      <c r="W23" s="399"/>
      <c r="X23" s="399"/>
      <c r="Y23" s="399"/>
      <c r="Z23" s="399"/>
      <c r="AA23" s="399"/>
      <c r="AB23" s="399"/>
      <c r="AC23" s="399"/>
      <c r="AD23" s="399"/>
    </row>
    <row r="24" spans="1:33">
      <c r="A24" s="448" t="s">
        <v>356</v>
      </c>
      <c r="B24" s="454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-Assumptions!C11</f>
        <v>-129849.15023056601</v>
      </c>
      <c r="C25" s="18">
        <f t="shared" ref="C25:V25" si="3">+B29</f>
        <v>-129849.15023056601</v>
      </c>
      <c r="D25" s="18">
        <f t="shared" si="3"/>
        <v>-129849.15023056601</v>
      </c>
      <c r="E25" s="18">
        <f t="shared" si="3"/>
        <v>-129849.15023056601</v>
      </c>
      <c r="F25" s="18">
        <f t="shared" si="3"/>
        <v>-129849.15023056601</v>
      </c>
      <c r="G25" s="18">
        <f t="shared" si="3"/>
        <v>-129849.15023056601</v>
      </c>
      <c r="H25" s="18">
        <f t="shared" si="3"/>
        <v>-129849.15023056601</v>
      </c>
      <c r="I25" s="18">
        <f t="shared" si="3"/>
        <v>-129849.15023056601</v>
      </c>
      <c r="J25" s="18">
        <f t="shared" si="3"/>
        <v>-129849.15023056601</v>
      </c>
      <c r="K25" s="18">
        <f t="shared" si="3"/>
        <v>-128887.3472103471</v>
      </c>
      <c r="L25" s="18">
        <f t="shared" si="3"/>
        <v>-127804.14523312697</v>
      </c>
      <c r="M25" s="18">
        <f t="shared" si="3"/>
        <v>-126567.26270192188</v>
      </c>
      <c r="N25" s="18">
        <f t="shared" si="3"/>
        <v>-125170.6945059506</v>
      </c>
      <c r="O25" s="18">
        <f t="shared" si="3"/>
        <v>-123576.80339761777</v>
      </c>
      <c r="P25" s="18">
        <f t="shared" si="3"/>
        <v>-121773.4789142144</v>
      </c>
      <c r="Q25" s="18">
        <f t="shared" si="3"/>
        <v>-119716.1237985124</v>
      </c>
      <c r="R25" s="18">
        <f t="shared" si="3"/>
        <v>-117384.69327021767</v>
      </c>
      <c r="S25" s="18">
        <f t="shared" si="3"/>
        <v>-117004.27793975739</v>
      </c>
      <c r="T25" s="18">
        <f t="shared" si="3"/>
        <v>-117004.27793975739</v>
      </c>
      <c r="U25" s="18">
        <f t="shared" si="3"/>
        <v>-117004.27793975739</v>
      </c>
      <c r="V25" s="18">
        <f t="shared" si="3"/>
        <v>-117004.27793975739</v>
      </c>
      <c r="W25" s="18">
        <f t="shared" ref="W25:AG25" si="4">+V29</f>
        <v>-117004.27793975739</v>
      </c>
      <c r="X25" s="18">
        <f t="shared" si="4"/>
        <v>-117004.27793975739</v>
      </c>
      <c r="Y25" s="18">
        <f t="shared" si="4"/>
        <v>-117004.27793975739</v>
      </c>
      <c r="Z25" s="18">
        <f t="shared" si="4"/>
        <v>-117004.27793975739</v>
      </c>
      <c r="AA25" s="18">
        <f t="shared" si="4"/>
        <v>-117004.27793975739</v>
      </c>
      <c r="AB25" s="18">
        <f t="shared" si="4"/>
        <v>-117004.27793975739</v>
      </c>
      <c r="AC25" s="18">
        <f t="shared" si="4"/>
        <v>-117004.27793975739</v>
      </c>
      <c r="AD25" s="18">
        <f t="shared" si="4"/>
        <v>-117004.27793975739</v>
      </c>
      <c r="AE25" s="18">
        <f t="shared" si="4"/>
        <v>-117004.27793975739</v>
      </c>
      <c r="AF25" s="18">
        <f t="shared" si="4"/>
        <v>-117004.27793975739</v>
      </c>
      <c r="AG25" s="18">
        <f t="shared" si="4"/>
        <v>-117004.27793975739</v>
      </c>
    </row>
    <row r="26" spans="1:33">
      <c r="A26" s="45" t="s">
        <v>355</v>
      </c>
      <c r="B26" s="18">
        <v>0</v>
      </c>
      <c r="C26" s="18">
        <f>+-B25*$B$24</f>
        <v>18178.881032279241</v>
      </c>
      <c r="D26" s="18">
        <f t="shared" ref="D26:V26" si="5">+-D25*$B$24</f>
        <v>18178.881032279241</v>
      </c>
      <c r="E26" s="18">
        <f t="shared" si="5"/>
        <v>18178.881032279241</v>
      </c>
      <c r="F26" s="18">
        <f t="shared" si="5"/>
        <v>18178.881032279241</v>
      </c>
      <c r="G26" s="18">
        <f t="shared" si="5"/>
        <v>18178.881032279241</v>
      </c>
      <c r="H26" s="18">
        <f t="shared" si="5"/>
        <v>18178.881032279241</v>
      </c>
      <c r="I26" s="18">
        <f t="shared" si="5"/>
        <v>18178.881032279241</v>
      </c>
      <c r="J26" s="18">
        <f t="shared" si="5"/>
        <v>18178.881032279241</v>
      </c>
      <c r="K26" s="18">
        <f t="shared" si="5"/>
        <v>18044.228609448597</v>
      </c>
      <c r="L26" s="18">
        <f t="shared" si="5"/>
        <v>17892.580332637779</v>
      </c>
      <c r="M26" s="18">
        <f t="shared" si="5"/>
        <v>17719.416778269064</v>
      </c>
      <c r="N26" s="18">
        <f t="shared" si="5"/>
        <v>17523.897230833085</v>
      </c>
      <c r="O26" s="18">
        <f t="shared" si="5"/>
        <v>17300.75247566649</v>
      </c>
      <c r="P26" s="18">
        <f t="shared" si="5"/>
        <v>17048.287047990019</v>
      </c>
      <c r="Q26" s="18">
        <f t="shared" si="5"/>
        <v>16760.257331791738</v>
      </c>
      <c r="R26" s="18">
        <f t="shared" si="5"/>
        <v>16433.857057830475</v>
      </c>
      <c r="S26" s="18">
        <f t="shared" si="5"/>
        <v>16380.598911566036</v>
      </c>
      <c r="T26" s="18">
        <f t="shared" si="5"/>
        <v>16380.598911566036</v>
      </c>
      <c r="U26" s="18">
        <f t="shared" si="5"/>
        <v>16380.598911566036</v>
      </c>
      <c r="V26" s="18">
        <f t="shared" si="5"/>
        <v>16380.598911566036</v>
      </c>
      <c r="W26" s="18">
        <f t="shared" ref="W26:AG26" si="6">+-W25*$B$24</f>
        <v>16380.598911566036</v>
      </c>
      <c r="X26" s="18">
        <f t="shared" si="6"/>
        <v>16380.598911566036</v>
      </c>
      <c r="Y26" s="18">
        <f t="shared" si="6"/>
        <v>16380.598911566036</v>
      </c>
      <c r="Z26" s="18">
        <f t="shared" si="6"/>
        <v>16380.598911566036</v>
      </c>
      <c r="AA26" s="18">
        <f t="shared" si="6"/>
        <v>16380.598911566036</v>
      </c>
      <c r="AB26" s="18">
        <f t="shared" si="6"/>
        <v>16380.598911566036</v>
      </c>
      <c r="AC26" s="18">
        <f t="shared" si="6"/>
        <v>16380.598911566036</v>
      </c>
      <c r="AD26" s="18">
        <f t="shared" si="6"/>
        <v>16380.598911566036</v>
      </c>
      <c r="AE26" s="18">
        <f t="shared" si="6"/>
        <v>16380.598911566036</v>
      </c>
      <c r="AF26" s="18">
        <f t="shared" si="6"/>
        <v>16380.598911566036</v>
      </c>
      <c r="AG26" s="18">
        <f t="shared" si="6"/>
        <v>16380.598911566036</v>
      </c>
    </row>
    <row r="27" spans="1:33">
      <c r="A27" s="45" t="s">
        <v>351</v>
      </c>
      <c r="B27" s="18">
        <f>B21</f>
        <v>0</v>
      </c>
      <c r="C27" s="18">
        <f t="shared" ref="C27:AG27" si="7">C21</f>
        <v>8132.5466853145626</v>
      </c>
      <c r="D27" s="18">
        <f t="shared" si="7"/>
        <v>5631.3897949524035</v>
      </c>
      <c r="E27" s="18">
        <f t="shared" si="7"/>
        <v>5578.5458377239156</v>
      </c>
      <c r="F27" s="18">
        <f t="shared" si="7"/>
        <v>4946.7274214706858</v>
      </c>
      <c r="G27" s="18">
        <f t="shared" si="7"/>
        <v>3166.0794193207421</v>
      </c>
      <c r="H27" s="18">
        <f t="shared" si="7"/>
        <v>1485.3761462408811</v>
      </c>
      <c r="I27" s="18">
        <f t="shared" si="7"/>
        <v>16264.249077657074</v>
      </c>
      <c r="J27" s="18">
        <f t="shared" si="7"/>
        <v>19140.684052498149</v>
      </c>
      <c r="K27" s="18">
        <f t="shared" si="7"/>
        <v>19127.430586668728</v>
      </c>
      <c r="L27" s="18">
        <f t="shared" si="7"/>
        <v>19129.462863842869</v>
      </c>
      <c r="M27" s="18">
        <f t="shared" si="7"/>
        <v>19115.984974240342</v>
      </c>
      <c r="N27" s="18">
        <f t="shared" si="7"/>
        <v>19117.78833916592</v>
      </c>
      <c r="O27" s="18">
        <f t="shared" si="7"/>
        <v>19104.076959069855</v>
      </c>
      <c r="P27" s="18">
        <f t="shared" si="7"/>
        <v>19105.64216369202</v>
      </c>
      <c r="Q27" s="18">
        <f t="shared" si="7"/>
        <v>19091.687860086473</v>
      </c>
      <c r="R27" s="18">
        <f t="shared" si="7"/>
        <v>16814.272388290763</v>
      </c>
      <c r="S27" s="18">
        <f t="shared" si="7"/>
        <v>14536.729296509087</v>
      </c>
      <c r="T27" s="18">
        <f t="shared" si="7"/>
        <v>14530.090504839267</v>
      </c>
      <c r="U27" s="18">
        <f t="shared" si="7"/>
        <v>14523.318937336056</v>
      </c>
      <c r="V27" s="18">
        <f t="shared" si="7"/>
        <v>14516.411938482775</v>
      </c>
      <c r="W27" s="18">
        <f t="shared" si="7"/>
        <v>5293.1645690131054</v>
      </c>
      <c r="X27" s="18">
        <f t="shared" si="7"/>
        <v>-606.26653755916959</v>
      </c>
      <c r="Y27" s="18">
        <f t="shared" si="7"/>
        <v>-145.03122166141475</v>
      </c>
      <c r="Z27" s="18">
        <f t="shared" si="7"/>
        <v>-147.60133348593433</v>
      </c>
      <c r="AA27" s="18">
        <f t="shared" si="7"/>
        <v>-151.22099562524465</v>
      </c>
      <c r="AB27" s="18">
        <f t="shared" si="7"/>
        <v>-153.90829267686649</v>
      </c>
      <c r="AC27" s="18">
        <f t="shared" si="7"/>
        <v>-156.98645853040375</v>
      </c>
      <c r="AD27" s="18">
        <f t="shared" si="7"/>
        <v>-159.76843022406069</v>
      </c>
      <c r="AE27" s="18">
        <f t="shared" si="7"/>
        <v>-163.68646893198468</v>
      </c>
      <c r="AF27" s="18">
        <f t="shared" si="7"/>
        <v>-166.5952856841327</v>
      </c>
      <c r="AG27" s="18">
        <f t="shared" si="7"/>
        <v>-30.973426041940911</v>
      </c>
    </row>
    <row r="28" spans="1:33">
      <c r="A28" s="45" t="s">
        <v>354</v>
      </c>
      <c r="B28" s="309">
        <v>0</v>
      </c>
      <c r="C28" s="309">
        <f t="shared" ref="C28:V28" si="8">+IF(C27&gt;C26,C27-C26,0)</f>
        <v>0</v>
      </c>
      <c r="D28" s="309">
        <f t="shared" si="8"/>
        <v>0</v>
      </c>
      <c r="E28" s="309">
        <f t="shared" si="8"/>
        <v>0</v>
      </c>
      <c r="F28" s="309">
        <f t="shared" si="8"/>
        <v>0</v>
      </c>
      <c r="G28" s="309">
        <f t="shared" si="8"/>
        <v>0</v>
      </c>
      <c r="H28" s="309">
        <f t="shared" si="8"/>
        <v>0</v>
      </c>
      <c r="I28" s="309">
        <f t="shared" si="8"/>
        <v>0</v>
      </c>
      <c r="J28" s="309">
        <f t="shared" si="8"/>
        <v>961.80302021890748</v>
      </c>
      <c r="K28" s="309">
        <f t="shared" si="8"/>
        <v>1083.2019772201311</v>
      </c>
      <c r="L28" s="309">
        <f t="shared" si="8"/>
        <v>1236.8825312050903</v>
      </c>
      <c r="M28" s="309">
        <f t="shared" si="8"/>
        <v>1396.5681959712783</v>
      </c>
      <c r="N28" s="309">
        <f t="shared" si="8"/>
        <v>1593.8911083328348</v>
      </c>
      <c r="O28" s="309">
        <f t="shared" si="8"/>
        <v>1803.3244834033649</v>
      </c>
      <c r="P28" s="309">
        <f t="shared" si="8"/>
        <v>2057.3551157020011</v>
      </c>
      <c r="Q28" s="309">
        <f t="shared" si="8"/>
        <v>2331.4305282947353</v>
      </c>
      <c r="R28" s="309">
        <f t="shared" si="8"/>
        <v>380.41533046028781</v>
      </c>
      <c r="S28" s="309">
        <f t="shared" si="8"/>
        <v>0</v>
      </c>
      <c r="T28" s="309">
        <f t="shared" si="8"/>
        <v>0</v>
      </c>
      <c r="U28" s="309">
        <f t="shared" si="8"/>
        <v>0</v>
      </c>
      <c r="V28" s="309">
        <f t="shared" si="8"/>
        <v>0</v>
      </c>
      <c r="W28" s="309">
        <f t="shared" ref="W28:AG28" si="9">+IF(W27&gt;W26,W27-W26,0)</f>
        <v>0</v>
      </c>
      <c r="X28" s="309">
        <f t="shared" si="9"/>
        <v>0</v>
      </c>
      <c r="Y28" s="309">
        <f t="shared" si="9"/>
        <v>0</v>
      </c>
      <c r="Z28" s="309">
        <f t="shared" si="9"/>
        <v>0</v>
      </c>
      <c r="AA28" s="309">
        <f t="shared" si="9"/>
        <v>0</v>
      </c>
      <c r="AB28" s="309">
        <f t="shared" si="9"/>
        <v>0</v>
      </c>
      <c r="AC28" s="309">
        <f t="shared" si="9"/>
        <v>0</v>
      </c>
      <c r="AD28" s="309">
        <f t="shared" si="9"/>
        <v>0</v>
      </c>
      <c r="AE28" s="309">
        <f t="shared" si="9"/>
        <v>0</v>
      </c>
      <c r="AF28" s="309">
        <f t="shared" si="9"/>
        <v>0</v>
      </c>
      <c r="AG28" s="309">
        <f t="shared" si="9"/>
        <v>0</v>
      </c>
    </row>
    <row r="29" spans="1:33">
      <c r="A29" s="45" t="s">
        <v>58</v>
      </c>
      <c r="B29" s="18">
        <f t="shared" ref="B29:V29" si="10">+B25+B28</f>
        <v>-129849.15023056601</v>
      </c>
      <c r="C29" s="18">
        <f t="shared" si="10"/>
        <v>-129849.15023056601</v>
      </c>
      <c r="D29" s="18">
        <f t="shared" si="10"/>
        <v>-129849.15023056601</v>
      </c>
      <c r="E29" s="18">
        <f t="shared" si="10"/>
        <v>-129849.15023056601</v>
      </c>
      <c r="F29" s="18">
        <f t="shared" si="10"/>
        <v>-129849.15023056601</v>
      </c>
      <c r="G29" s="18">
        <f t="shared" si="10"/>
        <v>-129849.15023056601</v>
      </c>
      <c r="H29" s="18">
        <f t="shared" si="10"/>
        <v>-129849.15023056601</v>
      </c>
      <c r="I29" s="18">
        <f t="shared" si="10"/>
        <v>-129849.15023056601</v>
      </c>
      <c r="J29" s="18">
        <f t="shared" si="10"/>
        <v>-128887.3472103471</v>
      </c>
      <c r="K29" s="18">
        <f t="shared" si="10"/>
        <v>-127804.14523312697</v>
      </c>
      <c r="L29" s="18">
        <f t="shared" si="10"/>
        <v>-126567.26270192188</v>
      </c>
      <c r="M29" s="18">
        <f t="shared" si="10"/>
        <v>-125170.6945059506</v>
      </c>
      <c r="N29" s="18">
        <f t="shared" si="10"/>
        <v>-123576.80339761777</v>
      </c>
      <c r="O29" s="18">
        <f t="shared" si="10"/>
        <v>-121773.4789142144</v>
      </c>
      <c r="P29" s="18">
        <f t="shared" si="10"/>
        <v>-119716.1237985124</v>
      </c>
      <c r="Q29" s="18">
        <f t="shared" si="10"/>
        <v>-117384.69327021767</v>
      </c>
      <c r="R29" s="18">
        <f t="shared" si="10"/>
        <v>-117004.27793975739</v>
      </c>
      <c r="S29" s="18">
        <f t="shared" si="10"/>
        <v>-117004.27793975739</v>
      </c>
      <c r="T29" s="18">
        <f t="shared" si="10"/>
        <v>-117004.27793975739</v>
      </c>
      <c r="U29" s="18">
        <f t="shared" si="10"/>
        <v>-117004.27793975739</v>
      </c>
      <c r="V29" s="18">
        <f t="shared" si="10"/>
        <v>-117004.27793975739</v>
      </c>
      <c r="W29" s="18">
        <f t="shared" ref="W29:AG29" si="11">+W25+W28</f>
        <v>-117004.27793975739</v>
      </c>
      <c r="X29" s="18">
        <f t="shared" si="11"/>
        <v>-117004.27793975739</v>
      </c>
      <c r="Y29" s="18">
        <f t="shared" si="11"/>
        <v>-117004.27793975739</v>
      </c>
      <c r="Z29" s="18">
        <f t="shared" si="11"/>
        <v>-117004.27793975739</v>
      </c>
      <c r="AA29" s="18">
        <f t="shared" si="11"/>
        <v>-117004.27793975739</v>
      </c>
      <c r="AB29" s="18">
        <f t="shared" si="11"/>
        <v>-117004.27793975739</v>
      </c>
      <c r="AC29" s="18">
        <f t="shared" si="11"/>
        <v>-117004.27793975739</v>
      </c>
      <c r="AD29" s="18">
        <f t="shared" si="11"/>
        <v>-117004.27793975739</v>
      </c>
      <c r="AE29" s="18">
        <f t="shared" si="11"/>
        <v>-117004.27793975739</v>
      </c>
      <c r="AF29" s="18">
        <f t="shared" si="11"/>
        <v>-117004.27793975739</v>
      </c>
      <c r="AG29" s="18">
        <f t="shared" si="11"/>
        <v>-117004.27793975739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8" t="s">
        <v>386</v>
      </c>
    </row>
    <row r="34" spans="1:33">
      <c r="A34" s="448"/>
    </row>
    <row r="35" spans="1:33">
      <c r="A35" s="447" t="s">
        <v>353</v>
      </c>
    </row>
    <row r="36" spans="1:33" s="18" customFormat="1">
      <c r="A36" s="45" t="s">
        <v>352</v>
      </c>
      <c r="B36" s="18">
        <f>-Assumptions!C11*Assumptions!$G$48</f>
        <v>-129849.15023056601</v>
      </c>
    </row>
    <row r="37" spans="1:33" s="18" customFormat="1">
      <c r="A37" s="45" t="s">
        <v>351</v>
      </c>
      <c r="B37" s="455">
        <f>B21*Assumptions!$G$48</f>
        <v>0</v>
      </c>
      <c r="C37" s="455">
        <f>C21*Assumptions!$G$48</f>
        <v>8132.5466853145626</v>
      </c>
      <c r="D37" s="455">
        <f>D21*Assumptions!$G$48</f>
        <v>5631.3897949524035</v>
      </c>
      <c r="E37" s="455">
        <f>E21*Assumptions!$G$48</f>
        <v>5578.5458377239156</v>
      </c>
      <c r="F37" s="455">
        <f>F21*Assumptions!$G$48</f>
        <v>4946.7274214706858</v>
      </c>
      <c r="G37" s="455">
        <f>G21*Assumptions!$G$48</f>
        <v>3166.0794193207421</v>
      </c>
      <c r="H37" s="455">
        <f>H21*Assumptions!$G$48</f>
        <v>1485.3761462408811</v>
      </c>
      <c r="I37" s="455">
        <f>I21*Assumptions!$G$48</f>
        <v>16264.249077657074</v>
      </c>
      <c r="J37" s="455">
        <f>J21*Assumptions!$G$48</f>
        <v>19140.684052498149</v>
      </c>
      <c r="K37" s="455">
        <f>K21*Assumptions!$G$48</f>
        <v>19127.430586668728</v>
      </c>
      <c r="L37" s="455">
        <f>L21*Assumptions!$G$48</f>
        <v>19129.462863842869</v>
      </c>
      <c r="M37" s="455">
        <f>M21*Assumptions!$G$48</f>
        <v>19115.984974240342</v>
      </c>
      <c r="N37" s="455">
        <f>N21*Assumptions!$G$48</f>
        <v>19117.78833916592</v>
      </c>
      <c r="O37" s="455">
        <f>O21*Assumptions!$G$48</f>
        <v>19104.076959069855</v>
      </c>
      <c r="P37" s="455">
        <f>P21*Assumptions!$G$48</f>
        <v>19105.64216369202</v>
      </c>
      <c r="Q37" s="455">
        <f>Q21*Assumptions!$G$48</f>
        <v>19091.687860086473</v>
      </c>
      <c r="R37" s="455">
        <f>R21*Assumptions!$G$48</f>
        <v>16814.272388290763</v>
      </c>
      <c r="S37" s="455">
        <f>S21*Assumptions!$G$48</f>
        <v>14536.729296509087</v>
      </c>
      <c r="T37" s="455">
        <f>T21*Assumptions!$G$48</f>
        <v>14530.090504839267</v>
      </c>
      <c r="U37" s="455">
        <f>U21*Assumptions!$G$48</f>
        <v>14523.318937336056</v>
      </c>
      <c r="V37" s="455">
        <f>V21*Assumptions!$G$48</f>
        <v>14516.411938482775</v>
      </c>
      <c r="W37" s="455">
        <f>W21*Assumptions!$G$48</f>
        <v>5293.1645690131054</v>
      </c>
      <c r="X37" s="455">
        <f>X21*Assumptions!$G$48</f>
        <v>-606.26653755916959</v>
      </c>
      <c r="Y37" s="455">
        <f>Y21*Assumptions!$G$48</f>
        <v>-145.03122166141475</v>
      </c>
      <c r="Z37" s="455">
        <f>Z21*Assumptions!$G$48</f>
        <v>-147.60133348593433</v>
      </c>
      <c r="AA37" s="455">
        <f>AA21*Assumptions!$G$48</f>
        <v>-151.22099562524465</v>
      </c>
      <c r="AB37" s="455">
        <f>AB21*Assumptions!$G$48</f>
        <v>-153.90829267686649</v>
      </c>
      <c r="AC37" s="455">
        <f>AC21*Assumptions!$G$48</f>
        <v>-156.98645853040375</v>
      </c>
      <c r="AD37" s="455">
        <f>AD21*Assumptions!$G$48</f>
        <v>-159.76843022406069</v>
      </c>
      <c r="AE37" s="455">
        <f>AE21*Assumptions!$G$48</f>
        <v>-163.68646893198468</v>
      </c>
      <c r="AF37" s="455">
        <f>AF21*Assumptions!$G$48</f>
        <v>-166.5952856841327</v>
      </c>
      <c r="AG37" s="455">
        <f>AG21*Assumptions!$G$48</f>
        <v>-30.973426041940911</v>
      </c>
    </row>
    <row r="38" spans="1:33" s="18" customFormat="1">
      <c r="A38" s="45" t="s">
        <v>350</v>
      </c>
      <c r="B38" s="18">
        <f t="shared" ref="B38:AG38" si="12">SUM(B36:B37)</f>
        <v>-129849.15023056601</v>
      </c>
      <c r="C38" s="18">
        <f t="shared" si="12"/>
        <v>8132.5466853145626</v>
      </c>
      <c r="D38" s="18">
        <f t="shared" si="12"/>
        <v>5631.3897949524035</v>
      </c>
      <c r="E38" s="18">
        <f t="shared" si="12"/>
        <v>5578.5458377239156</v>
      </c>
      <c r="F38" s="18">
        <f t="shared" si="12"/>
        <v>4946.7274214706858</v>
      </c>
      <c r="G38" s="18">
        <f t="shared" si="12"/>
        <v>3166.0794193207421</v>
      </c>
      <c r="H38" s="18">
        <f t="shared" si="12"/>
        <v>1485.3761462408811</v>
      </c>
      <c r="I38" s="18">
        <f t="shared" si="12"/>
        <v>16264.249077657074</v>
      </c>
      <c r="J38" s="18">
        <f t="shared" si="12"/>
        <v>19140.684052498149</v>
      </c>
      <c r="K38" s="18">
        <f t="shared" si="12"/>
        <v>19127.430586668728</v>
      </c>
      <c r="L38" s="18">
        <f t="shared" si="12"/>
        <v>19129.462863842869</v>
      </c>
      <c r="M38" s="18">
        <f t="shared" si="12"/>
        <v>19115.984974240342</v>
      </c>
      <c r="N38" s="18">
        <f t="shared" si="12"/>
        <v>19117.78833916592</v>
      </c>
      <c r="O38" s="18">
        <f t="shared" si="12"/>
        <v>19104.076959069855</v>
      </c>
      <c r="P38" s="18">
        <f t="shared" si="12"/>
        <v>19105.64216369202</v>
      </c>
      <c r="Q38" s="18">
        <f t="shared" si="12"/>
        <v>19091.687860086473</v>
      </c>
      <c r="R38" s="18">
        <f t="shared" si="12"/>
        <v>16814.272388290763</v>
      </c>
      <c r="S38" s="18">
        <f t="shared" si="12"/>
        <v>14536.729296509087</v>
      </c>
      <c r="T38" s="18">
        <f t="shared" si="12"/>
        <v>14530.090504839267</v>
      </c>
      <c r="U38" s="18">
        <f t="shared" si="12"/>
        <v>14523.318937336056</v>
      </c>
      <c r="V38" s="18">
        <f t="shared" si="12"/>
        <v>14516.411938482775</v>
      </c>
      <c r="W38" s="18">
        <f t="shared" si="12"/>
        <v>5293.1645690131054</v>
      </c>
      <c r="X38" s="18">
        <f t="shared" si="12"/>
        <v>-606.26653755916959</v>
      </c>
      <c r="Y38" s="18">
        <f t="shared" si="12"/>
        <v>-145.03122166141475</v>
      </c>
      <c r="Z38" s="18">
        <f t="shared" si="12"/>
        <v>-147.60133348593433</v>
      </c>
      <c r="AA38" s="18">
        <f t="shared" si="12"/>
        <v>-151.22099562524465</v>
      </c>
      <c r="AB38" s="18">
        <f t="shared" si="12"/>
        <v>-153.90829267686649</v>
      </c>
      <c r="AC38" s="18">
        <f t="shared" si="12"/>
        <v>-156.98645853040375</v>
      </c>
      <c r="AD38" s="18">
        <f t="shared" si="12"/>
        <v>-159.76843022406069</v>
      </c>
      <c r="AE38" s="18">
        <f t="shared" si="12"/>
        <v>-163.68646893198468</v>
      </c>
      <c r="AF38" s="18">
        <f t="shared" si="12"/>
        <v>-166.5952856841327</v>
      </c>
      <c r="AG38" s="18">
        <f t="shared" si="12"/>
        <v>-30.973426041940911</v>
      </c>
    </row>
    <row r="39" spans="1:33">
      <c r="B39" s="447" t="s">
        <v>1</v>
      </c>
      <c r="C39" s="453">
        <f>XIRR(B38:W38,B8:W8)</f>
        <v>6.4528879523277266E-2</v>
      </c>
    </row>
    <row r="40" spans="1:33">
      <c r="A40" s="45"/>
      <c r="B40" s="449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352</v>
      </c>
      <c r="B42" s="18">
        <f>-Assumptions!C11*Assumptions!$G$48</f>
        <v>-129849.15023056601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351</v>
      </c>
      <c r="B43" s="450">
        <f>B21*Assumptions!$G$48</f>
        <v>0</v>
      </c>
      <c r="C43" s="450">
        <f>C21*Assumptions!$G$48</f>
        <v>8132.5466853145626</v>
      </c>
      <c r="D43" s="450">
        <f>D21*Assumptions!$G$48</f>
        <v>5631.3897949524035</v>
      </c>
      <c r="E43" s="450">
        <f>E21*Assumptions!$G$48</f>
        <v>5578.5458377239156</v>
      </c>
      <c r="F43" s="450">
        <f>F21*Assumptions!$G$48</f>
        <v>4946.7274214706858</v>
      </c>
      <c r="G43" s="450">
        <f>G21*Assumptions!$G$48</f>
        <v>3166.0794193207421</v>
      </c>
      <c r="H43" s="450">
        <f>H21*Assumptions!$G$48</f>
        <v>1485.3761462408811</v>
      </c>
      <c r="I43" s="450">
        <f>I21*Assumptions!$G$48</f>
        <v>16264.249077657074</v>
      </c>
      <c r="J43" s="450">
        <f>J21*Assumptions!$G$48</f>
        <v>19140.684052498149</v>
      </c>
      <c r="K43" s="450">
        <f>K21*Assumptions!$G$48</f>
        <v>19127.430586668728</v>
      </c>
      <c r="L43" s="450">
        <f>L21*Assumptions!$G$48</f>
        <v>19129.462863842869</v>
      </c>
      <c r="M43" s="450">
        <f>M21*Assumptions!$G$48</f>
        <v>19115.984974240342</v>
      </c>
      <c r="N43" s="450">
        <f>N21*Assumptions!$G$48</f>
        <v>19117.78833916592</v>
      </c>
      <c r="O43" s="450">
        <f>O21*Assumptions!$G$48</f>
        <v>19104.076959069855</v>
      </c>
      <c r="P43" s="450">
        <f>P21*Assumptions!$G$48</f>
        <v>19105.64216369202</v>
      </c>
      <c r="Q43" s="450">
        <f>Q21*Assumptions!$G$48</f>
        <v>19091.687860086473</v>
      </c>
      <c r="R43" s="450">
        <f>R21*Assumptions!$G$48</f>
        <v>16814.272388290763</v>
      </c>
      <c r="S43" s="450">
        <f>S21*Assumptions!$G$48</f>
        <v>14536.729296509087</v>
      </c>
      <c r="T43" s="450">
        <f>T21*Assumptions!$G$48</f>
        <v>14530.090504839267</v>
      </c>
      <c r="U43" s="450">
        <f>U21*Assumptions!$G$48</f>
        <v>14523.318937336056</v>
      </c>
      <c r="V43" s="450">
        <f>V21*Assumptions!$G$48</f>
        <v>14516.411938482775</v>
      </c>
      <c r="W43" s="450">
        <f>W21*Assumptions!$G$48</f>
        <v>5293.1645690131054</v>
      </c>
      <c r="X43" s="450">
        <f>X21*Assumptions!$G$48</f>
        <v>-606.26653755916959</v>
      </c>
      <c r="Y43" s="450">
        <f>Y21*Assumptions!$G$48</f>
        <v>-145.03122166141475</v>
      </c>
      <c r="Z43" s="450">
        <f>Z21*Assumptions!$G$48</f>
        <v>-147.60133348593433</v>
      </c>
      <c r="AA43" s="450">
        <f>AA21*Assumptions!$G$48</f>
        <v>-151.22099562524465</v>
      </c>
      <c r="AB43" s="450">
        <f>AB21*Assumptions!$G$48</f>
        <v>-153.90829267686649</v>
      </c>
      <c r="AC43" s="450">
        <f>AC21*Assumptions!$G$48</f>
        <v>-156.98645853040375</v>
      </c>
      <c r="AD43" s="450">
        <f>AD21*Assumptions!$G$48</f>
        <v>-159.76843022406069</v>
      </c>
      <c r="AE43" s="450">
        <f>AE21*Assumptions!$G$48</f>
        <v>-163.68646893198468</v>
      </c>
      <c r="AF43" s="450">
        <f>AF21*Assumptions!$G$48</f>
        <v>-166.5952856841327</v>
      </c>
      <c r="AG43" s="450">
        <f>AG21*Assumptions!$G$48</f>
        <v>-30.973426041940911</v>
      </c>
    </row>
    <row r="44" spans="1:33">
      <c r="A44" s="56" t="s">
        <v>120</v>
      </c>
      <c r="B44" s="309">
        <v>0</v>
      </c>
      <c r="C44" s="309">
        <v>0</v>
      </c>
      <c r="D44" s="309">
        <v>0</v>
      </c>
      <c r="E44" s="309">
        <v>0</v>
      </c>
      <c r="F44" s="309">
        <v>0</v>
      </c>
      <c r="G44" s="309">
        <v>0</v>
      </c>
      <c r="H44" s="309">
        <v>0</v>
      </c>
      <c r="I44" s="309">
        <v>0</v>
      </c>
      <c r="J44" s="309">
        <v>0</v>
      </c>
      <c r="K44" s="309">
        <v>0</v>
      </c>
      <c r="L44" s="309">
        <v>0</v>
      </c>
      <c r="M44" s="309">
        <v>0</v>
      </c>
      <c r="N44" s="309">
        <v>0</v>
      </c>
      <c r="O44" s="309">
        <v>0</v>
      </c>
      <c r="P44" s="309">
        <v>0</v>
      </c>
      <c r="Q44" s="309">
        <v>0</v>
      </c>
      <c r="R44" s="309">
        <v>0</v>
      </c>
      <c r="S44" s="309">
        <v>0</v>
      </c>
      <c r="T44" s="309">
        <v>0</v>
      </c>
      <c r="U44" s="309">
        <v>0</v>
      </c>
      <c r="V44" s="309">
        <v>0</v>
      </c>
      <c r="W44" s="309">
        <v>0</v>
      </c>
      <c r="X44" s="309">
        <v>0</v>
      </c>
      <c r="Y44" s="309">
        <v>0</v>
      </c>
      <c r="Z44" s="309">
        <v>0</v>
      </c>
      <c r="AA44" s="309">
        <v>0</v>
      </c>
      <c r="AB44" s="309">
        <v>0</v>
      </c>
      <c r="AC44" s="309">
        <v>0</v>
      </c>
      <c r="AD44" s="309">
        <v>0</v>
      </c>
      <c r="AE44" s="309">
        <v>0</v>
      </c>
      <c r="AF44" s="309">
        <v>0</v>
      </c>
      <c r="AG44" s="309">
        <f>Assumptions!H23*IS!AF32*Assumptions!G48</f>
        <v>-3551.6893805948166</v>
      </c>
    </row>
    <row r="45" spans="1:33">
      <c r="A45" s="56" t="s">
        <v>350</v>
      </c>
      <c r="B45" s="18">
        <f t="shared" ref="B45:AG45" si="13">SUM(B42:B44)</f>
        <v>-129849.15023056601</v>
      </c>
      <c r="C45" s="18">
        <f t="shared" si="13"/>
        <v>8132.5466853145626</v>
      </c>
      <c r="D45" s="18">
        <f t="shared" si="13"/>
        <v>5631.3897949524035</v>
      </c>
      <c r="E45" s="18">
        <f t="shared" si="13"/>
        <v>5578.5458377239156</v>
      </c>
      <c r="F45" s="18">
        <f t="shared" si="13"/>
        <v>4946.7274214706858</v>
      </c>
      <c r="G45" s="18">
        <f t="shared" si="13"/>
        <v>3166.0794193207421</v>
      </c>
      <c r="H45" s="18">
        <f t="shared" si="13"/>
        <v>1485.3761462408811</v>
      </c>
      <c r="I45" s="18">
        <f t="shared" si="13"/>
        <v>16264.249077657074</v>
      </c>
      <c r="J45" s="18">
        <f t="shared" si="13"/>
        <v>19140.684052498149</v>
      </c>
      <c r="K45" s="18">
        <f t="shared" si="13"/>
        <v>19127.430586668728</v>
      </c>
      <c r="L45" s="18">
        <f t="shared" si="13"/>
        <v>19129.462863842869</v>
      </c>
      <c r="M45" s="18">
        <f t="shared" si="13"/>
        <v>19115.984974240342</v>
      </c>
      <c r="N45" s="18">
        <f t="shared" si="13"/>
        <v>19117.78833916592</v>
      </c>
      <c r="O45" s="18">
        <f t="shared" si="13"/>
        <v>19104.076959069855</v>
      </c>
      <c r="P45" s="18">
        <f t="shared" si="13"/>
        <v>19105.64216369202</v>
      </c>
      <c r="Q45" s="18">
        <f t="shared" si="13"/>
        <v>19091.687860086473</v>
      </c>
      <c r="R45" s="18">
        <f t="shared" si="13"/>
        <v>16814.272388290763</v>
      </c>
      <c r="S45" s="18">
        <f t="shared" si="13"/>
        <v>14536.729296509087</v>
      </c>
      <c r="T45" s="18">
        <f t="shared" si="13"/>
        <v>14530.090504839267</v>
      </c>
      <c r="U45" s="18">
        <f t="shared" si="13"/>
        <v>14523.318937336056</v>
      </c>
      <c r="V45" s="18">
        <f t="shared" si="13"/>
        <v>14516.411938482775</v>
      </c>
      <c r="W45" s="18">
        <f t="shared" si="13"/>
        <v>5293.1645690131054</v>
      </c>
      <c r="X45" s="18">
        <f t="shared" si="13"/>
        <v>-606.26653755916959</v>
      </c>
      <c r="Y45" s="18">
        <f t="shared" si="13"/>
        <v>-145.03122166141475</v>
      </c>
      <c r="Z45" s="18">
        <f t="shared" si="13"/>
        <v>-147.60133348593433</v>
      </c>
      <c r="AA45" s="18">
        <f t="shared" si="13"/>
        <v>-151.22099562524465</v>
      </c>
      <c r="AB45" s="18">
        <f t="shared" si="13"/>
        <v>-153.90829267686649</v>
      </c>
      <c r="AC45" s="18">
        <f t="shared" si="13"/>
        <v>-156.98645853040375</v>
      </c>
      <c r="AD45" s="18">
        <f t="shared" si="13"/>
        <v>-159.76843022406069</v>
      </c>
      <c r="AE45" s="18">
        <f t="shared" si="13"/>
        <v>-163.68646893198468</v>
      </c>
      <c r="AF45" s="18">
        <f t="shared" si="13"/>
        <v>-166.5952856841327</v>
      </c>
      <c r="AG45" s="18">
        <f t="shared" si="13"/>
        <v>-3582.6628066367575</v>
      </c>
    </row>
    <row r="46" spans="1:33">
      <c r="A46" s="13"/>
      <c r="B46" s="447" t="s">
        <v>1</v>
      </c>
      <c r="C46" s="453">
        <f>XIRR(B45:W45,B8:W8)</f>
        <v>6.4528879523277266E-2</v>
      </c>
    </row>
    <row r="47" spans="1:33">
      <c r="A47" s="56"/>
      <c r="B47" s="449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352</v>
      </c>
      <c r="B49" s="18">
        <f>-Assumptions!C11*Assumptions!G48</f>
        <v>-129849.15023056601</v>
      </c>
    </row>
    <row r="50" spans="1:33" s="18" customFormat="1">
      <c r="A50" s="56" t="s">
        <v>351</v>
      </c>
      <c r="B50" s="18">
        <f>+B21*Assumptions!$G$48</f>
        <v>0</v>
      </c>
      <c r="C50" s="18">
        <f>+C21*Assumptions!$G$48</f>
        <v>8132.5466853145626</v>
      </c>
      <c r="D50" s="18">
        <f>+D21*Assumptions!$G$48</f>
        <v>5631.3897949524035</v>
      </c>
      <c r="E50" s="18">
        <f>+E21*Assumptions!$G$48</f>
        <v>5578.5458377239156</v>
      </c>
      <c r="F50" s="18">
        <f>+F21*Assumptions!$G$48</f>
        <v>4946.7274214706858</v>
      </c>
      <c r="G50" s="18">
        <f>+G21*Assumptions!$G$48</f>
        <v>3166.0794193207421</v>
      </c>
      <c r="H50" s="18">
        <f>+H21*Assumptions!$G$48</f>
        <v>1485.3761462408811</v>
      </c>
      <c r="I50" s="18">
        <f>+I21*Assumptions!$G$48</f>
        <v>16264.249077657074</v>
      </c>
      <c r="J50" s="18">
        <f>+J21*Assumptions!$G$48</f>
        <v>19140.684052498149</v>
      </c>
      <c r="K50" s="18">
        <f>+K21*Assumptions!$G$48</f>
        <v>19127.430586668728</v>
      </c>
      <c r="L50" s="18">
        <f>+L21*Assumptions!$G$48</f>
        <v>19129.462863842869</v>
      </c>
      <c r="M50" s="18">
        <f>+M21*Assumptions!$G$48</f>
        <v>19115.984974240342</v>
      </c>
      <c r="N50" s="18">
        <f>+N21*Assumptions!$G$48</f>
        <v>19117.78833916592</v>
      </c>
      <c r="O50" s="18">
        <f>+O21*Assumptions!$G$48</f>
        <v>19104.076959069855</v>
      </c>
      <c r="P50" s="18">
        <f>+P21*Assumptions!$G$48</f>
        <v>19105.64216369202</v>
      </c>
      <c r="Q50" s="18">
        <f>+Q21*Assumptions!$G$48</f>
        <v>19091.687860086473</v>
      </c>
      <c r="R50" s="18">
        <f>+R21*Assumptions!$G$48</f>
        <v>16814.272388290763</v>
      </c>
      <c r="S50" s="18">
        <f>+S21*Assumptions!$G$48</f>
        <v>14536.729296509087</v>
      </c>
      <c r="T50" s="18">
        <f>+T21*Assumptions!$G$48</f>
        <v>14530.090504839267</v>
      </c>
      <c r="U50" s="18">
        <f>+U21*Assumptions!$G$48</f>
        <v>14523.318937336056</v>
      </c>
      <c r="V50" s="18">
        <f>+V21*Assumptions!$G$48</f>
        <v>14516.411938482775</v>
      </c>
      <c r="W50" s="18">
        <f>+W21*Assumptions!$G$48</f>
        <v>5293.1645690131054</v>
      </c>
      <c r="X50" s="18">
        <f>+X21*Assumptions!$G$48</f>
        <v>-606.26653755916959</v>
      </c>
      <c r="Y50" s="18">
        <f>+Y21*Assumptions!$G$48</f>
        <v>-145.03122166141475</v>
      </c>
      <c r="Z50" s="18">
        <f>+Z21*Assumptions!$G$48</f>
        <v>-147.60133348593433</v>
      </c>
      <c r="AA50" s="18">
        <f>+AA21*Assumptions!$G$48</f>
        <v>-151.22099562524465</v>
      </c>
      <c r="AB50" s="18">
        <f>+AB21*Assumptions!$G$48</f>
        <v>-153.90829267686649</v>
      </c>
      <c r="AC50" s="18">
        <f>+AC21*Assumptions!$G$48</f>
        <v>-156.98645853040375</v>
      </c>
      <c r="AD50" s="18">
        <f>+AD21*Assumptions!$G$48</f>
        <v>-159.76843022406069</v>
      </c>
      <c r="AE50" s="18">
        <f>+AE21*Assumptions!$G$48</f>
        <v>-163.68646893198468</v>
      </c>
      <c r="AF50" s="18">
        <f>+AF21*Assumptions!$G$48</f>
        <v>-166.5952856841327</v>
      </c>
      <c r="AG50" s="18">
        <f>+AG21*Assumptions!$G$48</f>
        <v>-30.973426041940911</v>
      </c>
    </row>
    <row r="51" spans="1:33" s="18" customFormat="1">
      <c r="A51" s="56" t="s">
        <v>120</v>
      </c>
      <c r="B51" s="309">
        <v>0</v>
      </c>
      <c r="C51" s="309">
        <v>0</v>
      </c>
      <c r="D51" s="309">
        <v>0</v>
      </c>
      <c r="E51" s="309">
        <v>0</v>
      </c>
      <c r="F51" s="309">
        <v>0</v>
      </c>
      <c r="G51" s="309">
        <v>0</v>
      </c>
      <c r="H51" s="309">
        <v>0</v>
      </c>
      <c r="I51" s="309">
        <v>0</v>
      </c>
      <c r="J51" s="309">
        <v>0</v>
      </c>
      <c r="K51" s="309">
        <v>0</v>
      </c>
      <c r="L51" s="309">
        <v>0</v>
      </c>
      <c r="M51" s="309">
        <v>0</v>
      </c>
      <c r="N51" s="309">
        <v>0</v>
      </c>
      <c r="O51" s="309">
        <v>0</v>
      </c>
      <c r="P51" s="309">
        <v>0</v>
      </c>
      <c r="Q51" s="309">
        <v>0</v>
      </c>
      <c r="R51" s="309">
        <v>0</v>
      </c>
      <c r="S51" s="309">
        <v>0</v>
      </c>
      <c r="T51" s="309">
        <v>0</v>
      </c>
      <c r="U51" s="309">
        <v>0</v>
      </c>
      <c r="V51" s="309">
        <v>0</v>
      </c>
      <c r="W51" s="309">
        <f>AG51</f>
        <v>42301.429814878022</v>
      </c>
      <c r="X51" s="309">
        <v>0</v>
      </c>
      <c r="Y51" s="309">
        <v>0</v>
      </c>
      <c r="Z51" s="309">
        <v>0</v>
      </c>
      <c r="AA51" s="309">
        <v>0</v>
      </c>
      <c r="AB51" s="309">
        <v>0</v>
      </c>
      <c r="AC51" s="309">
        <v>0</v>
      </c>
      <c r="AD51" s="309">
        <v>0</v>
      </c>
      <c r="AE51" s="309">
        <v>0</v>
      </c>
      <c r="AF51" s="309">
        <v>0</v>
      </c>
      <c r="AG51" s="309">
        <f>Assumptions!H24*Assumptions!C60*Assumptions!G48</f>
        <v>42301.429814878022</v>
      </c>
    </row>
    <row r="52" spans="1:33" s="18" customFormat="1">
      <c r="A52" s="56" t="s">
        <v>350</v>
      </c>
      <c r="B52" s="18">
        <f>SUM(B49:B51)</f>
        <v>-129849.15023056601</v>
      </c>
      <c r="C52" s="18">
        <f t="shared" ref="C52:AG52" si="14">SUM(C49:C51)</f>
        <v>8132.5466853145626</v>
      </c>
      <c r="D52" s="18">
        <f t="shared" si="14"/>
        <v>5631.3897949524035</v>
      </c>
      <c r="E52" s="18">
        <f t="shared" si="14"/>
        <v>5578.5458377239156</v>
      </c>
      <c r="F52" s="18">
        <f t="shared" si="14"/>
        <v>4946.7274214706858</v>
      </c>
      <c r="G52" s="18">
        <f t="shared" si="14"/>
        <v>3166.0794193207421</v>
      </c>
      <c r="H52" s="18">
        <f t="shared" si="14"/>
        <v>1485.3761462408811</v>
      </c>
      <c r="I52" s="18">
        <f t="shared" si="14"/>
        <v>16264.249077657074</v>
      </c>
      <c r="J52" s="18">
        <f t="shared" si="14"/>
        <v>19140.684052498149</v>
      </c>
      <c r="K52" s="18">
        <f t="shared" si="14"/>
        <v>19127.430586668728</v>
      </c>
      <c r="L52" s="18">
        <f t="shared" si="14"/>
        <v>19129.462863842869</v>
      </c>
      <c r="M52" s="18">
        <f t="shared" si="14"/>
        <v>19115.984974240342</v>
      </c>
      <c r="N52" s="18">
        <f t="shared" si="14"/>
        <v>19117.78833916592</v>
      </c>
      <c r="O52" s="18">
        <f t="shared" si="14"/>
        <v>19104.076959069855</v>
      </c>
      <c r="P52" s="18">
        <f t="shared" si="14"/>
        <v>19105.64216369202</v>
      </c>
      <c r="Q52" s="18">
        <f t="shared" si="14"/>
        <v>19091.687860086473</v>
      </c>
      <c r="R52" s="18">
        <f t="shared" si="14"/>
        <v>16814.272388290763</v>
      </c>
      <c r="S52" s="18">
        <f t="shared" si="14"/>
        <v>14536.729296509087</v>
      </c>
      <c r="T52" s="18">
        <f t="shared" si="14"/>
        <v>14530.090504839267</v>
      </c>
      <c r="U52" s="18">
        <f t="shared" si="14"/>
        <v>14523.318937336056</v>
      </c>
      <c r="V52" s="18">
        <f t="shared" si="14"/>
        <v>14516.411938482775</v>
      </c>
      <c r="W52" s="18">
        <f t="shared" si="14"/>
        <v>47594.594383891126</v>
      </c>
      <c r="X52" s="18">
        <f t="shared" si="14"/>
        <v>-606.26653755916959</v>
      </c>
      <c r="Y52" s="18">
        <f t="shared" si="14"/>
        <v>-145.03122166141475</v>
      </c>
      <c r="Z52" s="18">
        <f t="shared" si="14"/>
        <v>-147.60133348593433</v>
      </c>
      <c r="AA52" s="18">
        <f t="shared" si="14"/>
        <v>-151.22099562524465</v>
      </c>
      <c r="AB52" s="18">
        <f t="shared" si="14"/>
        <v>-153.90829267686649</v>
      </c>
      <c r="AC52" s="18">
        <f t="shared" si="14"/>
        <v>-156.98645853040375</v>
      </c>
      <c r="AD52" s="18">
        <f t="shared" si="14"/>
        <v>-159.76843022406069</v>
      </c>
      <c r="AE52" s="18">
        <f t="shared" si="14"/>
        <v>-163.68646893198468</v>
      </c>
      <c r="AF52" s="18">
        <f t="shared" si="14"/>
        <v>-166.5952856841327</v>
      </c>
      <c r="AG52" s="18">
        <f t="shared" si="14"/>
        <v>42270.456388836079</v>
      </c>
    </row>
    <row r="53" spans="1:33">
      <c r="A53" s="13"/>
      <c r="B53" s="447" t="s">
        <v>1</v>
      </c>
      <c r="C53" s="453">
        <f>XIRR(B52:W52,B8:W8)</f>
        <v>7.1632239222526553E-2</v>
      </c>
    </row>
    <row r="54" spans="1:33">
      <c r="A54" s="56"/>
      <c r="B54" s="449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352</v>
      </c>
      <c r="B56" s="18">
        <f>-Assumptions!C11*Assumptions!G48</f>
        <v>-129849.15023056601</v>
      </c>
    </row>
    <row r="57" spans="1:33" s="18" customFormat="1">
      <c r="A57" s="56" t="s">
        <v>351</v>
      </c>
      <c r="B57" s="450">
        <f>B21*Assumptions!$G$48</f>
        <v>0</v>
      </c>
      <c r="C57" s="450">
        <f>C21*Assumptions!$G$48</f>
        <v>8132.5466853145626</v>
      </c>
      <c r="D57" s="450">
        <f>D21*Assumptions!$G$48</f>
        <v>5631.3897949524035</v>
      </c>
      <c r="E57" s="450">
        <f>E21*Assumptions!$G$48</f>
        <v>5578.5458377239156</v>
      </c>
      <c r="F57" s="450">
        <f>F21*Assumptions!$G$48</f>
        <v>4946.7274214706858</v>
      </c>
      <c r="G57" s="450">
        <f>G21*Assumptions!$G$48</f>
        <v>3166.0794193207421</v>
      </c>
      <c r="H57" s="450">
        <f>H21*Assumptions!$G$48</f>
        <v>1485.3761462408811</v>
      </c>
      <c r="I57" s="450">
        <f>I21*Assumptions!$G$48</f>
        <v>16264.249077657074</v>
      </c>
      <c r="J57" s="450">
        <f>J21*Assumptions!$G$48</f>
        <v>19140.684052498149</v>
      </c>
      <c r="K57" s="450">
        <f>K21*Assumptions!$G$48</f>
        <v>19127.430586668728</v>
      </c>
      <c r="L57" s="450">
        <f>L21*Assumptions!$G$48</f>
        <v>19129.462863842869</v>
      </c>
      <c r="M57" s="450">
        <f>M21*Assumptions!$G$48</f>
        <v>19115.984974240342</v>
      </c>
      <c r="N57" s="450">
        <f>N21*Assumptions!$G$48</f>
        <v>19117.78833916592</v>
      </c>
      <c r="O57" s="450">
        <f>O21*Assumptions!$G$48</f>
        <v>19104.076959069855</v>
      </c>
      <c r="P57" s="450">
        <f>P21*Assumptions!$G$48</f>
        <v>19105.64216369202</v>
      </c>
      <c r="Q57" s="450">
        <f>Q21*Assumptions!$G$48</f>
        <v>19091.687860086473</v>
      </c>
      <c r="R57" s="450">
        <f>R21*Assumptions!$G$48</f>
        <v>16814.272388290763</v>
      </c>
      <c r="S57" s="450">
        <f>S21*Assumptions!$G$48</f>
        <v>14536.729296509087</v>
      </c>
      <c r="T57" s="450">
        <f>T21*Assumptions!$G$48</f>
        <v>14530.090504839267</v>
      </c>
      <c r="U57" s="450">
        <f>U21*Assumptions!$G$48</f>
        <v>14523.318937336056</v>
      </c>
      <c r="V57" s="450">
        <f>V21*Assumptions!$G$48</f>
        <v>14516.411938482775</v>
      </c>
      <c r="W57" s="450">
        <f>W21*Assumptions!$G$48</f>
        <v>5293.1645690131054</v>
      </c>
      <c r="X57" s="450">
        <f>X21*Assumptions!$G$48</f>
        <v>-606.26653755916959</v>
      </c>
      <c r="Y57" s="450">
        <f>Y21*Assumptions!$G$48</f>
        <v>-145.03122166141475</v>
      </c>
      <c r="Z57" s="450">
        <f>Z21*Assumptions!$G$48</f>
        <v>-147.60133348593433</v>
      </c>
      <c r="AA57" s="450">
        <f>AA21*Assumptions!$G$48</f>
        <v>-151.22099562524465</v>
      </c>
      <c r="AB57" s="450">
        <f>AB21*Assumptions!$G$48</f>
        <v>-153.90829267686649</v>
      </c>
      <c r="AC57" s="450">
        <f>AC21*Assumptions!$G$48</f>
        <v>-156.98645853040375</v>
      </c>
      <c r="AD57" s="450">
        <f>AD21*Assumptions!$G$48</f>
        <v>-159.76843022406069</v>
      </c>
      <c r="AE57" s="450">
        <f>AE21*Assumptions!$G$48</f>
        <v>-163.68646893198468</v>
      </c>
      <c r="AF57" s="450">
        <f>AF21*Assumptions!$G$48</f>
        <v>-166.5952856841327</v>
      </c>
      <c r="AG57" s="450">
        <f>AG21*Assumptions!$G$48</f>
        <v>-30.973426041940911</v>
      </c>
    </row>
    <row r="58" spans="1:33" s="18" customFormat="1">
      <c r="A58" s="56" t="s">
        <v>120</v>
      </c>
      <c r="B58" s="309">
        <v>0</v>
      </c>
      <c r="C58" s="309">
        <v>0</v>
      </c>
      <c r="D58" s="309">
        <v>0</v>
      </c>
      <c r="E58" s="309">
        <v>0</v>
      </c>
      <c r="F58" s="309">
        <v>0</v>
      </c>
      <c r="G58" s="309">
        <v>0</v>
      </c>
      <c r="H58" s="309">
        <v>0</v>
      </c>
      <c r="I58" s="309">
        <v>0</v>
      </c>
      <c r="J58" s="309">
        <v>0</v>
      </c>
      <c r="K58" s="309">
        <v>0</v>
      </c>
      <c r="L58" s="309">
        <v>0</v>
      </c>
      <c r="M58" s="309">
        <v>0</v>
      </c>
      <c r="N58" s="309">
        <v>0</v>
      </c>
      <c r="O58" s="309">
        <v>0</v>
      </c>
      <c r="P58" s="309">
        <v>0</v>
      </c>
      <c r="Q58" s="309">
        <v>0</v>
      </c>
      <c r="R58" s="309">
        <v>0</v>
      </c>
      <c r="S58" s="309">
        <v>0</v>
      </c>
      <c r="T58" s="309">
        <v>0</v>
      </c>
      <c r="U58" s="309">
        <v>0</v>
      </c>
      <c r="V58" s="309">
        <v>0</v>
      </c>
      <c r="W58" s="309">
        <f>AG58</f>
        <v>69600</v>
      </c>
      <c r="X58" s="309">
        <v>0</v>
      </c>
      <c r="Y58" s="309">
        <v>0</v>
      </c>
      <c r="Z58" s="309">
        <v>0</v>
      </c>
      <c r="AA58" s="309">
        <v>0</v>
      </c>
      <c r="AB58" s="309">
        <v>0</v>
      </c>
      <c r="AC58" s="309">
        <v>0</v>
      </c>
      <c r="AD58" s="309">
        <v>0</v>
      </c>
      <c r="AE58" s="309">
        <v>0</v>
      </c>
      <c r="AF58" s="309">
        <v>0</v>
      </c>
      <c r="AG58" s="309">
        <f>Assumptions!H25*Assumptions!H68*Assumptions!G48</f>
        <v>69600</v>
      </c>
    </row>
    <row r="59" spans="1:33" s="18" customFormat="1" ht="12" customHeight="1">
      <c r="A59" s="56" t="s">
        <v>350</v>
      </c>
      <c r="B59" s="18">
        <f>SUM(B56:B58)</f>
        <v>-129849.15023056601</v>
      </c>
      <c r="C59" s="18">
        <f t="shared" ref="C59:AG59" si="15">SUM(C56:C58)</f>
        <v>8132.5466853145626</v>
      </c>
      <c r="D59" s="18">
        <f t="shared" si="15"/>
        <v>5631.3897949524035</v>
      </c>
      <c r="E59" s="18">
        <f t="shared" si="15"/>
        <v>5578.5458377239156</v>
      </c>
      <c r="F59" s="18">
        <f t="shared" si="15"/>
        <v>4946.7274214706858</v>
      </c>
      <c r="G59" s="18">
        <f t="shared" si="15"/>
        <v>3166.0794193207421</v>
      </c>
      <c r="H59" s="18">
        <f t="shared" si="15"/>
        <v>1485.3761462408811</v>
      </c>
      <c r="I59" s="18">
        <f t="shared" si="15"/>
        <v>16264.249077657074</v>
      </c>
      <c r="J59" s="18">
        <f t="shared" si="15"/>
        <v>19140.684052498149</v>
      </c>
      <c r="K59" s="18">
        <f t="shared" si="15"/>
        <v>19127.430586668728</v>
      </c>
      <c r="L59" s="18">
        <f t="shared" si="15"/>
        <v>19129.462863842869</v>
      </c>
      <c r="M59" s="18">
        <f t="shared" si="15"/>
        <v>19115.984974240342</v>
      </c>
      <c r="N59" s="18">
        <f t="shared" si="15"/>
        <v>19117.78833916592</v>
      </c>
      <c r="O59" s="18">
        <f t="shared" si="15"/>
        <v>19104.076959069855</v>
      </c>
      <c r="P59" s="18">
        <f t="shared" si="15"/>
        <v>19105.64216369202</v>
      </c>
      <c r="Q59" s="18">
        <f t="shared" si="15"/>
        <v>19091.687860086473</v>
      </c>
      <c r="R59" s="18">
        <f t="shared" si="15"/>
        <v>16814.272388290763</v>
      </c>
      <c r="S59" s="18">
        <f t="shared" si="15"/>
        <v>14536.729296509087</v>
      </c>
      <c r="T59" s="18">
        <f t="shared" si="15"/>
        <v>14530.090504839267</v>
      </c>
      <c r="U59" s="18">
        <f t="shared" si="15"/>
        <v>14523.318937336056</v>
      </c>
      <c r="V59" s="18">
        <f t="shared" si="15"/>
        <v>14516.411938482775</v>
      </c>
      <c r="W59" s="18">
        <f t="shared" si="15"/>
        <v>74893.164569013112</v>
      </c>
      <c r="X59" s="18">
        <f t="shared" si="15"/>
        <v>-606.26653755916959</v>
      </c>
      <c r="Y59" s="18">
        <f t="shared" si="15"/>
        <v>-145.03122166141475</v>
      </c>
      <c r="Z59" s="18">
        <f t="shared" si="15"/>
        <v>-147.60133348593433</v>
      </c>
      <c r="AA59" s="18">
        <f t="shared" si="15"/>
        <v>-151.22099562524465</v>
      </c>
      <c r="AB59" s="18">
        <f t="shared" si="15"/>
        <v>-153.90829267686649</v>
      </c>
      <c r="AC59" s="18">
        <f t="shared" si="15"/>
        <v>-156.98645853040375</v>
      </c>
      <c r="AD59" s="18">
        <f t="shared" si="15"/>
        <v>-159.76843022406069</v>
      </c>
      <c r="AE59" s="18">
        <f t="shared" si="15"/>
        <v>-163.68646893198468</v>
      </c>
      <c r="AF59" s="18">
        <f t="shared" si="15"/>
        <v>-166.5952856841327</v>
      </c>
      <c r="AG59" s="18">
        <f t="shared" si="15"/>
        <v>69569.026573958065</v>
      </c>
    </row>
    <row r="60" spans="1:33">
      <c r="A60" s="13"/>
      <c r="B60" s="447" t="s">
        <v>1</v>
      </c>
      <c r="C60" s="453">
        <f>XIRR(B59:W59,B8:W8)</f>
        <v>7.5602433085441609E-2</v>
      </c>
    </row>
    <row r="61" spans="1:33">
      <c r="A61" s="56"/>
      <c r="B61" s="449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Notes</vt:lpstr>
      <vt:lpstr>Tracking Sheet</vt:lpstr>
      <vt:lpstr>Assumptions</vt:lpstr>
      <vt:lpstr>Cost Details</vt:lpstr>
      <vt:lpstr>Price_Technical Assumption</vt:lpstr>
      <vt:lpstr>Fuel Oil Curve</vt:lpstr>
      <vt:lpstr>IS</vt:lpstr>
      <vt:lpstr>BS</vt:lpstr>
      <vt:lpstr>Returns Analysis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2000-04-17T19:21:20Z</cp:lastPrinted>
  <dcterms:created xsi:type="dcterms:W3CDTF">1999-04-02T01:38:38Z</dcterms:created>
  <dcterms:modified xsi:type="dcterms:W3CDTF">2023-09-10T11:56:08Z</dcterms:modified>
</cp:coreProperties>
</file>