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18" firstSheet="3" activeTab="10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Debt Structs" sheetId="32" r:id="rId12"/>
    <sheet name="Performance" sheetId="27" r:id="rId13"/>
    <sheet name="Perf." sheetId="28" r:id="rId14"/>
    <sheet name="BS" sheetId="19" state="hidden" r:id="rId15"/>
    <sheet name="Debt" sheetId="6" r:id="rId16"/>
    <sheet name="Depreciation" sheetId="7" r:id="rId17"/>
    <sheet name="Taxes" sheetId="8" r:id="rId18"/>
    <sheet name="IDC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4">BS!$A$2:$AH$9</definedName>
    <definedName name="_xlnm.Print_Area" localSheetId="9">'Cash Flows'!$A$1:$L$53</definedName>
    <definedName name="_xlnm.Print_Area" localSheetId="15">Debt!$A$2:$AF$69</definedName>
    <definedName name="_xlnm.Print_Area" localSheetId="11">'Debt Structs'!$A$2:$P$44</definedName>
    <definedName name="_xlnm.Print_Area" localSheetId="16">Depreciation!$A$2:$X$50</definedName>
    <definedName name="_xlnm.Print_Area" localSheetId="18">IDC!$A$2:$L$59</definedName>
    <definedName name="_xlnm.Print_Area" localSheetId="3">IS!$A$2:$W$45</definedName>
    <definedName name="_xlnm.Print_Area" localSheetId="7">'Returns Analysis'!$A$1:$W$60</definedName>
    <definedName name="_xlnm.Print_Area" localSheetId="17">Taxes!$A$2:$AF$41</definedName>
    <definedName name="_xlnm.Print_Titles" localSheetId="14">BS!$A:$A</definedName>
    <definedName name="_xlnm.Print_Titles" localSheetId="15">Debt!$A:$A</definedName>
    <definedName name="_xlnm.Print_Titles" localSheetId="16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7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B13" i="33"/>
  <c r="C13" i="33"/>
  <c r="D13" i="33"/>
  <c r="E13" i="33"/>
  <c r="F13" i="33"/>
  <c r="G13" i="33"/>
  <c r="H13" i="33"/>
  <c r="I13" i="33"/>
  <c r="J13" i="33"/>
  <c r="K13" i="33"/>
  <c r="L13" i="33"/>
  <c r="C15" i="33"/>
  <c r="D15" i="33"/>
  <c r="E15" i="33"/>
  <c r="F15" i="33"/>
  <c r="G15" i="33"/>
  <c r="H15" i="33"/>
  <c r="I15" i="33"/>
  <c r="J15" i="33"/>
  <c r="K15" i="33"/>
  <c r="L15" i="33"/>
  <c r="C16" i="33"/>
  <c r="D16" i="33"/>
  <c r="E16" i="33"/>
  <c r="F16" i="33"/>
  <c r="G16" i="33"/>
  <c r="H16" i="33"/>
  <c r="I16" i="33"/>
  <c r="J16" i="33"/>
  <c r="K16" i="33"/>
  <c r="L16" i="33"/>
  <c r="C17" i="33"/>
  <c r="D17" i="33"/>
  <c r="E17" i="33"/>
  <c r="F17" i="33"/>
  <c r="G17" i="33"/>
  <c r="B19" i="33"/>
  <c r="C19" i="33"/>
  <c r="D19" i="33"/>
  <c r="E19" i="33"/>
  <c r="F19" i="33"/>
  <c r="G19" i="33"/>
  <c r="H19" i="33"/>
  <c r="I19" i="33"/>
  <c r="J19" i="33"/>
  <c r="K19" i="33"/>
  <c r="L19" i="33"/>
  <c r="B23" i="33"/>
  <c r="C23" i="33"/>
  <c r="D23" i="33"/>
  <c r="E23" i="33"/>
  <c r="F23" i="33"/>
  <c r="G23" i="33"/>
  <c r="H23" i="33"/>
  <c r="I23" i="33"/>
  <c r="J23" i="33"/>
  <c r="K23" i="33"/>
  <c r="L23" i="33"/>
  <c r="B32" i="33"/>
  <c r="B33" i="33"/>
  <c r="C33" i="33"/>
  <c r="D33" i="33"/>
  <c r="E33" i="33"/>
  <c r="F33" i="33"/>
  <c r="G33" i="33"/>
  <c r="G34" i="33"/>
  <c r="B35" i="33"/>
  <c r="C35" i="33"/>
  <c r="D35" i="33"/>
  <c r="E35" i="33"/>
  <c r="F35" i="33"/>
  <c r="G35" i="33"/>
  <c r="C36" i="33"/>
  <c r="B40" i="33"/>
  <c r="B41" i="33"/>
  <c r="C41" i="33"/>
  <c r="D41" i="33"/>
  <c r="E41" i="33"/>
  <c r="F41" i="33"/>
  <c r="G41" i="33"/>
  <c r="H41" i="33"/>
  <c r="I41" i="33"/>
  <c r="I42" i="33"/>
  <c r="B43" i="33"/>
  <c r="C43" i="33"/>
  <c r="D43" i="33"/>
  <c r="E43" i="33"/>
  <c r="F43" i="33"/>
  <c r="G43" i="33"/>
  <c r="H43" i="33"/>
  <c r="I43" i="33"/>
  <c r="C44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L50" i="33"/>
  <c r="B51" i="33"/>
  <c r="C51" i="33"/>
  <c r="D51" i="33"/>
  <c r="E51" i="33"/>
  <c r="F51" i="33"/>
  <c r="G51" i="33"/>
  <c r="H51" i="33"/>
  <c r="I51" i="33"/>
  <c r="J51" i="33"/>
  <c r="K51" i="33"/>
  <c r="L51" i="33"/>
  <c r="C52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J50" i="32"/>
  <c r="M50" i="32"/>
  <c r="J51" i="32"/>
  <c r="M51" i="32"/>
  <c r="J52" i="32"/>
  <c r="M52" i="32"/>
  <c r="M53" i="32"/>
  <c r="J54" i="32"/>
  <c r="M54" i="32"/>
  <c r="J57" i="32"/>
  <c r="M57" i="32"/>
  <c r="N57" i="32"/>
  <c r="O57" i="32"/>
  <c r="J58" i="32"/>
  <c r="M58" i="32"/>
  <c r="N58" i="32"/>
  <c r="O58" i="32"/>
  <c r="J59" i="32"/>
  <c r="M59" i="32"/>
  <c r="N59" i="32"/>
  <c r="O59" i="32"/>
  <c r="J60" i="32"/>
  <c r="L60" i="32"/>
  <c r="M60" i="32"/>
  <c r="N60" i="32"/>
  <c r="O60" i="32"/>
  <c r="O62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<sst xmlns="http://schemas.openxmlformats.org/spreadsheetml/2006/main" count="871" uniqueCount="676">
  <si>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</si>
  <si>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</si>
  <si>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</si>
  <si>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</si>
  <si>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</si>
  <si>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</si>
  <si>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</si>
  <si>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</si>
  <si>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</si>
  <si>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</si>
  <si>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</si>
  <si>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</si>
  <si>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</si>
  <si>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</si>
  <si>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</si>
  <si>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</si>
  <si>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</si>
  <si>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</si>
  <si>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</si>
  <si>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</si>
  <si>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</si>
  <si>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</si>
  <si>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</si>
  <si>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</si>
  <si>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</si>
  <si>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</si>
  <si>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</si>
  <si>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</si>
  <si>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</si>
  <si>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</si>
  <si>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</si>
  <si>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</si>
  <si>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</si>
  <si>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</si>
  <si>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</si>
  <si>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</si>
  <si>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</si>
  <si>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</si>
  <si>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</si>
  <si>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</si>
  <si>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</si>
  <si>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</si>
  <si>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</si>
  <si>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</si>
  <si>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</si>
  <si>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</si>
  <si>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</si>
  <si>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</si>
  <si>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</si>
  <si>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</si>
  <si>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</si>
  <si>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</si>
  <si>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</si>
  <si>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</si>
  <si>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</si>
  <si>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</si>
  <si>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</si>
  <si>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</si>
  <si>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</si>
  <si>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</si>
  <si>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</si>
  <si>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</si>
  <si>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</si>
  <si>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</si>
  <si>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</si>
  <si>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</si>
  <si>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</si>
  <si>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</si>
  <si>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</si>
  <si>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</si>
  <si>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</si>
  <si>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</si>
  <si>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</si>
  <si>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</si>
  <si>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</si>
  <si>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</si>
  <si>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</si>
  <si>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</si>
  <si>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</si>
  <si>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</si>
  <si>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</si>
  <si>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</si>
  <si>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</si>
  <si>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</si>
  <si>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</si>
  <si>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</si>
  <si>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</si>
  <si>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</si>
  <si>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</si>
  <si>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</si>
  <si>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</si>
  <si>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</si>
  <si>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</si>
  <si>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</si>
  <si>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</si>
  <si>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</si>
  <si>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</si>
  <si>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</si>
  <si>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</si>
  <si>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</si>
  <si>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</si>
  <si>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</si>
  <si>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</si>
  <si>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</si>
  <si>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</si>
  <si>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</si>
  <si>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</si>
  <si>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</si>
  <si>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</si>
  <si>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</si>
  <si>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</si>
  <si>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</si>
  <si>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</si>
  <si>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</si>
  <si>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</si>
  <si>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</si>
  <si>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</si>
  <si>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</si>
  <si>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</si>
  <si>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</si>
  <si>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</si>
  <si>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</si>
  <si>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</si>
  <si>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</si>
  <si>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</si>
  <si>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</si>
  <si>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</si>
  <si>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</si>
  <si>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</si>
  <si>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</si>
  <si>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</si>
  <si>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</si>
  <si>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</si>
  <si>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</si>
  <si>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</si>
  <si>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</si>
  <si>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</si>
  <si>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</si>
  <si>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</si>
  <si>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</si>
  <si>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</si>
  <si>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</si>
  <si>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</si>
  <si>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</si>
  <si>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</si>
  <si>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</si>
  <si>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</si>
  <si>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</si>
  <si>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</si>
  <si>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</si>
  <si>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</si>
  <si>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</si>
  <si>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</si>
  <si>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</si>
  <si>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</si>
  <si>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</si>
  <si>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</si>
  <si>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</si>
  <si>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</si>
  <si>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</si>
  <si>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</si>
  <si>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</si>
  <si>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</si>
  <si>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</si>
  <si>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</si>
  <si>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</si>
  <si>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</si>
  <si>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</si>
  <si>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</si>
  <si>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</si>
  <si>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</si>
  <si>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</si>
  <si>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</si>
  <si>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</si>
  <si>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</si>
  <si>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</si>
  <si>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</si>
  <si>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</si>
  <si>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</si>
  <si>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</si>
  <si>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</si>
  <si>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</si>
  <si>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</si>
  <si>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</si>
  <si>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</si>
  <si>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</si>
  <si>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</si>
  <si>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</si>
  <si>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</si>
  <si>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</si>
  <si>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</si>
  <si>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</si>
  <si>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</si>
  <si>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</si>
  <si>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</si>
  <si>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</si>
  <si>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</si>
  <si>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</si>
  <si>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</si>
  <si>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</si>
  <si>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</si>
  <si>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</si>
  <si>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</si>
  <si>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</si>
  <si>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</si>
  <si>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</si>
  <si>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</si>
  <si>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</si>
  <si>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</si>
  <si>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</si>
  <si>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</si>
  <si>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</si>
  <si>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</si>
  <si>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</si>
  <si>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</si>
  <si>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</si>
  <si>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</si>
  <si>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</si>
  <si>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</si>
  <si>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</si>
  <si>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</si>
  <si>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</si>
  <si>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</si>
  <si>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</si>
  <si>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</si>
  <si>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</si>
  <si>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</si>
  <si>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</si>
  <si>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</si>
  <si>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</si>
  <si>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</si>
  <si>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</si>
  <si>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</si>
  <si>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</si>
  <si>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</si>
  <si>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</si>
  <si>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</si>
  <si>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</si>
  <si>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</si>
  <si>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</si>
  <si>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</si>
  <si>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</si>
  <si>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</si>
  <si>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</si>
  <si>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</si>
  <si>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</si>
  <si>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</si>
  <si>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</si>
  <si>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</si>
  <si>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</si>
  <si>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</si>
  <si>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</si>
  <si>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</si>
  <si>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</si>
  <si>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</si>
  <si>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</si>
  <si>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</si>
  <si>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</si>
  <si>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</si>
  <si>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</si>
  <si>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</si>
  <si>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</si>
  <si>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</si>
  <si>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</si>
  <si>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</si>
  <si>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</si>
  <si>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</si>
  <si>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</si>
  <si>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</si>
  <si>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</si>
  <si>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</si>
  <si>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</si>
  <si>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</si>
  <si>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</si>
  <si>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</si>
  <si>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</si>
  <si>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</si>
  <si>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</si>
  <si>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</si>
  <si>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</si>
  <si>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</si>
  <si>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</si>
  <si>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</si>
  <si>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</si>
  <si>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</si>
  <si>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</si>
  <si>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</si>
  <si>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</si>
  <si>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</si>
  <si>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</si>
  <si>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</si>
  <si>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</si>
  <si>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</si>
  <si>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</si>
  <si>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</si>
  <si>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</si>
  <si>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</si>
  <si>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</si>
  <si>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</si>
  <si>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</si>
  <si>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</si>
  <si>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</si>
  <si>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</si>
  <si>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</si>
  <si>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</si>
  <si>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</si>
  <si>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</si>
  <si>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</si>
  <si>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</si>
  <si>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</si>
  <si>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</si>
  <si>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</si>
  <si>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</si>
  <si>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</si>
  <si>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</si>
  <si>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</si>
  <si>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</si>
  <si>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</si>
  <si>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</si>
  <si>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</si>
  <si>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</si>
  <si>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</si>
  <si>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</si>
  <si>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</si>
  <si>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</si>
  <si>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</si>
  <si>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</si>
  <si>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</si>
  <si>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</si>
  <si>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</si>
  <si>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</si>
  <si>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</si>
  <si>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</si>
  <si>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</si>
  <si>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</si>
  <si>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</si>
  <si>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</si>
  <si>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</si>
  <si>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</si>
  <si>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</si>
  <si>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</si>
  <si>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</si>
  <si>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</si>
  <si>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</si>
  <si>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</si>
  <si>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</si>
  <si>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</si>
  <si>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</si>
  <si>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</si>
  <si>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</si>
  <si>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</si>
  <si>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</si>
  <si>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</si>
  <si>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</si>
  <si>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</si>
  <si>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</si>
  <si>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</si>
  <si>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</si>
  <si>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</si>
  <si>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</si>
  <si>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</si>
  <si>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</si>
  <si>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</si>
  <si>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</si>
  <si>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</si>
  <si>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</si>
  <si>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</si>
  <si>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</si>
  <si>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</si>
  <si>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</si>
  <si>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</si>
  <si>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</si>
  <si>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</si>
  <si>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</si>
  <si>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</si>
  <si>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</si>
  <si>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</si>
  <si>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</si>
  <si>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</si>
  <si>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</si>
  <si>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</si>
  <si>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</si>
  <si>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</si>
  <si>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</si>
  <si>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</si>
  <si>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</si>
  <si>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</si>
  <si>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</si>
  <si>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</si>
  <si>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</si>
  <si>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</si>
  <si>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</si>
  <si>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</si>
  <si>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</si>
  <si>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</si>
  <si>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</si>
  <si>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</si>
  <si>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</si>
  <si>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</si>
  <si>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</si>
  <si>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</si>
  <si>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</si>
  <si>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</si>
  <si>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</si>
  <si>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</si>
  <si>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</si>
  <si>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</si>
  <si>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</si>
  <si>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</si>
  <si>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</si>
  <si>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</si>
  <si>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</si>
  <si>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</si>
  <si>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</si>
  <si>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</si>
  <si>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</si>
  <si>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</si>
  <si>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</si>
  <si>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</si>
  <si>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</si>
  <si>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</si>
  <si>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</si>
  <si>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</si>
  <si>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</si>
  <si>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</si>
  <si>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</si>
  <si>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</si>
  <si>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</si>
  <si>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</si>
  <si>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</si>
  <si>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</si>
  <si>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</si>
  <si>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</si>
  <si>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</si>
  <si>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</si>
  <si>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</si>
  <si>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</si>
  <si>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</si>
  <si>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</si>
  <si>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</si>
  <si>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</si>
  <si>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</si>
  <si>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</si>
  <si>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</si>
  <si>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</si>
  <si>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</si>
  <si>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</si>
  <si>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</si>
  <si>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</si>
  <si>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</si>
  <si>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</si>
  <si>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</si>
  <si>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</si>
  <si>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</si>
  <si>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</si>
  <si>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</si>
  <si>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</si>
  <si>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</si>
  <si>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</si>
  <si>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</si>
  <si>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</si>
  <si>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</si>
  <si>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</si>
  <si>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</si>
  <si>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</si>
  <si>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</si>
  <si>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</si>
  <si>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</si>
  <si>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</si>
  <si>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</si>
  <si>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</si>
  <si>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</si>
  <si>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</si>
  <si>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</si>
  <si>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</si>
  <si>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</si>
  <si>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</si>
  <si>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</si>
  <si>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</si>
  <si>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</si>
  <si>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</si>
  <si>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</si>
  <si>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</si>
  <si>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</si>
  <si>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</si>
  <si>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</si>
  <si>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</si>
  <si>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</si>
  <si>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</si>
  <si>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</si>
  <si>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</si>
  <si>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</si>
  <si>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</si>
  <si>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</si>
  <si>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</si>
  <si>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</si>
  <si>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</si>
  <si>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</si>
  <si>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</si>
  <si>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</si>
  <si>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</si>
  <si>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</si>
  <si>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</si>
  <si>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</si>
  <si>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</si>
  <si>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</si>
  <si>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</si>
  <si>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</si>
  <si>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</si>
  <si>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</si>
  <si>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</si>
  <si>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</si>
  <si>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</si>
  <si>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</si>
  <si>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</si>
  <si>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</si>
  <si>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</si>
  <si>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</si>
  <si>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</si>
  <si>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</si>
  <si>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</si>
  <si>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</si>
  <si>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</si>
  <si>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</si>
  <si>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</si>
  <si>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</si>
  <si>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</si>
  <si>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</si>
  <si>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</si>
  <si>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</si>
  <si>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</si>
  <si>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</si>
  <si>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</si>
  <si>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</si>
  <si>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</si>
  <si>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</si>
  <si>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</si>
  <si>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</si>
  <si>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</si>
  <si>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</si>
  <si>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</si>
  <si>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</si>
  <si>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</si>
  <si>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</si>
  <si>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</si>
  <si>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</si>
  <si>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</si>
  <si>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</si>
  <si>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</si>
  <si>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</si>
  <si>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</si>
  <si>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</si>
  <si>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</si>
  <si>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</si>
  <si>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</si>
  <si>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</si>
  <si>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</si>
  <si>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</si>
  <si>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</si>
  <si>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</si>
  <si>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</si>
  <si>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</si>
  <si>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</si>
  <si>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</si>
  <si>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</si>
  <si>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</si>
  <si>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</si>
  <si>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</si>
  <si>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</si>
  <si>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</si>
  <si>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</si>
  <si>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</si>
  <si>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</si>
  <si>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</si>
  <si>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</si>
  <si>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</si>
  <si>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</si>
  <si>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</si>
  <si>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</si>
  <si>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</si>
  <si>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</si>
  <si>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</si>
  <si>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</si>
  <si>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</si>
  <si>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</si>
  <si>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</si>
  <si>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</si>
  <si>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</si>
  <si>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</si>
  <si>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</si>
  <si>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</si>
  <si>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</si>
  <si>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</si>
  <si>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</si>
  <si>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</si>
  <si>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</si>
  <si>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</si>
  <si>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</si>
  <si>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</si>
  <si>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</si>
  <si>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</si>
  <si>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</si>
  <si>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</si>
  <si>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</si>
  <si>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</si>
  <si>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</si>
  <si>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</si>
  <si>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</si>
  <si>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</si>
  <si>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</si>
  <si>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</si>
  <si>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</si>
  <si>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</si>
  <si>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</si>
  <si>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</si>
  <si>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</si>
  <si>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</si>
  <si>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</si>
  <si>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</si>
  <si>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</si>
  <si>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</si>
  <si>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</si>
  <si>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</si>
  <si>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</si>
  <si>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</si>
  <si>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</si>
  <si>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</si>
  <si>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</si>
  <si>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</si>
  <si>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</si>
  <si>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</si>
  <si>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</si>
  <si>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</si>
  <si>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</si>
  <si>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</si>
  <si>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</si>
  <si>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</si>
  <si>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</si>
  <si>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</si>
  <si>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</si>
  <si>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</si>
  <si>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</si>
  <si>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</si>
  <si>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</si>
  <si>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</si>
  <si>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</si>
  <si>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</si>
  <si>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</si>
  <si>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</si>
  <si>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</si>
  <si>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</si>
  <si>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</si>
  <si>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</si>
  <si>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</si>
  <si>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</si>
  <si>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</si>
  <si>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</si>
  <si>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</si>
  <si>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</si>
  <si>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</si>
  <si>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</si>
  <si>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</si>
  <si>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</si>
  <si>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</si>
  <si>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</si>
  <si>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</si>
  <si>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</si>
  <si>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</si>
  <si>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</si>
  <si>
    <t>Depreciation</t>
  </si>
  <si>
    <t>Capacity Price</t>
  </si>
  <si>
    <t xml:space="preserve">Debt </t>
  </si>
  <si>
    <t>Deal Structure</t>
  </si>
  <si>
    <t>70%/30% Debt/Equity</t>
  </si>
  <si>
    <t>7Yr. Debt Option</t>
  </si>
  <si>
    <t>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</si>
</sst>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0" fillId="0" borderId="0" xfId="21" applyNumberFormat="1" applyFont="1"/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6" fmlaLink="$AC$13" fmlaRange="$AC$9:$AC$12" noThreeD="1" sel="2" val="0"/>
</file>

<file path=xl/ctrlProps/ctrlProp6.xml><?xml version="1.0" encoding="utf-8"?>
<formControlPr xmlns="http://schemas.microsoft.com/office/spreadsheetml/2009/9/main" objectType="Drop" dropLines="3" dropStyle="combo" dx="26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198120</xdr:rowOff>
        </xdr:from>
        <xdr:to>
          <xdr:col>9</xdr:col>
          <xdr:colOff>0</xdr:colOff>
          <xdr:row>33</xdr:row>
          <xdr:rowOff>7620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1249680</xdr:colOff>
          <xdr:row>29</xdr:row>
          <xdr:rowOff>0</xdr:rowOff>
        </xdr:from>
        <xdr:to>
          <xdr:col>8</xdr:col>
          <xdr:colOff>1219200</xdr:colOff>
          <xdr:row>30</xdr:row>
          <xdr:rowOff>15240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161</v>
      </c>
      <c r="C2" s="5"/>
    </row>
    <row r="3" spans="1:18" s="46" customFormat="1" ht="15.6"/>
    <row r="4" spans="1:18" s="46" customFormat="1" ht="18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6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201</v>
      </c>
    </row>
    <row r="13" spans="1:18" s="46" customFormat="1" ht="15.6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6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6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6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6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6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6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270</v>
      </c>
    </row>
    <row r="28" spans="1:16" s="46" customFormat="1" ht="17.399999999999999">
      <c r="A28" s="281"/>
    </row>
    <row r="29" spans="1:16" s="46" customFormat="1" ht="15.6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6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6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6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6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6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6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6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6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8"/>
  <sheetViews>
    <sheetView topLeftCell="A16" zoomScale="75" workbookViewId="0">
      <selection activeCell="B40" sqref="B40"/>
    </sheetView>
  </sheetViews>
  <sheetFormatPr defaultColWidth="9.109375" defaultRowHeight="13.2"/>
  <cols>
    <col min="1" max="1" width="36.6640625" style="12" customWidth="1"/>
    <col min="2" max="2" width="11.88671875" style="12" bestFit="1" customWidth="1"/>
    <col min="3" max="3" width="11.109375" style="12" bestFit="1" customWidth="1"/>
    <col min="4" max="4" width="11.5546875" style="12" bestFit="1" customWidth="1"/>
    <col min="5" max="5" width="11.109375" style="12" bestFit="1" customWidth="1"/>
    <col min="6" max="8" width="11.5546875" style="12" bestFit="1" customWidth="1"/>
    <col min="9" max="9" width="11.109375" style="12" bestFit="1" customWidth="1"/>
    <col min="10" max="11" width="11.5546875" style="12" bestFit="1" customWidth="1"/>
    <col min="12" max="12" width="11.109375" style="12" bestFit="1" customWidth="1"/>
    <col min="13" max="13" width="10.6640625" style="12" bestFit="1" customWidth="1"/>
    <col min="14" max="16" width="11.109375" style="12" bestFit="1" customWidth="1"/>
    <col min="17" max="17" width="10.88671875" style="12" bestFit="1" customWidth="1"/>
    <col min="18" max="20" width="11.109375" style="12" bestFit="1" customWidth="1"/>
    <col min="21" max="21" width="10.88671875" style="12" bestFit="1" customWidth="1"/>
    <col min="22" max="22" width="11.5546875" style="12" bestFit="1" customWidth="1"/>
    <col min="23" max="23" width="11.109375" style="12" bestFit="1" customWidth="1"/>
    <col min="2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658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2"/>
      <c r="Y8" s="662"/>
      <c r="Z8" s="662"/>
      <c r="AA8" s="662"/>
      <c r="AB8" s="662"/>
      <c r="AC8" s="662"/>
      <c r="AD8" s="662"/>
      <c r="AE8" s="662"/>
      <c r="AF8" s="662"/>
      <c r="AG8" s="662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7.399999999999999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9">
        <v>0</v>
      </c>
      <c r="C11" s="65">
        <f>IS!C32</f>
        <v>6858.9999999999927</v>
      </c>
      <c r="D11" s="65">
        <f>IS!D32</f>
        <v>10551.43</v>
      </c>
      <c r="E11" s="65">
        <f>IS!E32</f>
        <v>10503.562900000001</v>
      </c>
      <c r="F11" s="65">
        <f>IS!F32</f>
        <v>10454.361787000002</v>
      </c>
      <c r="G11" s="65">
        <f>IS!G32</f>
        <v>10403.788680610014</v>
      </c>
      <c r="H11" s="65">
        <f>IS!H32</f>
        <v>10351.804501828297</v>
      </c>
      <c r="I11" s="65">
        <f>IS!I32</f>
        <v>10298.369040899142</v>
      </c>
      <c r="J11" s="65">
        <f>IS!J32</f>
        <v>10243.440924222443</v>
      </c>
      <c r="K11" s="65">
        <f>IS!K32</f>
        <v>10186.977580287356</v>
      </c>
      <c r="L11" s="65">
        <f>IS!L32</f>
        <v>10128.935204600999</v>
      </c>
      <c r="M11" s="65">
        <f>IS!M32</f>
        <v>10069.26872358214</v>
      </c>
      <c r="N11" s="65">
        <f>IS!N32</f>
        <v>10007.931757389564</v>
      </c>
      <c r="O11" s="65">
        <f>IS!O32</f>
        <v>9944.8765816532323</v>
      </c>
      <c r="P11" s="65">
        <f>IS!P32</f>
        <v>9880.0540880756416</v>
      </c>
      <c r="Q11" s="65">
        <f>IS!Q32</f>
        <v>9813.41374387018</v>
      </c>
      <c r="R11" s="65">
        <f>IS!R32</f>
        <v>9744.9035500015925</v>
      </c>
      <c r="S11" s="65">
        <f>IS!S32</f>
        <v>9674.4699981932717</v>
      </c>
      <c r="T11" s="65">
        <f>IS!T32</f>
        <v>9602.0580266645193</v>
      </c>
      <c r="U11" s="65">
        <f>IS!U32</f>
        <v>9527.6109745604226</v>
      </c>
      <c r="V11" s="65">
        <f>IS!V32</f>
        <v>9451.07053503512</v>
      </c>
      <c r="W11" s="65">
        <f>IS!W32</f>
        <v>2706.135944434689</v>
      </c>
      <c r="X11" s="670"/>
      <c r="Y11" s="670"/>
      <c r="Z11" s="670"/>
      <c r="AA11" s="670"/>
      <c r="AB11" s="670"/>
      <c r="AC11" s="670"/>
      <c r="AD11" s="670"/>
      <c r="AE11" s="670"/>
      <c r="AF11" s="670"/>
      <c r="AG11" s="670"/>
    </row>
    <row r="12" spans="1:33">
      <c r="A12" s="45" t="s">
        <v>79</v>
      </c>
      <c r="B12" s="671">
        <v>0</v>
      </c>
      <c r="C12" s="672">
        <f>IF(Assumptions!$AC$14="10-Yr. Debt",-'Debt Structs'!D35,IF(Assumptions!$AC$14="7-Yr. Debt",-'Debt Structs'!I16,IF(Assumptions!$AC$14="Lease",-'Debt Structs'!N16,0)))</f>
        <v>-7719.3865000000014</v>
      </c>
      <c r="D12" s="672">
        <f>IF(Assumptions!$AC$14="10-Yr. Debt",-'Debt Structs'!D36,IF(Assumptions!$AC$14="7-Yr. Debt",-'Debt Structs'!I17,IF(Assumptions!$AC$14="Lease",-'Debt Structs'!N17,0)))</f>
        <v>-7347.4069092685322</v>
      </c>
      <c r="E12" s="672">
        <f>IF(Assumptions!$AC$14="10-Yr. Debt",-'Debt Structs'!D37,IF(Assumptions!$AC$14="7-Yr. Debt",-'Debt Structs'!I18,IF(Assumptions!$AC$14="Lease",-'Debt Structs'!N18,0)))</f>
        <v>-6940.0892574175732</v>
      </c>
      <c r="F12" s="672">
        <f>IF(Assumptions!$AC$14="10-Yr. Debt",-'Debt Structs'!D38,IF(Assumptions!$AC$14="7-Yr. Debt",-'Debt Structs'!I19,IF(Assumptions!$AC$14="Lease",-'Debt Structs'!N19,0)))</f>
        <v>-6494.076428640773</v>
      </c>
      <c r="G12" s="672">
        <f>IF(Assumptions!$AC$14="10-Yr. Debt",-'Debt Structs'!D39,IF(Assumptions!$AC$14="7-Yr. Debt",-'Debt Structs'!I20,IF(Assumptions!$AC$14="Lease",-'Debt Structs'!N20,0)))</f>
        <v>-6005.6923811301776</v>
      </c>
      <c r="H12" s="672">
        <f>IF(Assumptions!$AC$14="10-Yr. Debt",-'Debt Structs'!D40,IF(Assumptions!$AC$14="7-Yr. Debt",-'Debt Structs'!I21,0))</f>
        <v>-5470.9118491060744</v>
      </c>
      <c r="I12" s="672">
        <f>IF(Assumptions!$AC$14="10-Yr. Debt",-'Debt Structs'!D41,IF(Assumptions!$AC$14="7-Yr. Debt",-'Debt Structs'!I22,0))</f>
        <v>-4885.3271665396824</v>
      </c>
      <c r="J12" s="672">
        <f>IF(Assumptions!$AC$14="Lease",0,IF(Assumptions!$AC$14="7-Yr. Debt",0,-'Debt Structs'!D42))</f>
        <v>0</v>
      </c>
      <c r="K12" s="672">
        <f>IF(Assumptions!$AC$14="Lease",0,IF(Assumptions!$AC$14="7-Yr. Debt",0,-'Debt Structs'!D43))</f>
        <v>0</v>
      </c>
      <c r="L12" s="672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-860.38650000000871</v>
      </c>
      <c r="D13" s="36">
        <f t="shared" si="0"/>
        <v>3204.0230907314681</v>
      </c>
      <c r="E13" s="36">
        <f t="shared" si="0"/>
        <v>3563.4736425824276</v>
      </c>
      <c r="F13" s="36">
        <f t="shared" si="0"/>
        <v>3960.2853583592287</v>
      </c>
      <c r="G13" s="36">
        <f t="shared" si="0"/>
        <v>4398.0962994798365</v>
      </c>
      <c r="H13" s="36">
        <f t="shared" si="0"/>
        <v>4880.8926527222229</v>
      </c>
      <c r="I13" s="36">
        <f t="shared" si="0"/>
        <v>5413.0418743594601</v>
      </c>
      <c r="J13" s="36">
        <f t="shared" si="0"/>
        <v>10243.440924222443</v>
      </c>
      <c r="K13" s="36">
        <f t="shared" si="0"/>
        <v>10186.977580287356</v>
      </c>
      <c r="L13" s="36">
        <f t="shared" si="0"/>
        <v>10128.935204600999</v>
      </c>
    </row>
    <row r="14" spans="1:33">
      <c r="A14" s="45"/>
    </row>
    <row r="15" spans="1:33">
      <c r="A15" s="45" t="s">
        <v>349</v>
      </c>
      <c r="B15" s="673">
        <v>0</v>
      </c>
      <c r="C15" s="673">
        <f>-Taxes!B24-Taxes!B41</f>
        <v>0</v>
      </c>
      <c r="D15" s="673">
        <f>-Taxes!C24-Taxes!C41</f>
        <v>0</v>
      </c>
      <c r="E15" s="673">
        <f>-Taxes!D24-Taxes!D41</f>
        <v>0</v>
      </c>
      <c r="F15" s="673">
        <f>-Taxes!E24-Taxes!E41</f>
        <v>0</v>
      </c>
      <c r="G15" s="673">
        <f>-Taxes!F24-Taxes!F41</f>
        <v>0</v>
      </c>
      <c r="H15" s="673">
        <f>-Taxes!G24-Taxes!G41</f>
        <v>0</v>
      </c>
      <c r="I15" s="673">
        <f>-Taxes!H24-Taxes!H41</f>
        <v>0</v>
      </c>
      <c r="J15" s="673">
        <f>-Taxes!I24-Taxes!I41</f>
        <v>0</v>
      </c>
      <c r="K15" s="673">
        <f>-Taxes!J24-Taxes!J41</f>
        <v>0</v>
      </c>
      <c r="L15" s="673">
        <f>-Taxes!K24-Taxes!K41</f>
        <v>0</v>
      </c>
    </row>
    <row r="16" spans="1:33">
      <c r="A16" s="45" t="s">
        <v>80</v>
      </c>
      <c r="B16" s="673">
        <v>0</v>
      </c>
      <c r="C16" s="680">
        <f>IF(Assumptions!$AC$14="10-Yr. Debt",-'Debt Structs'!E35,IF(Assumptions!$AC$14="7-Yr. Debt",-'Debt Structs'!J16,IF(Assumptions!$AC$14="Lease",-'Debt Structs'!O16,0)))</f>
        <v>-3915.574639278625</v>
      </c>
      <c r="D16" s="680">
        <f>IF(Assumptions!$AC$14="10-Yr. Debt",-'Debt Structs'!E36,IF(Assumptions!$AC$14="7-Yr. Debt",-'Debt Structs'!J17,IF(Assumptions!$AC$14="Lease",-'Debt Structs'!O17,0)))</f>
        <v>-4287.5542300100942</v>
      </c>
      <c r="E16" s="680">
        <f>IF(Assumptions!$AC$14="10-Yr. Debt",-'Debt Structs'!E37,IF(Assumptions!$AC$14="7-Yr. Debt",-'Debt Structs'!J18,IF(Assumptions!$AC$14="Lease",-'Debt Structs'!O18,0)))</f>
        <v>-4694.8718818610532</v>
      </c>
      <c r="F16" s="680">
        <f>IF(Assumptions!$AC$14="10-Yr. Debt",-'Debt Structs'!E38,IF(Assumptions!$AC$14="7-Yr. Debt",-'Debt Structs'!J19,IF(Assumptions!$AC$14="Lease",-'Debt Structs'!O19,0)))</f>
        <v>-5140.8847106378535</v>
      </c>
      <c r="G16" s="680">
        <f>IF(Assumptions!$AC$14="10-Yr. Debt",-'Debt Structs'!E39,IF(Assumptions!$AC$14="7-Yr. Debt",-'Debt Structs'!J20,IF(Assumptions!$AC$14="Lease",-'Debt Structs'!O20,0)))</f>
        <v>-5629.2687581484488</v>
      </c>
      <c r="H16" s="680">
        <f>IF(Assumptions!$AC$14="10-Yr. Debt",-'Debt Structs'!E40,IF(Assumptions!$AC$14="7-Yr. Debt",-'Debt Structs'!J21,0))</f>
        <v>-6164.049290172552</v>
      </c>
      <c r="I16" s="680">
        <f>IF(Assumptions!$AC$14="10-Yr. Debt",-'Debt Structs'!E41,IF(Assumptions!$AC$14="7-Yr. Debt",-'Debt Structs'!I48,0))</f>
        <v>0</v>
      </c>
      <c r="J16" s="680">
        <f>IF(Assumptions!$AC$14="Lease",0,IF(Assumptions!$AC$14="7-Yr. Debt",0,-'Debt Structs'!E42))</f>
        <v>0</v>
      </c>
      <c r="K16" s="680">
        <f>IF(Assumptions!$AC$14="Lease",0,IF(Assumptions!$AC$14="7-Yr. Debt",0,-'Debt Structs'!E43))</f>
        <v>0</v>
      </c>
      <c r="L16" s="680">
        <f>IF(Assumptions!$AC$14="Lease",0,IF(Assumptions!$AC$14="7-Yr. Debt",0,-'Debt Structs'!E44))</f>
        <v>0</v>
      </c>
    </row>
    <row r="17" spans="1:12">
      <c r="A17" s="45" t="s">
        <v>669</v>
      </c>
      <c r="B17" s="673">
        <v>0</v>
      </c>
      <c r="C17" s="680">
        <f>IF(Assumptions!$AC$14="Lease",IS!C34,0)</f>
        <v>0</v>
      </c>
      <c r="D17" s="680">
        <f>IF(Assumptions!$AC$14="Lease",IS!D34,0)</f>
        <v>0</v>
      </c>
      <c r="E17" s="680">
        <f>IF(Assumptions!$AC$14="Lease",IS!E34,0)</f>
        <v>0</v>
      </c>
      <c r="F17" s="680">
        <f>IF(Assumptions!$AC$14="Lease",IS!F34,0)</f>
        <v>0</v>
      </c>
      <c r="G17" s="680">
        <f>IF(Assumptions!$AC$14="Lease",IS!G34,0)</f>
        <v>0</v>
      </c>
      <c r="H17" s="680">
        <v>0</v>
      </c>
      <c r="I17" s="680">
        <v>0</v>
      </c>
      <c r="J17" s="680">
        <v>0</v>
      </c>
      <c r="K17" s="680">
        <v>0</v>
      </c>
      <c r="L17" s="680">
        <v>0</v>
      </c>
    </row>
    <row r="18" spans="1:12">
      <c r="A18" s="45" t="s">
        <v>350</v>
      </c>
      <c r="B18" s="674">
        <v>0</v>
      </c>
      <c r="C18" s="674">
        <v>0</v>
      </c>
      <c r="D18" s="674">
        <v>0</v>
      </c>
      <c r="E18" s="674">
        <v>0</v>
      </c>
      <c r="F18" s="674">
        <v>0</v>
      </c>
      <c r="G18" s="674">
        <v>0</v>
      </c>
      <c r="H18" s="674">
        <v>0</v>
      </c>
      <c r="I18" s="674">
        <v>0</v>
      </c>
      <c r="J18" s="674">
        <v>0</v>
      </c>
      <c r="K18" s="674">
        <v>0</v>
      </c>
      <c r="L18" s="674">
        <v>0</v>
      </c>
    </row>
    <row r="19" spans="1:12">
      <c r="A19" s="45" t="s">
        <v>351</v>
      </c>
      <c r="B19" s="36">
        <f>B18+B16+B15+B13</f>
        <v>0</v>
      </c>
      <c r="C19" s="36">
        <f>C18+C17+C16+C15+C13</f>
        <v>-4775.9611392786337</v>
      </c>
      <c r="D19" s="36">
        <f t="shared" ref="D19:L19" si="1">D18+D17+D16+D15+D13</f>
        <v>-1083.5311392786261</v>
      </c>
      <c r="E19" s="36">
        <f t="shared" si="1"/>
        <v>-1131.3982392786256</v>
      </c>
      <c r="F19" s="36">
        <f t="shared" si="1"/>
        <v>-1180.5993522786248</v>
      </c>
      <c r="G19" s="36">
        <f t="shared" si="1"/>
        <v>-1231.1724586686123</v>
      </c>
      <c r="H19" s="36">
        <f t="shared" si="1"/>
        <v>-1283.1566374503291</v>
      </c>
      <c r="I19" s="36">
        <f t="shared" si="1"/>
        <v>5413.0418743594601</v>
      </c>
      <c r="J19" s="36">
        <f t="shared" si="1"/>
        <v>10243.440924222443</v>
      </c>
      <c r="K19" s="36">
        <f t="shared" si="1"/>
        <v>10186.977580287356</v>
      </c>
      <c r="L19" s="36">
        <f t="shared" si="1"/>
        <v>10128.935204600999</v>
      </c>
    </row>
    <row r="20" spans="1:12">
      <c r="A20" s="333"/>
    </row>
    <row r="21" spans="1:12">
      <c r="B21" s="517">
        <v>1</v>
      </c>
    </row>
    <row r="23" spans="1:12">
      <c r="A23" s="446" t="s">
        <v>401</v>
      </c>
      <c r="B23" s="36">
        <f>B19*$B$21</f>
        <v>0</v>
      </c>
      <c r="C23" s="36">
        <f t="shared" ref="C23:L23" si="2">C19*$B$21</f>
        <v>-4775.9611392786337</v>
      </c>
      <c r="D23" s="36">
        <f t="shared" si="2"/>
        <v>-1083.5311392786261</v>
      </c>
      <c r="E23" s="36">
        <f t="shared" si="2"/>
        <v>-1131.3982392786256</v>
      </c>
      <c r="F23" s="36">
        <f t="shared" si="2"/>
        <v>-1180.5993522786248</v>
      </c>
      <c r="G23" s="36">
        <f t="shared" si="2"/>
        <v>-1231.1724586686123</v>
      </c>
      <c r="H23" s="36">
        <f t="shared" si="2"/>
        <v>-1283.1566374503291</v>
      </c>
      <c r="I23" s="36">
        <f t="shared" si="2"/>
        <v>5413.0418743594601</v>
      </c>
      <c r="J23" s="36">
        <f t="shared" si="2"/>
        <v>10243.440924222443</v>
      </c>
      <c r="K23" s="36">
        <f t="shared" si="2"/>
        <v>10186.977580287356</v>
      </c>
      <c r="L23" s="36">
        <f t="shared" si="2"/>
        <v>10128.935204600999</v>
      </c>
    </row>
    <row r="27" spans="1:12">
      <c r="A27" s="447" t="s">
        <v>388</v>
      </c>
    </row>
    <row r="28" spans="1:12" ht="13.8" thickBot="1">
      <c r="A28" s="447"/>
    </row>
    <row r="29" spans="1:12" ht="13.8" thickBot="1">
      <c r="A29" s="447" t="s">
        <v>664</v>
      </c>
      <c r="B29" s="675">
        <v>0.2</v>
      </c>
    </row>
    <row r="30" spans="1:12">
      <c r="A30" s="668" t="s">
        <v>662</v>
      </c>
    </row>
    <row r="31" spans="1:12">
      <c r="A31" s="43" t="s">
        <v>661</v>
      </c>
      <c r="C31" s="11">
        <v>1</v>
      </c>
      <c r="D31" s="11">
        <v>2</v>
      </c>
      <c r="E31" s="11">
        <v>3</v>
      </c>
      <c r="F31" s="11">
        <v>4</v>
      </c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</row>
    <row r="32" spans="1:12">
      <c r="A32" s="56" t="s">
        <v>354</v>
      </c>
      <c r="B32" s="673">
        <f>'Debt Structs'!E8</f>
        <v>0</v>
      </c>
    </row>
    <row r="33" spans="1:9">
      <c r="A33" s="56" t="s">
        <v>353</v>
      </c>
      <c r="B33" s="36">
        <f>-'Debt Structs'!E3</f>
        <v>-116081</v>
      </c>
      <c r="C33" s="36">
        <f>C23</f>
        <v>-4775.9611392786337</v>
      </c>
      <c r="D33" s="36">
        <f>D23</f>
        <v>-1083.5311392786261</v>
      </c>
      <c r="E33" s="36">
        <f>E23</f>
        <v>-1131.3982392786256</v>
      </c>
      <c r="F33" s="36">
        <f>F23</f>
        <v>-1180.5993522786248</v>
      </c>
      <c r="G33" s="36">
        <f>G23</f>
        <v>-1231.1724586686123</v>
      </c>
    </row>
    <row r="34" spans="1:9">
      <c r="A34" s="56" t="s">
        <v>665</v>
      </c>
      <c r="B34" s="676">
        <v>0</v>
      </c>
      <c r="C34" s="676">
        <v>0</v>
      </c>
      <c r="D34" s="676">
        <v>0</v>
      </c>
      <c r="E34" s="676">
        <v>0</v>
      </c>
      <c r="F34" s="676">
        <v>0</v>
      </c>
      <c r="G34" s="677">
        <f>'Debt Structs'!L20</f>
        <v>116081</v>
      </c>
    </row>
    <row r="35" spans="1:9">
      <c r="A35" s="56" t="s">
        <v>352</v>
      </c>
      <c r="B35" s="36">
        <f t="shared" ref="B35:G35" si="3">SUM(B32:B34)</f>
        <v>-116081</v>
      </c>
      <c r="C35" s="36">
        <f t="shared" si="3"/>
        <v>-4775.9611392786337</v>
      </c>
      <c r="D35" s="36">
        <f t="shared" si="3"/>
        <v>-1083.5311392786261</v>
      </c>
      <c r="E35" s="36">
        <f t="shared" si="3"/>
        <v>-1131.3982392786256</v>
      </c>
      <c r="F35" s="36">
        <f t="shared" si="3"/>
        <v>-1180.5993522786248</v>
      </c>
      <c r="G35" s="36">
        <f t="shared" si="3"/>
        <v>114849.82754133138</v>
      </c>
    </row>
    <row r="36" spans="1:9">
      <c r="A36" s="56"/>
      <c r="B36" s="446" t="s">
        <v>1</v>
      </c>
      <c r="C36" s="452">
        <f>XIRR(B35:G35,B8:G8)</f>
        <v>-1.4411428570747377E-2</v>
      </c>
    </row>
    <row r="37" spans="1:9">
      <c r="A37" s="45"/>
    </row>
    <row r="38" spans="1:9">
      <c r="A38" s="668" t="s">
        <v>667</v>
      </c>
    </row>
    <row r="39" spans="1:9">
      <c r="A39" s="43" t="s">
        <v>661</v>
      </c>
    </row>
    <row r="40" spans="1:9">
      <c r="A40" s="56" t="s">
        <v>354</v>
      </c>
      <c r="B40" s="673">
        <f>-'Debt Structs'!D8</f>
        <v>-34824.299999999996</v>
      </c>
    </row>
    <row r="41" spans="1:9">
      <c r="A41" s="56" t="s">
        <v>353</v>
      </c>
      <c r="B41" s="36">
        <f>B23</f>
        <v>0</v>
      </c>
      <c r="C41" s="36">
        <f t="shared" ref="C41:I41" si="4">C23</f>
        <v>-4775.9611392786337</v>
      </c>
      <c r="D41" s="36">
        <f t="shared" si="4"/>
        <v>-1083.5311392786261</v>
      </c>
      <c r="E41" s="36">
        <f t="shared" si="4"/>
        <v>-1131.3982392786256</v>
      </c>
      <c r="F41" s="36">
        <f t="shared" si="4"/>
        <v>-1180.5993522786248</v>
      </c>
      <c r="G41" s="36">
        <f t="shared" si="4"/>
        <v>-1231.1724586686123</v>
      </c>
      <c r="H41" s="36">
        <f t="shared" si="4"/>
        <v>-1283.1566374503291</v>
      </c>
      <c r="I41" s="36">
        <f t="shared" si="4"/>
        <v>5413.0418743594601</v>
      </c>
    </row>
    <row r="42" spans="1:9">
      <c r="A42" s="56" t="s">
        <v>665</v>
      </c>
      <c r="B42" s="676">
        <v>0</v>
      </c>
      <c r="C42" s="676">
        <v>0</v>
      </c>
      <c r="D42" s="676">
        <v>0</v>
      </c>
      <c r="E42" s="676">
        <v>0</v>
      </c>
      <c r="F42" s="676">
        <v>0</v>
      </c>
      <c r="G42" s="676">
        <v>0</v>
      </c>
      <c r="H42" s="676">
        <v>0</v>
      </c>
      <c r="I42" s="677">
        <f>'Debt Structs'!G22</f>
        <v>51424.49648989139</v>
      </c>
    </row>
    <row r="43" spans="1:9">
      <c r="A43" s="56" t="s">
        <v>352</v>
      </c>
      <c r="B43" s="36">
        <f t="shared" ref="B43:I43" si="5">SUM(B40:B42)</f>
        <v>-34824.299999999996</v>
      </c>
      <c r="C43" s="36">
        <f t="shared" si="5"/>
        <v>-4775.9611392786337</v>
      </c>
      <c r="D43" s="36">
        <f t="shared" si="5"/>
        <v>-1083.5311392786261</v>
      </c>
      <c r="E43" s="36">
        <f t="shared" si="5"/>
        <v>-1131.3982392786256</v>
      </c>
      <c r="F43" s="36">
        <f t="shared" si="5"/>
        <v>-1180.5993522786248</v>
      </c>
      <c r="G43" s="36">
        <f t="shared" si="5"/>
        <v>-1231.1724586686123</v>
      </c>
      <c r="H43" s="36">
        <f t="shared" si="5"/>
        <v>-1283.1566374503291</v>
      </c>
      <c r="I43" s="36">
        <f t="shared" si="5"/>
        <v>56837.538364250853</v>
      </c>
    </row>
    <row r="44" spans="1:9">
      <c r="A44" s="56"/>
      <c r="B44" s="446" t="s">
        <v>1</v>
      </c>
      <c r="C44" s="452">
        <f>XIRR(B43:I43,B8:I8)</f>
        <v>3.2944193482398992E-2</v>
      </c>
    </row>
    <row r="45" spans="1:9">
      <c r="A45" s="13"/>
    </row>
    <row r="46" spans="1:9">
      <c r="A46" s="629" t="s">
        <v>663</v>
      </c>
    </row>
    <row r="47" spans="1:9">
      <c r="A47" s="43" t="s">
        <v>661</v>
      </c>
    </row>
    <row r="48" spans="1:9">
      <c r="A48" s="56" t="s">
        <v>354</v>
      </c>
      <c r="B48" s="673">
        <f>-'Debt Structs'!D8</f>
        <v>-34824.299999999996</v>
      </c>
    </row>
    <row r="49" spans="1:12">
      <c r="A49" s="56" t="s">
        <v>353</v>
      </c>
      <c r="B49" s="36">
        <f>B23</f>
        <v>0</v>
      </c>
      <c r="C49" s="36">
        <f t="shared" ref="C49:L49" si="6">C23</f>
        <v>-4775.9611392786337</v>
      </c>
      <c r="D49" s="36">
        <f t="shared" si="6"/>
        <v>-1083.5311392786261</v>
      </c>
      <c r="E49" s="36">
        <f t="shared" si="6"/>
        <v>-1131.3982392786256</v>
      </c>
      <c r="F49" s="36">
        <f t="shared" si="6"/>
        <v>-1180.5993522786248</v>
      </c>
      <c r="G49" s="36">
        <f t="shared" si="6"/>
        <v>-1231.1724586686123</v>
      </c>
      <c r="H49" s="36">
        <f t="shared" si="6"/>
        <v>-1283.1566374503291</v>
      </c>
      <c r="I49" s="36">
        <f t="shared" si="6"/>
        <v>5413.0418743594601</v>
      </c>
      <c r="J49" s="36">
        <f t="shared" si="6"/>
        <v>10243.440924222443</v>
      </c>
      <c r="K49" s="36">
        <f t="shared" si="6"/>
        <v>10186.977580287356</v>
      </c>
      <c r="L49" s="36">
        <f t="shared" si="6"/>
        <v>10128.935204600999</v>
      </c>
    </row>
    <row r="50" spans="1:12" ht="15">
      <c r="A50" s="56" t="s">
        <v>665</v>
      </c>
      <c r="B50" s="678">
        <v>0</v>
      </c>
      <c r="C50" s="678">
        <v>0</v>
      </c>
      <c r="D50" s="678">
        <v>0</v>
      </c>
      <c r="E50" s="678">
        <v>0</v>
      </c>
      <c r="F50" s="678">
        <v>0</v>
      </c>
      <c r="G50" s="678">
        <v>0</v>
      </c>
      <c r="H50" s="678">
        <v>0</v>
      </c>
      <c r="I50" s="678">
        <v>0</v>
      </c>
      <c r="J50" s="678">
        <v>0</v>
      </c>
      <c r="K50" s="678">
        <v>0</v>
      </c>
      <c r="L50" s="679">
        <f>'Debt Structs'!B44</f>
        <v>11818.66840720694</v>
      </c>
    </row>
    <row r="51" spans="1:12">
      <c r="A51" s="56" t="s">
        <v>352</v>
      </c>
      <c r="B51" s="36">
        <f t="shared" ref="B51:L51" si="7">SUM(B48:B50)</f>
        <v>-34824.299999999996</v>
      </c>
      <c r="C51" s="36">
        <f t="shared" si="7"/>
        <v>-4775.9611392786337</v>
      </c>
      <c r="D51" s="36">
        <f t="shared" si="7"/>
        <v>-1083.5311392786261</v>
      </c>
      <c r="E51" s="36">
        <f t="shared" si="7"/>
        <v>-1131.3982392786256</v>
      </c>
      <c r="F51" s="36">
        <f t="shared" si="7"/>
        <v>-1180.5993522786248</v>
      </c>
      <c r="G51" s="36">
        <f t="shared" si="7"/>
        <v>-1231.1724586686123</v>
      </c>
      <c r="H51" s="36">
        <f t="shared" si="7"/>
        <v>-1283.1566374503291</v>
      </c>
      <c r="I51" s="36">
        <f t="shared" si="7"/>
        <v>5413.0418743594601</v>
      </c>
      <c r="J51" s="36">
        <f t="shared" si="7"/>
        <v>10243.440924222443</v>
      </c>
      <c r="K51" s="36">
        <f t="shared" si="7"/>
        <v>10186.977580287356</v>
      </c>
      <c r="L51" s="36">
        <f t="shared" si="7"/>
        <v>21947.603611807939</v>
      </c>
    </row>
    <row r="52" spans="1:12">
      <c r="A52" s="13"/>
      <c r="B52" s="446" t="s">
        <v>1</v>
      </c>
      <c r="C52" s="452">
        <f>XIRR(B51:L51,B8:L8)</f>
        <v>5.5492728948593152E-3</v>
      </c>
    </row>
    <row r="53" spans="1:12">
      <c r="A53" s="56"/>
    </row>
    <row r="54" spans="1:12">
      <c r="A54" s="43"/>
    </row>
    <row r="55" spans="1:12">
      <c r="A55" s="56"/>
    </row>
    <row r="56" spans="1:12">
      <c r="A56" s="56"/>
    </row>
    <row r="57" spans="1:12">
      <c r="A57" s="56"/>
    </row>
    <row r="58" spans="1:12">
      <c r="A58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zoomScale="75" workbookViewId="0">
      <selection activeCell="G16" sqref="G16"/>
    </sheetView>
  </sheetViews>
  <sheetFormatPr defaultRowHeight="13.2"/>
  <cols>
    <col min="2" max="2" width="24.5546875" customWidth="1"/>
    <col min="3" max="3" width="18.33203125" customWidth="1"/>
    <col min="4" max="4" width="12.109375" customWidth="1"/>
    <col min="5" max="5" width="11.33203125" customWidth="1"/>
    <col min="6" max="6" width="12.44140625" customWidth="1"/>
    <col min="7" max="7" width="12.5546875" customWidth="1"/>
    <col min="8" max="8" width="12.109375" customWidth="1"/>
  </cols>
  <sheetData>
    <row r="3" spans="2:10">
      <c r="B3" s="531" t="s">
        <v>672</v>
      </c>
      <c r="C3" s="531" t="s">
        <v>670</v>
      </c>
      <c r="D3" s="531" t="s">
        <v>1</v>
      </c>
      <c r="E3" s="531" t="s">
        <v>671</v>
      </c>
      <c r="F3" s="531" t="s">
        <v>641</v>
      </c>
      <c r="G3" s="534"/>
      <c r="H3" s="534"/>
      <c r="I3" s="534"/>
      <c r="J3" s="534"/>
    </row>
    <row r="5" spans="2:10">
      <c r="B5" s="697" t="s">
        <v>621</v>
      </c>
      <c r="C5" s="695">
        <v>4.5</v>
      </c>
      <c r="D5" s="698">
        <v>5.7000000000000002E-2</v>
      </c>
      <c r="E5" s="696">
        <v>1</v>
      </c>
      <c r="F5" s="696">
        <v>0</v>
      </c>
    </row>
    <row r="6" spans="2:10">
      <c r="B6" s="697"/>
      <c r="C6" s="695">
        <v>5</v>
      </c>
      <c r="D6" s="698">
        <v>6.6000000000000003E-2</v>
      </c>
      <c r="E6" s="696">
        <v>1</v>
      </c>
      <c r="F6" s="696">
        <v>0</v>
      </c>
    </row>
    <row r="7" spans="2:10">
      <c r="B7" s="697"/>
      <c r="C7" s="695">
        <v>6</v>
      </c>
      <c r="D7" s="698">
        <v>8.5000000000000006E-2</v>
      </c>
      <c r="E7" s="696">
        <v>1</v>
      </c>
      <c r="F7" s="696">
        <v>0</v>
      </c>
    </row>
    <row r="8" spans="2:10">
      <c r="B8" s="697"/>
      <c r="C8" s="695">
        <v>6.5</v>
      </c>
      <c r="D8" s="698">
        <v>9.4E-2</v>
      </c>
      <c r="E8" s="696">
        <v>1</v>
      </c>
      <c r="F8" s="696">
        <v>0</v>
      </c>
    </row>
    <row r="9" spans="2:10">
      <c r="B9" s="697"/>
    </row>
    <row r="10" spans="2:10">
      <c r="B10" s="531" t="s">
        <v>673</v>
      </c>
    </row>
    <row r="11" spans="2:10">
      <c r="B11" s="531" t="s">
        <v>674</v>
      </c>
    </row>
    <row r="12" spans="2:10">
      <c r="B12" s="531" t="s">
        <v>675</v>
      </c>
    </row>
    <row r="13" spans="2:10">
      <c r="C13" s="695">
        <v>4.5</v>
      </c>
    </row>
    <row r="14" spans="2:10">
      <c r="C14" s="695">
        <v>5</v>
      </c>
    </row>
    <row r="15" spans="2:10">
      <c r="C15" s="695">
        <v>6</v>
      </c>
    </row>
    <row r="16" spans="2:10">
      <c r="C16" s="695">
        <v>6.5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85" workbookViewId="0">
      <selection activeCell="D8" sqref="D8"/>
    </sheetView>
  </sheetViews>
  <sheetFormatPr defaultRowHeight="13.2"/>
  <cols>
    <col min="1" max="1" width="11" customWidth="1"/>
    <col min="3" max="3" width="11.33203125" bestFit="1" customWidth="1"/>
    <col min="4" max="5" width="9.44140625" bestFit="1" customWidth="1"/>
    <col min="6" max="6" width="4.109375" customWidth="1"/>
    <col min="8" max="8" width="11.5546875" bestFit="1" customWidth="1"/>
    <col min="10" max="10" width="11.5546875" bestFit="1" customWidth="1"/>
    <col min="11" max="11" width="4.44140625" customWidth="1"/>
    <col min="12" max="13" width="9.44140625" bestFit="1" customWidth="1"/>
    <col min="14" max="14" width="10.88671875" bestFit="1" customWidth="1"/>
  </cols>
  <sheetData>
    <row r="1" spans="1:18" ht="13.8" thickBot="1"/>
    <row r="2" spans="1:18">
      <c r="B2" s="643"/>
      <c r="C2" s="410"/>
      <c r="D2" s="681" t="s">
        <v>315</v>
      </c>
      <c r="E2" s="682" t="s">
        <v>621</v>
      </c>
      <c r="N2" s="638"/>
    </row>
    <row r="3" spans="1:18">
      <c r="B3" s="520"/>
      <c r="C3" s="652" t="s">
        <v>622</v>
      </c>
      <c r="D3" s="647">
        <f>Assumptions!C61</f>
        <v>116081</v>
      </c>
      <c r="E3" s="683">
        <f>Assumptions!C61</f>
        <v>116081</v>
      </c>
      <c r="N3" s="638"/>
    </row>
    <row r="4" spans="1:18">
      <c r="B4" s="520"/>
      <c r="C4" s="652" t="s">
        <v>623</v>
      </c>
      <c r="D4" s="684">
        <v>7</v>
      </c>
      <c r="E4" s="685">
        <v>5</v>
      </c>
    </row>
    <row r="5" spans="1:18">
      <c r="B5" s="520"/>
      <c r="C5" s="652" t="s">
        <v>624</v>
      </c>
      <c r="D5" s="686">
        <v>9.5000000000000001E-2</v>
      </c>
      <c r="E5" s="687">
        <v>7.4999999999999997E-2</v>
      </c>
    </row>
    <row r="6" spans="1:18">
      <c r="B6" s="520"/>
      <c r="C6" s="652" t="s">
        <v>625</v>
      </c>
      <c r="D6" s="684">
        <v>12</v>
      </c>
      <c r="E6" s="685">
        <v>0</v>
      </c>
    </row>
    <row r="7" spans="1:18">
      <c r="B7" s="520"/>
      <c r="C7" s="652" t="s">
        <v>626</v>
      </c>
      <c r="D7" s="688">
        <v>0.3</v>
      </c>
      <c r="E7" s="689">
        <v>0</v>
      </c>
    </row>
    <row r="8" spans="1:18">
      <c r="B8" s="520"/>
      <c r="C8" s="652" t="s">
        <v>627</v>
      </c>
      <c r="D8" s="647">
        <f>+D3*D7</f>
        <v>34824.299999999996</v>
      </c>
      <c r="E8" s="683">
        <f>+E3*E7</f>
        <v>0</v>
      </c>
    </row>
    <row r="9" spans="1:18">
      <c r="B9" s="520"/>
      <c r="C9" s="652" t="s">
        <v>628</v>
      </c>
      <c r="D9" s="690">
        <v>0</v>
      </c>
      <c r="E9" s="691">
        <v>0</v>
      </c>
    </row>
    <row r="10" spans="1:18">
      <c r="B10" s="520"/>
      <c r="C10" s="652" t="s">
        <v>629</v>
      </c>
      <c r="D10" s="684">
        <v>5</v>
      </c>
      <c r="E10" s="685">
        <v>5</v>
      </c>
    </row>
    <row r="11" spans="1:18">
      <c r="B11" s="520"/>
      <c r="C11" s="652" t="s">
        <v>630</v>
      </c>
      <c r="D11" s="684">
        <v>230</v>
      </c>
      <c r="E11" s="685">
        <v>230</v>
      </c>
    </row>
    <row r="12" spans="1:18" ht="13.8" thickBot="1">
      <c r="B12" s="659"/>
      <c r="C12" s="692" t="s">
        <v>631</v>
      </c>
      <c r="D12" s="693">
        <v>6.5</v>
      </c>
      <c r="E12" s="694">
        <v>4.25</v>
      </c>
    </row>
    <row r="13" spans="1:18">
      <c r="Q13" t="s">
        <v>632</v>
      </c>
      <c r="R13" t="s">
        <v>633</v>
      </c>
    </row>
    <row r="14" spans="1:18">
      <c r="B14" s="699" t="s">
        <v>634</v>
      </c>
      <c r="C14" s="699"/>
      <c r="D14" s="699"/>
      <c r="E14" s="699"/>
      <c r="G14" s="699" t="s">
        <v>668</v>
      </c>
      <c r="H14" s="699"/>
      <c r="I14" s="699"/>
      <c r="J14" s="699"/>
      <c r="L14" s="699" t="s">
        <v>635</v>
      </c>
      <c r="M14" s="699"/>
      <c r="N14" s="699"/>
      <c r="O14" s="699"/>
      <c r="Q14" t="s">
        <v>636</v>
      </c>
      <c r="R14" t="s">
        <v>636</v>
      </c>
    </row>
    <row r="15" spans="1:18">
      <c r="B15" s="535" t="s">
        <v>637</v>
      </c>
      <c r="C15" s="535" t="s">
        <v>638</v>
      </c>
      <c r="D15" s="535" t="s">
        <v>639</v>
      </c>
      <c r="E15" s="535" t="s">
        <v>640</v>
      </c>
      <c r="F15" s="640"/>
      <c r="G15" s="535" t="s">
        <v>637</v>
      </c>
      <c r="H15" s="535" t="s">
        <v>638</v>
      </c>
      <c r="I15" s="535" t="s">
        <v>639</v>
      </c>
      <c r="J15" s="535" t="s">
        <v>640</v>
      </c>
      <c r="K15" s="640"/>
      <c r="L15" s="535" t="s">
        <v>637</v>
      </c>
      <c r="M15" s="535" t="s">
        <v>638</v>
      </c>
      <c r="N15" s="535" t="s">
        <v>639</v>
      </c>
      <c r="O15" s="535" t="s">
        <v>640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11634.961139278626</v>
      </c>
      <c r="D16" s="638">
        <f t="shared" ref="D16:D27" si="1">+B16*$D$5</f>
        <v>7719.3865000000014</v>
      </c>
      <c r="E16" s="641">
        <f>+C16-D16</f>
        <v>3915.574639278625</v>
      </c>
      <c r="F16">
        <v>1</v>
      </c>
      <c r="G16" s="641">
        <f>+D3-D8</f>
        <v>81256.700000000012</v>
      </c>
      <c r="H16" s="638">
        <f>+I16+J16</f>
        <v>11634.961139278626</v>
      </c>
      <c r="I16" s="638">
        <f t="shared" ref="I16:I22" si="2">+G16*$D$5</f>
        <v>7719.3865000000014</v>
      </c>
      <c r="J16" s="641">
        <f>+E16</f>
        <v>3915.574639278625</v>
      </c>
      <c r="K16">
        <v>1</v>
      </c>
      <c r="L16" s="641">
        <f>+E3-E8</f>
        <v>116081</v>
      </c>
      <c r="M16" s="641">
        <f>+N16+O16</f>
        <v>8706.0749999999989</v>
      </c>
      <c r="N16" s="638">
        <f>+L16*$E$5</f>
        <v>8706.0749999999989</v>
      </c>
      <c r="O16" s="638">
        <v>0</v>
      </c>
      <c r="Q16" s="641">
        <f>+H16-M16</f>
        <v>2928.8861392786275</v>
      </c>
      <c r="R16" s="639">
        <f>+((Q16*1000)/(+$D$11*1000))/12</f>
        <v>1.0611906301734157</v>
      </c>
    </row>
    <row r="17" spans="1:18">
      <c r="A17">
        <f t="shared" ref="A17:A27" si="3">+A16+1</f>
        <v>2</v>
      </c>
      <c r="B17" s="641">
        <f>+B16-E16</f>
        <v>77341.125360721388</v>
      </c>
      <c r="C17" s="638">
        <f t="shared" si="0"/>
        <v>11634.961139278626</v>
      </c>
      <c r="D17" s="638">
        <f t="shared" si="1"/>
        <v>7347.4069092685322</v>
      </c>
      <c r="E17" s="641">
        <f t="shared" ref="E17:E27" si="4">+C17-D17</f>
        <v>4287.5542300100942</v>
      </c>
      <c r="F17">
        <v>2</v>
      </c>
      <c r="G17" s="641">
        <f t="shared" ref="G17:G22" si="5">+G16-J16</f>
        <v>77341.125360721388</v>
      </c>
      <c r="H17" s="638">
        <f t="shared" ref="H17:H22" si="6">+I17+J17</f>
        <v>11634.961139278626</v>
      </c>
      <c r="I17" s="638">
        <f t="shared" si="2"/>
        <v>7347.4069092685322</v>
      </c>
      <c r="J17" s="641">
        <f t="shared" ref="J17:J22" si="7">+E17</f>
        <v>4287.5542300100942</v>
      </c>
      <c r="K17">
        <v>2</v>
      </c>
      <c r="L17" s="641">
        <f>+L16-O16</f>
        <v>116081</v>
      </c>
      <c r="M17" s="641">
        <f>+N17+O17</f>
        <v>8706.0749999999989</v>
      </c>
      <c r="N17" s="638">
        <f>+L17*$E$5</f>
        <v>8706.0749999999989</v>
      </c>
      <c r="O17" s="638">
        <v>0</v>
      </c>
    </row>
    <row r="18" spans="1:18">
      <c r="A18">
        <f t="shared" si="3"/>
        <v>3</v>
      </c>
      <c r="B18" s="641">
        <f>+B17-E17</f>
        <v>73053.571130711294</v>
      </c>
      <c r="C18" s="638">
        <f t="shared" si="0"/>
        <v>11634.961139278626</v>
      </c>
      <c r="D18" s="638">
        <f t="shared" si="1"/>
        <v>6940.0892574175732</v>
      </c>
      <c r="E18" s="641">
        <f t="shared" si="4"/>
        <v>4694.8718818610532</v>
      </c>
      <c r="F18">
        <v>3</v>
      </c>
      <c r="G18" s="641">
        <f t="shared" si="5"/>
        <v>73053.571130711294</v>
      </c>
      <c r="H18" s="638">
        <f t="shared" si="6"/>
        <v>11634.961139278626</v>
      </c>
      <c r="I18" s="638">
        <f t="shared" si="2"/>
        <v>6940.0892574175732</v>
      </c>
      <c r="J18" s="641">
        <f t="shared" si="7"/>
        <v>4694.8718818610532</v>
      </c>
      <c r="K18">
        <v>3</v>
      </c>
      <c r="L18" s="641">
        <f>+L17-O17</f>
        <v>116081</v>
      </c>
      <c r="M18" s="641">
        <f>+N18+O18</f>
        <v>8706.0749999999989</v>
      </c>
      <c r="N18" s="638">
        <f>+L18*$E$5</f>
        <v>8706.0749999999989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68358.699248850244</v>
      </c>
      <c r="C19" s="638">
        <f t="shared" si="0"/>
        <v>11634.961139278626</v>
      </c>
      <c r="D19" s="638">
        <f t="shared" si="1"/>
        <v>6494.076428640773</v>
      </c>
      <c r="E19" s="641">
        <f t="shared" si="4"/>
        <v>5140.8847106378535</v>
      </c>
      <c r="F19">
        <v>4</v>
      </c>
      <c r="G19" s="641">
        <f t="shared" si="5"/>
        <v>68358.699248850244</v>
      </c>
      <c r="H19" s="638">
        <f t="shared" si="6"/>
        <v>11634.961139278626</v>
      </c>
      <c r="I19" s="638">
        <f t="shared" si="2"/>
        <v>6494.076428640773</v>
      </c>
      <c r="J19" s="641">
        <f t="shared" si="7"/>
        <v>5140.8847106378535</v>
      </c>
      <c r="K19">
        <v>4</v>
      </c>
      <c r="L19" s="641">
        <f>+L18-O18</f>
        <v>116081</v>
      </c>
      <c r="M19" s="641">
        <f>+N19+O19</f>
        <v>8706.0749999999989</v>
      </c>
      <c r="N19" s="638">
        <f>+L19*$E$5</f>
        <v>8706.0749999999989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63217.814538212391</v>
      </c>
      <c r="C20" s="638">
        <f t="shared" si="0"/>
        <v>11634.961139278626</v>
      </c>
      <c r="D20" s="638">
        <f t="shared" si="1"/>
        <v>6005.6923811301776</v>
      </c>
      <c r="E20" s="641">
        <f t="shared" si="4"/>
        <v>5629.2687581484488</v>
      </c>
      <c r="F20">
        <v>5</v>
      </c>
      <c r="G20" s="641">
        <f t="shared" si="5"/>
        <v>63217.814538212391</v>
      </c>
      <c r="H20" s="638">
        <f t="shared" si="6"/>
        <v>11634.961139278626</v>
      </c>
      <c r="I20" s="638">
        <f t="shared" si="2"/>
        <v>6005.6923811301776</v>
      </c>
      <c r="J20" s="641">
        <f t="shared" si="7"/>
        <v>5629.2687581484488</v>
      </c>
      <c r="K20">
        <v>5</v>
      </c>
      <c r="L20" s="641">
        <f>+L19-O19</f>
        <v>116081</v>
      </c>
      <c r="M20" s="641">
        <f>+N20+O20</f>
        <v>8706.0749999999989</v>
      </c>
      <c r="N20" s="638">
        <f>+L20*$E$5</f>
        <v>8706.0749999999989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57588.545780063941</v>
      </c>
      <c r="C21" s="638">
        <f t="shared" si="0"/>
        <v>11634.961139278626</v>
      </c>
      <c r="D21" s="638">
        <f t="shared" si="1"/>
        <v>5470.9118491060744</v>
      </c>
      <c r="E21" s="641">
        <f t="shared" si="4"/>
        <v>6164.049290172552</v>
      </c>
      <c r="F21">
        <v>6</v>
      </c>
      <c r="G21" s="641">
        <f t="shared" si="5"/>
        <v>57588.545780063941</v>
      </c>
      <c r="H21" s="638">
        <f t="shared" si="6"/>
        <v>11634.961139278626</v>
      </c>
      <c r="I21" s="638">
        <f t="shared" si="2"/>
        <v>5470.9118491060744</v>
      </c>
      <c r="J21" s="641">
        <f t="shared" si="7"/>
        <v>6164.049290172552</v>
      </c>
    </row>
    <row r="22" spans="1:18">
      <c r="A22">
        <f t="shared" si="3"/>
        <v>7</v>
      </c>
      <c r="B22" s="641">
        <f t="shared" si="8"/>
        <v>51424.49648989139</v>
      </c>
      <c r="C22" s="638">
        <f t="shared" si="0"/>
        <v>11634.961139278626</v>
      </c>
      <c r="D22" s="638">
        <f t="shared" si="1"/>
        <v>4885.3271665396824</v>
      </c>
      <c r="E22" s="641">
        <f t="shared" si="4"/>
        <v>6749.6339727389441</v>
      </c>
      <c r="F22">
        <v>7</v>
      </c>
      <c r="G22" s="641">
        <f t="shared" si="5"/>
        <v>51424.49648989139</v>
      </c>
      <c r="H22" s="638">
        <f t="shared" si="6"/>
        <v>11634.961139278626</v>
      </c>
      <c r="I22" s="638">
        <f t="shared" si="2"/>
        <v>4885.3271665396824</v>
      </c>
      <c r="J22" s="641">
        <f t="shared" si="7"/>
        <v>6749.6339727389441</v>
      </c>
      <c r="R22" s="642">
        <f>+R20+R16</f>
        <v>3.3437993258255894</v>
      </c>
    </row>
    <row r="23" spans="1:18">
      <c r="A23">
        <f t="shared" si="3"/>
        <v>8</v>
      </c>
      <c r="B23" s="641">
        <f t="shared" si="8"/>
        <v>44674.862517152447</v>
      </c>
      <c r="C23" s="638">
        <f t="shared" si="0"/>
        <v>11634.961139278626</v>
      </c>
      <c r="D23" s="638">
        <f t="shared" si="1"/>
        <v>4244.1119391294824</v>
      </c>
      <c r="E23" s="641">
        <f t="shared" si="4"/>
        <v>7390.8492001491441</v>
      </c>
    </row>
    <row r="24" spans="1:18">
      <c r="A24">
        <f t="shared" si="3"/>
        <v>9</v>
      </c>
      <c r="B24" s="641">
        <f t="shared" si="8"/>
        <v>37284.0133170033</v>
      </c>
      <c r="C24" s="638">
        <f t="shared" si="0"/>
        <v>11634.961139278626</v>
      </c>
      <c r="D24" s="638">
        <f t="shared" si="1"/>
        <v>3541.9812651153134</v>
      </c>
      <c r="E24" s="641">
        <f t="shared" si="4"/>
        <v>8092.9798741633131</v>
      </c>
    </row>
    <row r="25" spans="1:18">
      <c r="A25">
        <f t="shared" si="3"/>
        <v>10</v>
      </c>
      <c r="B25" s="641">
        <f t="shared" si="8"/>
        <v>29191.033442839987</v>
      </c>
      <c r="C25" s="638">
        <f t="shared" si="0"/>
        <v>11634.961139278626</v>
      </c>
      <c r="D25" s="638">
        <f t="shared" si="1"/>
        <v>2773.1481770697987</v>
      </c>
      <c r="E25" s="641">
        <f t="shared" si="4"/>
        <v>8861.8129622088272</v>
      </c>
    </row>
    <row r="26" spans="1:18">
      <c r="A26">
        <f t="shared" si="3"/>
        <v>11</v>
      </c>
      <c r="B26" s="641">
        <f t="shared" si="8"/>
        <v>20329.22048063116</v>
      </c>
      <c r="C26" s="638">
        <f t="shared" si="0"/>
        <v>11634.961139278626</v>
      </c>
      <c r="D26" s="638">
        <f t="shared" si="1"/>
        <v>1931.2759456599601</v>
      </c>
      <c r="E26" s="641">
        <f t="shared" si="4"/>
        <v>9703.6851936186667</v>
      </c>
    </row>
    <row r="27" spans="1:18">
      <c r="A27">
        <f t="shared" si="3"/>
        <v>12</v>
      </c>
      <c r="B27" s="641">
        <f t="shared" si="8"/>
        <v>10625.535287012493</v>
      </c>
      <c r="C27" s="638">
        <f t="shared" si="0"/>
        <v>11634.961139278626</v>
      </c>
      <c r="D27" s="638">
        <f t="shared" si="1"/>
        <v>1009.4258522661869</v>
      </c>
      <c r="E27" s="641">
        <f t="shared" si="4"/>
        <v>10625.535287012439</v>
      </c>
    </row>
    <row r="28" spans="1:18">
      <c r="A28" s="628"/>
      <c r="B28" s="641"/>
    </row>
    <row r="29" spans="1:18">
      <c r="A29" s="628"/>
    </row>
    <row r="33" spans="1:16">
      <c r="B33" s="699" t="s">
        <v>642</v>
      </c>
      <c r="C33" s="699"/>
      <c r="D33" s="699"/>
      <c r="E33" s="699"/>
    </row>
    <row r="34" spans="1:16">
      <c r="B34" s="535" t="s">
        <v>637</v>
      </c>
      <c r="C34" s="535" t="s">
        <v>638</v>
      </c>
      <c r="D34" s="535" t="s">
        <v>639</v>
      </c>
      <c r="E34" s="535" t="s">
        <v>640</v>
      </c>
    </row>
    <row r="35" spans="1:16">
      <c r="A35">
        <v>1</v>
      </c>
      <c r="B35" s="641">
        <f>+D3-D8</f>
        <v>81256.700000000012</v>
      </c>
      <c r="C35" s="638">
        <f>-PMT(+$D$5,10,$D$3-$D$8)</f>
        <v>12941.441905891628</v>
      </c>
      <c r="D35" s="638">
        <f t="shared" ref="D35:D44" si="9">+B35*$D$5</f>
        <v>7719.3865000000014</v>
      </c>
      <c r="E35" s="638">
        <f t="shared" ref="E35:E44" si="10">+C35-D35</f>
        <v>5222.0554058916268</v>
      </c>
    </row>
    <row r="36" spans="1:16">
      <c r="A36">
        <f t="shared" ref="A36:A44" si="11">+A35+1</f>
        <v>2</v>
      </c>
      <c r="B36" s="641">
        <f t="shared" ref="B36:B44" si="12">+B35-E35</f>
        <v>76034.64459410838</v>
      </c>
      <c r="C36" s="638">
        <f t="shared" ref="C36:C44" si="13">-PMT(+$D$5,10,$D$3-$D$8)</f>
        <v>12941.441905891628</v>
      </c>
      <c r="D36" s="638">
        <f t="shared" si="9"/>
        <v>7223.2912364402964</v>
      </c>
      <c r="E36" s="638">
        <f t="shared" si="10"/>
        <v>5718.1506694513319</v>
      </c>
    </row>
    <row r="37" spans="1:16">
      <c r="A37">
        <f t="shared" si="11"/>
        <v>3</v>
      </c>
      <c r="B37" s="641">
        <f t="shared" si="12"/>
        <v>70316.493924657043</v>
      </c>
      <c r="C37" s="638">
        <f t="shared" si="13"/>
        <v>12941.441905891628</v>
      </c>
      <c r="D37" s="638">
        <f t="shared" si="9"/>
        <v>6680.0669228424194</v>
      </c>
      <c r="E37" s="638">
        <f t="shared" si="10"/>
        <v>6261.3749830492088</v>
      </c>
    </row>
    <row r="38" spans="1:16">
      <c r="A38">
        <f t="shared" si="11"/>
        <v>4</v>
      </c>
      <c r="B38" s="641">
        <f t="shared" si="12"/>
        <v>64055.118941607834</v>
      </c>
      <c r="C38" s="638">
        <f t="shared" si="13"/>
        <v>12941.441905891628</v>
      </c>
      <c r="D38" s="638">
        <f t="shared" si="9"/>
        <v>6085.2362994527439</v>
      </c>
      <c r="E38" s="638">
        <f t="shared" si="10"/>
        <v>6856.2056064388844</v>
      </c>
    </row>
    <row r="39" spans="1:16">
      <c r="A39">
        <f t="shared" si="11"/>
        <v>5</v>
      </c>
      <c r="B39" s="641">
        <f t="shared" si="12"/>
        <v>57198.913335168952</v>
      </c>
      <c r="C39" s="638">
        <f t="shared" si="13"/>
        <v>12941.441905891628</v>
      </c>
      <c r="D39" s="638">
        <f t="shared" si="9"/>
        <v>5433.8967668410505</v>
      </c>
      <c r="E39" s="638">
        <f t="shared" si="10"/>
        <v>7507.5451390505777</v>
      </c>
    </row>
    <row r="40" spans="1:16">
      <c r="A40">
        <f t="shared" si="11"/>
        <v>6</v>
      </c>
      <c r="B40" s="641">
        <f t="shared" si="12"/>
        <v>49691.368196118376</v>
      </c>
      <c r="C40" s="638">
        <f t="shared" si="13"/>
        <v>12941.441905891628</v>
      </c>
      <c r="D40" s="638">
        <f t="shared" si="9"/>
        <v>4720.6799786312458</v>
      </c>
      <c r="E40" s="638">
        <f t="shared" si="10"/>
        <v>8220.7619272603824</v>
      </c>
    </row>
    <row r="41" spans="1:16">
      <c r="A41">
        <f t="shared" si="11"/>
        <v>7</v>
      </c>
      <c r="B41" s="641">
        <f t="shared" si="12"/>
        <v>41470.606268857991</v>
      </c>
      <c r="C41" s="638">
        <f t="shared" si="13"/>
        <v>12941.441905891628</v>
      </c>
      <c r="D41" s="638">
        <f t="shared" si="9"/>
        <v>3939.7075955415094</v>
      </c>
      <c r="E41" s="638">
        <f t="shared" si="10"/>
        <v>9001.7343103501189</v>
      </c>
    </row>
    <row r="42" spans="1:16">
      <c r="A42">
        <f t="shared" si="11"/>
        <v>8</v>
      </c>
      <c r="B42" s="641">
        <f t="shared" si="12"/>
        <v>32468.871958507872</v>
      </c>
      <c r="C42" s="638">
        <f t="shared" si="13"/>
        <v>12941.441905891628</v>
      </c>
      <c r="D42" s="638">
        <f t="shared" si="9"/>
        <v>3084.5428360582478</v>
      </c>
      <c r="E42" s="638">
        <f t="shared" si="10"/>
        <v>9856.8990698333801</v>
      </c>
    </row>
    <row r="43" spans="1:16">
      <c r="A43">
        <f t="shared" si="11"/>
        <v>9</v>
      </c>
      <c r="B43" s="641">
        <f t="shared" si="12"/>
        <v>22611.972888674492</v>
      </c>
      <c r="C43" s="638">
        <f t="shared" si="13"/>
        <v>12941.441905891628</v>
      </c>
      <c r="D43" s="638">
        <f t="shared" si="9"/>
        <v>2148.1374244240769</v>
      </c>
      <c r="E43" s="638">
        <f t="shared" si="10"/>
        <v>10793.304481467552</v>
      </c>
    </row>
    <row r="44" spans="1:16">
      <c r="A44">
        <f t="shared" si="11"/>
        <v>10</v>
      </c>
      <c r="B44" s="641">
        <f t="shared" si="12"/>
        <v>11818.66840720694</v>
      </c>
      <c r="C44" s="638">
        <f t="shared" si="13"/>
        <v>12941.441905891628</v>
      </c>
      <c r="D44" s="638">
        <f t="shared" si="9"/>
        <v>1122.7734986846592</v>
      </c>
      <c r="E44" s="638">
        <f t="shared" si="10"/>
        <v>11818.668407206969</v>
      </c>
    </row>
    <row r="45" spans="1:16">
      <c r="B45" s="641"/>
      <c r="C45" s="638"/>
      <c r="D45" s="638"/>
      <c r="E45" s="638"/>
    </row>
    <row r="46" spans="1:16" ht="13.8" thickBot="1">
      <c r="B46" s="641"/>
      <c r="C46" s="638"/>
      <c r="D46" s="638"/>
      <c r="E46" s="638"/>
    </row>
    <row r="47" spans="1:16">
      <c r="B47" s="641"/>
      <c r="C47" s="638"/>
      <c r="D47" s="638"/>
      <c r="E47" s="638"/>
      <c r="G47" s="643"/>
      <c r="H47" s="410"/>
      <c r="I47" s="410"/>
      <c r="J47" s="410"/>
      <c r="K47" s="410"/>
      <c r="L47" s="410"/>
      <c r="M47" s="410"/>
      <c r="N47" s="410"/>
      <c r="O47" s="410"/>
      <c r="P47" s="644"/>
    </row>
    <row r="48" spans="1:16">
      <c r="B48" s="641"/>
      <c r="C48" s="638"/>
      <c r="D48" s="638"/>
      <c r="E48" s="638"/>
      <c r="G48" s="520"/>
      <c r="H48" s="178"/>
      <c r="I48" s="178"/>
      <c r="J48" s="645" t="s">
        <v>643</v>
      </c>
      <c r="K48" s="645"/>
      <c r="L48" s="645"/>
      <c r="M48" s="645" t="s">
        <v>635</v>
      </c>
      <c r="N48" s="178"/>
      <c r="O48" s="178"/>
      <c r="P48" s="328"/>
    </row>
    <row r="49" spans="2:16">
      <c r="B49" s="641"/>
      <c r="C49" s="638"/>
      <c r="D49" s="638"/>
      <c r="E49" s="638"/>
      <c r="G49" s="520"/>
      <c r="H49" s="178"/>
      <c r="I49" s="178"/>
      <c r="J49" s="178"/>
      <c r="K49" s="178"/>
      <c r="L49" s="178"/>
      <c r="M49" s="178"/>
      <c r="N49" s="178"/>
      <c r="O49" s="178"/>
      <c r="P49" s="328"/>
    </row>
    <row r="50" spans="2:16">
      <c r="B50" s="641"/>
      <c r="C50" s="638"/>
      <c r="D50" s="638"/>
      <c r="E50" s="638"/>
      <c r="G50" s="646"/>
      <c r="H50" s="178" t="s">
        <v>644</v>
      </c>
      <c r="I50" s="178"/>
      <c r="J50" s="647">
        <f>D3</f>
        <v>116081</v>
      </c>
      <c r="K50" s="647"/>
      <c r="L50" s="647"/>
      <c r="M50" s="647">
        <f>J50</f>
        <v>116081</v>
      </c>
      <c r="N50" s="178"/>
      <c r="O50" s="178"/>
      <c r="P50" s="328"/>
    </row>
    <row r="51" spans="2:16">
      <c r="B51" s="641"/>
      <c r="C51" s="638"/>
      <c r="D51" s="638"/>
      <c r="E51" s="638"/>
      <c r="G51" s="646"/>
      <c r="H51" s="178" t="s">
        <v>315</v>
      </c>
      <c r="I51" s="648">
        <v>0.65</v>
      </c>
      <c r="J51" s="647">
        <f>+I51*J50</f>
        <v>75452.650000000009</v>
      </c>
      <c r="K51" s="647"/>
      <c r="L51" s="649">
        <v>1</v>
      </c>
      <c r="M51" s="647">
        <f>+M50*L51</f>
        <v>116081</v>
      </c>
      <c r="N51" s="178"/>
      <c r="O51" s="178"/>
      <c r="P51" s="328"/>
    </row>
    <row r="52" spans="2:16">
      <c r="B52" s="641"/>
      <c r="C52" s="638"/>
      <c r="D52" s="638"/>
      <c r="E52" s="638"/>
      <c r="G52" s="646"/>
      <c r="H52" s="650" t="s">
        <v>641</v>
      </c>
      <c r="I52" s="178"/>
      <c r="J52" s="647">
        <f>+J50-J51</f>
        <v>40628.349999999991</v>
      </c>
      <c r="K52" s="647"/>
      <c r="L52" s="651"/>
      <c r="M52" s="647">
        <f>+M50-M51</f>
        <v>0</v>
      </c>
      <c r="N52" s="178"/>
      <c r="O52" s="178"/>
      <c r="P52" s="328"/>
    </row>
    <row r="53" spans="2:16">
      <c r="B53" s="641"/>
      <c r="C53" s="638"/>
      <c r="D53" s="638"/>
      <c r="E53" s="638"/>
      <c r="G53" s="520"/>
      <c r="H53" s="178" t="s">
        <v>645</v>
      </c>
      <c r="I53" s="648">
        <v>0</v>
      </c>
      <c r="J53" s="647">
        <v>0</v>
      </c>
      <c r="K53" s="647"/>
      <c r="L53" s="649">
        <v>0.2</v>
      </c>
      <c r="M53" s="647">
        <f>+L53*M50</f>
        <v>23216.2</v>
      </c>
      <c r="N53" s="178"/>
      <c r="O53" s="178"/>
      <c r="P53" s="328"/>
    </row>
    <row r="54" spans="2:16">
      <c r="B54" s="641"/>
      <c r="C54" s="638"/>
      <c r="D54" s="638"/>
      <c r="E54" s="638"/>
      <c r="G54" s="520"/>
      <c r="H54" s="178" t="s">
        <v>646</v>
      </c>
      <c r="I54" s="178"/>
      <c r="J54" s="647">
        <f>+G21+D8</f>
        <v>92412.845780063944</v>
      </c>
      <c r="K54" s="647"/>
      <c r="L54" s="651"/>
      <c r="M54" s="647">
        <f>+L20</f>
        <v>116081</v>
      </c>
      <c r="N54" s="178"/>
      <c r="O54" s="178"/>
      <c r="P54" s="328"/>
    </row>
    <row r="55" spans="2:16">
      <c r="B55" s="641"/>
      <c r="G55" s="520"/>
      <c r="H55" s="178"/>
      <c r="I55" s="178"/>
      <c r="J55" s="178"/>
      <c r="K55" s="178"/>
      <c r="L55" s="652"/>
      <c r="M55" s="178"/>
      <c r="N55" s="178"/>
      <c r="O55" s="178"/>
      <c r="P55" s="328"/>
    </row>
    <row r="56" spans="2:16">
      <c r="G56" s="520"/>
      <c r="H56" s="178"/>
      <c r="I56" s="178"/>
      <c r="J56" s="178"/>
      <c r="K56" s="178"/>
      <c r="L56" s="652"/>
      <c r="M56" s="178"/>
      <c r="N56" s="653" t="s">
        <v>647</v>
      </c>
      <c r="O56" s="420" t="s">
        <v>648</v>
      </c>
      <c r="P56" s="328"/>
    </row>
    <row r="57" spans="2:16">
      <c r="G57" s="520"/>
      <c r="H57" s="652" t="s">
        <v>649</v>
      </c>
      <c r="I57" s="648"/>
      <c r="J57" s="647">
        <f>+H16</f>
        <v>11634.961139278626</v>
      </c>
      <c r="K57" s="178"/>
      <c r="L57" s="652"/>
      <c r="M57" s="647">
        <f>+M16</f>
        <v>8706.0749999999989</v>
      </c>
      <c r="N57" s="647">
        <f>+M57-J57</f>
        <v>-2928.8861392786275</v>
      </c>
      <c r="O57" s="654">
        <f>+((N57*1000)/(230000))/12</f>
        <v>-1.0611906301734157</v>
      </c>
      <c r="P57" s="328"/>
    </row>
    <row r="58" spans="2:16">
      <c r="G58" s="520"/>
      <c r="H58" s="652" t="s">
        <v>650</v>
      </c>
      <c r="I58" s="655">
        <v>0.15</v>
      </c>
      <c r="J58" s="647">
        <f>+D8*I58</f>
        <v>5223.6449999999995</v>
      </c>
      <c r="K58" s="178"/>
      <c r="L58" s="656">
        <v>0.15</v>
      </c>
      <c r="M58" s="647">
        <f>+L58*M52</f>
        <v>0</v>
      </c>
      <c r="N58" s="647">
        <f>+M58-J58</f>
        <v>-5223.6449999999995</v>
      </c>
      <c r="O58" s="654">
        <f>+((N58*1000)/(230000))/12</f>
        <v>-1.8926249999999998</v>
      </c>
      <c r="P58" s="328"/>
    </row>
    <row r="59" spans="2:16">
      <c r="G59" s="520"/>
      <c r="H59" s="652" t="s">
        <v>651</v>
      </c>
      <c r="I59" s="655">
        <v>0.03</v>
      </c>
      <c r="J59" s="647">
        <f>+J53*I59</f>
        <v>0</v>
      </c>
      <c r="K59" s="178"/>
      <c r="L59" s="656">
        <v>0.03</v>
      </c>
      <c r="M59" s="647">
        <f>+L59*M53</f>
        <v>696.48599999999999</v>
      </c>
      <c r="N59" s="647">
        <f>+M59-J59</f>
        <v>696.48599999999999</v>
      </c>
      <c r="O59" s="654">
        <f>+((N59*1000)/(230000))/12</f>
        <v>0.25235000000000002</v>
      </c>
      <c r="P59" s="328"/>
    </row>
    <row r="60" spans="2:16">
      <c r="G60" s="520"/>
      <c r="H60" s="652" t="s">
        <v>652</v>
      </c>
      <c r="I60" s="655">
        <v>0.1</v>
      </c>
      <c r="J60" s="647">
        <f>-PMT(I60,5,,J54)</f>
        <v>15136.991331847777</v>
      </c>
      <c r="K60" s="178"/>
      <c r="L60" s="656">
        <f>+I60</f>
        <v>0.1</v>
      </c>
      <c r="M60" s="647">
        <f>-PMT(L60,5,,M54)</f>
        <v>19013.775368134822</v>
      </c>
      <c r="N60" s="647">
        <f>+M60-J60</f>
        <v>3876.7840362870447</v>
      </c>
      <c r="O60" s="654">
        <f>+((N60*1000)/(230000))/12</f>
        <v>1.4046318972054508</v>
      </c>
      <c r="P60" s="328"/>
    </row>
    <row r="61" spans="2:16">
      <c r="G61" s="520"/>
      <c r="H61" s="178"/>
      <c r="I61" s="657"/>
      <c r="J61" s="178"/>
      <c r="K61" s="178"/>
      <c r="L61" s="652"/>
      <c r="M61" s="647"/>
      <c r="N61" s="178"/>
      <c r="O61" s="178"/>
      <c r="P61" s="328"/>
    </row>
    <row r="62" spans="2:16">
      <c r="G62" s="520"/>
      <c r="H62" s="420" t="s">
        <v>653</v>
      </c>
      <c r="I62" s="178"/>
      <c r="J62" s="178"/>
      <c r="K62" s="178"/>
      <c r="L62" s="652"/>
      <c r="M62" s="647"/>
      <c r="N62" s="178"/>
      <c r="O62" s="658">
        <f>SUM(O57:O61)</f>
        <v>-1.2968337329679647</v>
      </c>
      <c r="P62" s="328"/>
    </row>
    <row r="63" spans="2:16">
      <c r="G63" s="520"/>
      <c r="H63" s="178"/>
      <c r="I63" s="178"/>
      <c r="J63" s="178"/>
      <c r="K63" s="178"/>
      <c r="L63" s="178"/>
      <c r="M63" s="647"/>
      <c r="N63" s="178"/>
      <c r="O63" s="658"/>
      <c r="P63" s="328"/>
    </row>
    <row r="64" spans="2:16" ht="13.8" thickBot="1">
      <c r="G64" s="659"/>
      <c r="H64" s="415"/>
      <c r="I64" s="415"/>
      <c r="J64" s="415"/>
      <c r="K64" s="415"/>
      <c r="L64" s="415"/>
      <c r="M64" s="660"/>
      <c r="N64" s="415"/>
      <c r="O64" s="415"/>
      <c r="P64" s="661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ColWidth="9.109375" defaultRowHeight="13.2"/>
  <cols>
    <col min="1" max="1" width="5" style="540" customWidth="1"/>
    <col min="2" max="2" width="44.88671875" style="540" customWidth="1"/>
    <col min="3" max="3" width="9.109375" style="540"/>
    <col min="4" max="4" width="9.5546875" style="540" customWidth="1"/>
    <col min="5" max="5" width="9.109375" style="540"/>
    <col min="6" max="6" width="4.33203125" style="540" customWidth="1"/>
    <col min="7" max="9" width="9.109375" style="540"/>
    <col min="10" max="10" width="4.33203125" style="540" customWidth="1"/>
    <col min="11" max="16384" width="9.10937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4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5.6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5.6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5.6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ColWidth="9.109375" defaultRowHeight="13.2"/>
  <cols>
    <col min="1" max="1" width="58.88671875" style="540" customWidth="1"/>
    <col min="2" max="2" width="19.88671875" style="540" customWidth="1"/>
    <col min="3" max="3" width="23.6640625" style="540" customWidth="1"/>
    <col min="4" max="4" width="24.33203125" style="540" customWidth="1"/>
    <col min="5" max="16384" width="9.10937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5.6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5.6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5.6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5.6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5.6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5.6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0.199999999999999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8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4300.9303278688476</v>
      </c>
      <c r="C11" s="387">
        <f t="shared" ref="C11:AF11" si="1">C29+C38</f>
        <v>10478.869178980462</v>
      </c>
      <c r="D11" s="387">
        <f t="shared" si="1"/>
        <v>10515.496889315069</v>
      </c>
      <c r="E11" s="387">
        <f t="shared" si="1"/>
        <v>10473.749759095181</v>
      </c>
      <c r="F11" s="387">
        <f t="shared" si="1"/>
        <v>10409.275924855901</v>
      </c>
      <c r="G11" s="387">
        <f t="shared" si="1"/>
        <v>10364.764940921821</v>
      </c>
      <c r="H11" s="387">
        <f t="shared" si="1"/>
        <v>10311.691306500659</v>
      </c>
      <c r="I11" s="387">
        <f t="shared" si="1"/>
        <v>10264.113047720746</v>
      </c>
      <c r="J11" s="387">
        <f t="shared" si="1"/>
        <v>10194.077026421033</v>
      </c>
      <c r="K11" s="387">
        <f t="shared" si="1"/>
        <v>10143.406043470748</v>
      </c>
      <c r="L11" s="387">
        <f t="shared" si="1"/>
        <v>10084.144476384103</v>
      </c>
      <c r="M11" s="387">
        <f t="shared" si="1"/>
        <v>10030.041277457925</v>
      </c>
      <c r="N11" s="387">
        <f t="shared" si="1"/>
        <v>9953.779896969887</v>
      </c>
      <c r="O11" s="387">
        <f t="shared" si="1"/>
        <v>9896.2153125018358</v>
      </c>
      <c r="P11" s="463">
        <f t="shared" si="1"/>
        <v>9830.028185850173</v>
      </c>
      <c r="Q11" s="387">
        <f t="shared" si="1"/>
        <v>9768.6222919735756</v>
      </c>
      <c r="R11" s="387">
        <f t="shared" si="1"/>
        <v>9685.3920256914225</v>
      </c>
      <c r="S11" s="387">
        <f t="shared" si="1"/>
        <v>9620.111422305934</v>
      </c>
      <c r="T11" s="387">
        <f t="shared" si="1"/>
        <v>9546.1717464548674</v>
      </c>
      <c r="U11" s="387">
        <f t="shared" si="1"/>
        <v>9476.5911825200965</v>
      </c>
      <c r="V11" s="387">
        <f t="shared" si="1"/>
        <v>4381.311811309828</v>
      </c>
      <c r="W11" s="387">
        <f t="shared" si="1"/>
        <v>-1673.8615531201676</v>
      </c>
      <c r="X11" s="387">
        <f t="shared" si="1"/>
        <v>-3190.9799596404632</v>
      </c>
      <c r="Y11" s="387">
        <f t="shared" si="1"/>
        <v>-3278.1732984838982</v>
      </c>
      <c r="Z11" s="387">
        <f t="shared" si="1"/>
        <v>-3361.0230620788025</v>
      </c>
      <c r="AA11" s="387">
        <f t="shared" si="1"/>
        <v>-3453.0743142477318</v>
      </c>
      <c r="AB11" s="387">
        <f t="shared" si="1"/>
        <v>-3545.4136144671456</v>
      </c>
      <c r="AC11" s="387">
        <f t="shared" si="1"/>
        <v>-3642.8558430645617</v>
      </c>
      <c r="AD11" s="387">
        <f t="shared" si="1"/>
        <v>-3735.4919106586399</v>
      </c>
      <c r="AE11" s="387">
        <f t="shared" si="1"/>
        <v>-3838.374990393665</v>
      </c>
      <c r="AF11" s="463">
        <f t="shared" si="1"/>
        <v>-4930.7613839514579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3308.407944514498</v>
      </c>
      <c r="C13" s="305">
        <f t="shared" ref="C13:AF13" si="2">C11/C12</f>
        <v>8060.6685992157391</v>
      </c>
      <c r="D13" s="305">
        <f t="shared" si="2"/>
        <v>8088.8437610115916</v>
      </c>
      <c r="E13" s="305">
        <f t="shared" si="2"/>
        <v>8056.7305839193696</v>
      </c>
      <c r="F13" s="305">
        <f t="shared" si="2"/>
        <v>8007.1353268122311</v>
      </c>
      <c r="G13" s="305">
        <f t="shared" si="2"/>
        <v>7972.8961084014009</v>
      </c>
      <c r="H13" s="305">
        <f t="shared" si="2"/>
        <v>7932.0702357697373</v>
      </c>
      <c r="I13" s="305">
        <f t="shared" si="2"/>
        <v>7895.4715751698041</v>
      </c>
      <c r="J13" s="305">
        <f t="shared" si="2"/>
        <v>7841.5977126315638</v>
      </c>
      <c r="K13" s="305">
        <f t="shared" si="2"/>
        <v>7802.6200334390369</v>
      </c>
      <c r="L13" s="305">
        <f t="shared" si="2"/>
        <v>7757.0342126031555</v>
      </c>
      <c r="M13" s="305">
        <f t="shared" si="2"/>
        <v>7715.4163672753266</v>
      </c>
      <c r="N13" s="305">
        <f t="shared" si="2"/>
        <v>7656.753766899913</v>
      </c>
      <c r="O13" s="305">
        <f t="shared" si="2"/>
        <v>7612.4733173091045</v>
      </c>
      <c r="P13" s="391">
        <f t="shared" si="2"/>
        <v>7561.5601429616709</v>
      </c>
      <c r="Q13" s="305">
        <f t="shared" si="2"/>
        <v>7514.324839979673</v>
      </c>
      <c r="R13" s="305">
        <f t="shared" si="2"/>
        <v>7450.3015582241705</v>
      </c>
      <c r="S13" s="305">
        <f t="shared" si="2"/>
        <v>7400.0857094661023</v>
      </c>
      <c r="T13" s="305">
        <f t="shared" si="2"/>
        <v>7343.2090357345132</v>
      </c>
      <c r="U13" s="305">
        <f t="shared" si="2"/>
        <v>7289.6855250154586</v>
      </c>
      <c r="V13" s="305">
        <f t="shared" si="2"/>
        <v>3370.239854853714</v>
      </c>
      <c r="W13" s="305">
        <f t="shared" si="2"/>
        <v>-1287.5858100924365</v>
      </c>
      <c r="X13" s="305">
        <f t="shared" si="2"/>
        <v>-2454.5999689542023</v>
      </c>
      <c r="Y13" s="305">
        <f t="shared" si="2"/>
        <v>-2521.671768064537</v>
      </c>
      <c r="Z13" s="305">
        <f t="shared" si="2"/>
        <v>-2585.4023554452324</v>
      </c>
      <c r="AA13" s="305">
        <f t="shared" si="2"/>
        <v>-2656.2110109597934</v>
      </c>
      <c r="AB13" s="305">
        <f t="shared" si="2"/>
        <v>-2727.2412418978042</v>
      </c>
      <c r="AC13" s="305">
        <f t="shared" si="2"/>
        <v>-2802.196802357355</v>
      </c>
      <c r="AD13" s="305">
        <f t="shared" si="2"/>
        <v>-2873.4553158912613</v>
      </c>
      <c r="AE13" s="305">
        <f t="shared" si="2"/>
        <v>-2952.5961464566653</v>
      </c>
      <c r="AF13" s="391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4.0927261579781771E-11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68285.900765627928</v>
      </c>
      <c r="D24" s="48">
        <f t="shared" ref="D24:AF24" si="3">C45</f>
        <v>65807.302944180221</v>
      </c>
      <c r="E24" s="48">
        <f t="shared" si="3"/>
        <v>63092.246596835852</v>
      </c>
      <c r="F24" s="48">
        <f t="shared" si="3"/>
        <v>60185.503610696243</v>
      </c>
      <c r="G24" s="48">
        <f t="shared" si="3"/>
        <v>57076.959123390101</v>
      </c>
      <c r="H24" s="48">
        <f t="shared" si="3"/>
        <v>53745.13992145958</v>
      </c>
      <c r="I24" s="48">
        <f t="shared" si="3"/>
        <v>50174.446592509456</v>
      </c>
      <c r="J24" s="48">
        <f t="shared" si="3"/>
        <v>46343.833736674984</v>
      </c>
      <c r="K24" s="48">
        <f t="shared" si="3"/>
        <v>42239.570427010149</v>
      </c>
      <c r="L24" s="48">
        <f t="shared" si="3"/>
        <v>37832.217743702146</v>
      </c>
      <c r="M24" s="48">
        <f t="shared" si="3"/>
        <v>33100.287738563886</v>
      </c>
      <c r="N24" s="48">
        <f t="shared" si="3"/>
        <v>28014.773759850181</v>
      </c>
      <c r="O24" s="48">
        <f t="shared" si="3"/>
        <v>22556.914656208206</v>
      </c>
      <c r="P24" s="48">
        <f t="shared" si="3"/>
        <v>16686.331090979751</v>
      </c>
      <c r="Q24" s="48">
        <f t="shared" si="3"/>
        <v>10373.401427263314</v>
      </c>
      <c r="R24" s="48">
        <f t="shared" si="3"/>
        <v>3578.1572585120653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1314.2150248429441</v>
      </c>
      <c r="Y24" s="48">
        <f t="shared" si="3"/>
        <v>3930.2387616348724</v>
      </c>
      <c r="Z24" s="48">
        <f t="shared" si="3"/>
        <v>6835.0822374343697</v>
      </c>
      <c r="AA24" s="48">
        <f t="shared" si="3"/>
        <v>10049.07911959483</v>
      </c>
      <c r="AB24" s="48">
        <f t="shared" si="3"/>
        <v>13606.372611979217</v>
      </c>
      <c r="AC24" s="48">
        <f t="shared" si="3"/>
        <v>17535.694972405025</v>
      </c>
      <c r="AD24" s="48">
        <f t="shared" si="3"/>
        <v>21873.246122929853</v>
      </c>
      <c r="AE24" s="48">
        <f t="shared" si="3"/>
        <v>26646.609966729196</v>
      </c>
      <c r="AF24" s="48">
        <f t="shared" si="3"/>
        <v>31903.956104805675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1222.2194891589897</v>
      </c>
      <c r="D26" s="48">
        <f t="shared" si="4"/>
        <v>1337.3077607609666</v>
      </c>
      <c r="E26" s="48">
        <f t="shared" si="4"/>
        <v>1422.2644574303995</v>
      </c>
      <c r="F26" s="48">
        <f t="shared" si="4"/>
        <v>1531.0997348995879</v>
      </c>
      <c r="G26" s="48">
        <f t="shared" si="4"/>
        <v>1638.4739686179601</v>
      </c>
      <c r="H26" s="48">
        <f t="shared" si="4"/>
        <v>1755.1220331705772</v>
      </c>
      <c r="I26" s="48">
        <f t="shared" si="4"/>
        <v>1875.2201586464143</v>
      </c>
      <c r="J26" s="48">
        <f t="shared" si="4"/>
        <v>2016.9576366902038</v>
      </c>
      <c r="K26" s="48">
        <f t="shared" si="4"/>
        <v>2163.7013866878478</v>
      </c>
      <c r="L26" s="48">
        <f t="shared" si="4"/>
        <v>2322.2136832284668</v>
      </c>
      <c r="M26" s="48">
        <f t="shared" si="4"/>
        <v>2490.4611421769987</v>
      </c>
      <c r="N26" s="48">
        <f t="shared" si="4"/>
        <v>2677.5078952358926</v>
      </c>
      <c r="O26" s="48">
        <f t="shared" si="4"/>
        <v>2878.3131694409421</v>
      </c>
      <c r="P26" s="48">
        <f t="shared" si="4"/>
        <v>3094.3546979710773</v>
      </c>
      <c r="Q26" s="48">
        <f t="shared" si="4"/>
        <v>3328.6766459889786</v>
      </c>
      <c r="R26" s="48">
        <f t="shared" si="4"/>
        <v>3578.1572585120243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-643.79290504621827</v>
      </c>
      <c r="X26" s="48">
        <f t="shared" si="4"/>
        <v>-1281.3628299511195</v>
      </c>
      <c r="Y26" s="48">
        <f t="shared" si="4"/>
        <v>-1423.1791047777106</v>
      </c>
      <c r="Z26" s="48">
        <f t="shared" si="4"/>
        <v>-1573.4917436714204</v>
      </c>
      <c r="AA26" s="48">
        <f t="shared" si="4"/>
        <v>-1741.4943355640498</v>
      </c>
      <c r="AB26" s="48">
        <f t="shared" si="4"/>
        <v>-1923.345784699226</v>
      </c>
      <c r="AC26" s="48">
        <f t="shared" si="4"/>
        <v>-2125.431290981458</v>
      </c>
      <c r="AD26" s="48">
        <f t="shared" si="4"/>
        <v>-2335.2978498823904</v>
      </c>
      <c r="AE26" s="48">
        <f t="shared" si="4"/>
        <v>-2572.4593024076166</v>
      </c>
      <c r="AF26" s="48">
        <f t="shared" si="4"/>
        <v>-3208.8792913780744</v>
      </c>
      <c r="AG26"/>
    </row>
    <row r="27" spans="1:33">
      <c r="A27" s="48" t="s">
        <v>56</v>
      </c>
      <c r="B27"/>
      <c r="C27" s="385">
        <f t="shared" ref="C27:AF27" si="5">C24*(C23-B41)/(C41-B41)*$E$64</f>
        <v>1404.538082186169</v>
      </c>
      <c r="D27" s="385">
        <f t="shared" si="5"/>
        <v>1353.5570598724194</v>
      </c>
      <c r="E27" s="385">
        <f t="shared" si="5"/>
        <v>1308.3883925409402</v>
      </c>
      <c r="F27" s="385">
        <f t="shared" si="5"/>
        <v>1237.9251187871289</v>
      </c>
      <c r="G27" s="385">
        <f t="shared" si="5"/>
        <v>1173.9870427913731</v>
      </c>
      <c r="H27" s="385">
        <f t="shared" si="5"/>
        <v>1105.4565423571448</v>
      </c>
      <c r="I27" s="385">
        <f t="shared" si="5"/>
        <v>1040.5028678610568</v>
      </c>
      <c r="J27" s="385">
        <f t="shared" si="5"/>
        <v>953.2228267892807</v>
      </c>
      <c r="K27" s="385">
        <f t="shared" si="5"/>
        <v>868.804315015832</v>
      </c>
      <c r="L27" s="385">
        <f t="shared" si="5"/>
        <v>778.15171153655854</v>
      </c>
      <c r="M27" s="385">
        <f t="shared" si="5"/>
        <v>686.42399982431675</v>
      </c>
      <c r="N27" s="385">
        <f t="shared" si="5"/>
        <v>576.22168219746641</v>
      </c>
      <c r="O27" s="385">
        <f t="shared" si="5"/>
        <v>463.96174460680305</v>
      </c>
      <c r="P27" s="385">
        <f t="shared" si="5"/>
        <v>343.21268675487806</v>
      </c>
      <c r="Q27" s="385">
        <f t="shared" si="5"/>
        <v>215.12053779488676</v>
      </c>
      <c r="R27" s="385">
        <f t="shared" si="5"/>
        <v>73.59730306377898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27.031422737009329</v>
      </c>
      <c r="Y27" s="385">
        <f t="shared" si="5"/>
        <v>81.504131696198584</v>
      </c>
      <c r="Z27" s="385">
        <f t="shared" si="5"/>
        <v>140.5873421850371</v>
      </c>
      <c r="AA27" s="385">
        <f t="shared" si="5"/>
        <v>206.6944150420772</v>
      </c>
      <c r="AB27" s="385">
        <f t="shared" si="5"/>
        <v>279.8625818751616</v>
      </c>
      <c r="AC27" s="385">
        <f t="shared" si="5"/>
        <v>363.65006787036651</v>
      </c>
      <c r="AD27" s="385">
        <f t="shared" si="5"/>
        <v>449.89971306272849</v>
      </c>
      <c r="AE27" s="385">
        <f t="shared" si="5"/>
        <v>548.08061458964232</v>
      </c>
      <c r="AF27" s="385">
        <f t="shared" si="5"/>
        <v>656.21630262144822</v>
      </c>
      <c r="AG27"/>
    </row>
    <row r="28" spans="1:33">
      <c r="A28" s="48" t="s">
        <v>57</v>
      </c>
      <c r="B28"/>
      <c r="C28" s="161">
        <f t="shared" ref="C28:AF28" si="6">MAX(C24+C25+B44+C27-0.5*C13,0)</f>
        <v>67063.681276468938</v>
      </c>
      <c r="D28" s="161">
        <f t="shared" si="6"/>
        <v>64469.995183419254</v>
      </c>
      <c r="E28" s="161">
        <f t="shared" si="6"/>
        <v>61669.982139405452</v>
      </c>
      <c r="F28" s="161">
        <f t="shared" si="6"/>
        <v>58654.403875796655</v>
      </c>
      <c r="G28" s="161">
        <f t="shared" si="6"/>
        <v>55438.485154772141</v>
      </c>
      <c r="H28" s="161">
        <f t="shared" si="6"/>
        <v>51990.017888289003</v>
      </c>
      <c r="I28" s="161">
        <f t="shared" si="6"/>
        <v>48299.226433863041</v>
      </c>
      <c r="J28" s="161">
        <f t="shared" si="6"/>
        <v>44326.87609998478</v>
      </c>
      <c r="K28" s="161">
        <f t="shared" si="6"/>
        <v>40075.869040322301</v>
      </c>
      <c r="L28" s="161">
        <f t="shared" si="6"/>
        <v>35510.004060473679</v>
      </c>
      <c r="M28" s="161">
        <f t="shared" si="6"/>
        <v>30609.826596386887</v>
      </c>
      <c r="N28" s="161">
        <f t="shared" si="6"/>
        <v>25337.265864614288</v>
      </c>
      <c r="O28" s="161">
        <f t="shared" si="6"/>
        <v>19678.601486767264</v>
      </c>
      <c r="P28" s="161">
        <f t="shared" si="6"/>
        <v>13591.976393008674</v>
      </c>
      <c r="Q28" s="161">
        <f t="shared" si="6"/>
        <v>7044.7247812743353</v>
      </c>
      <c r="R28" s="161">
        <f t="shared" si="6"/>
        <v>4.0927261579781771E-11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643.79290504621827</v>
      </c>
      <c r="X28" s="161">
        <f t="shared" si="6"/>
        <v>2595.5778547940636</v>
      </c>
      <c r="Y28" s="161">
        <f t="shared" si="6"/>
        <v>5353.417866412583</v>
      </c>
      <c r="Z28" s="161">
        <f t="shared" si="6"/>
        <v>8408.5739811057902</v>
      </c>
      <c r="AA28" s="161">
        <f t="shared" si="6"/>
        <v>11790.573455158879</v>
      </c>
      <c r="AB28" s="161">
        <f t="shared" si="6"/>
        <v>15529.718396678443</v>
      </c>
      <c r="AC28" s="161">
        <f t="shared" si="6"/>
        <v>19661.126263386483</v>
      </c>
      <c r="AD28" s="161">
        <f t="shared" si="6"/>
        <v>24208.543972812244</v>
      </c>
      <c r="AE28" s="161">
        <f t="shared" si="6"/>
        <v>29219.069269136813</v>
      </c>
      <c r="AF28" s="161">
        <f t="shared" si="6"/>
        <v>35112.835396183749</v>
      </c>
      <c r="AG28"/>
    </row>
    <row r="29" spans="1:33">
      <c r="A29" s="48" t="s">
        <v>323</v>
      </c>
      <c r="B29"/>
      <c r="C29" s="161">
        <f>(C23-B41)/(C41-B41)*IS!D32+(B41-B32)/(B41-Assumptions!H17)*IS!C32</f>
        <v>5188.7001652818308</v>
      </c>
      <c r="D29" s="161">
        <f>(D23-C41)/(D41-C41)*IS!E32+(C41-C32)/(C41-B41)*IS!D32</f>
        <v>5249.3269969863013</v>
      </c>
      <c r="E29" s="161">
        <f>(E23-D41)/(E41-D41)*IS!F32+(D41-D32)/(D41-C41)*IS!E32</f>
        <v>5246.5688655951799</v>
      </c>
      <c r="F29" s="161">
        <f>(F23-E41)/(F41-E41)*IS!G32+(E41-E32)/(E41-D41)*IS!F32</f>
        <v>5193.1298192349896</v>
      </c>
      <c r="G29" s="161">
        <f>(G23-F41)/(G41-F41)*IS!H32+(F41-F32)/(F41-E41)*IS!G32</f>
        <v>5174.6821358955785</v>
      </c>
      <c r="H29" s="161">
        <f>(H23-G41)/(H41-G41)*IS!I32+(G41-G32)/(G41-F41)*IS!H32</f>
        <v>5148.3994312005398</v>
      </c>
      <c r="I29" s="161">
        <f>(I23-H41)/(I41-H41)*IS!J32+(H41-H32)/(H41-G41)*IS!I32</f>
        <v>5142.3925856095248</v>
      </c>
      <c r="J29" s="161">
        <f>(J23-I41)/(J41-I41)*IS!K32+(I41-I32)/(I41-H41)*IS!J32</f>
        <v>5086.6334724687413</v>
      </c>
      <c r="K29" s="161">
        <f>(K23-J41)/(K41-J41)*IS!L32+(J41-J32)/(J41-I41)*IS!K32</f>
        <v>5065.0631874653154</v>
      </c>
      <c r="L29" s="161">
        <f>(L23-K41)/(L41-K41)*IS!M32+(K41-K32)/(K41-J41)*IS!L32</f>
        <v>5035.7165957936049</v>
      </c>
      <c r="M29" s="161">
        <f>(M23-L41)/(M41-L41)*IS!N32+(L41-L32)/(L41-K41)*IS!M32</f>
        <v>5026.0753987631433</v>
      </c>
      <c r="N29" s="161">
        <f>(N23-M41)/(N41-M41)*IS!O32+(M41-M32)/(M41-L41)*IS!N32</f>
        <v>4967.7184875382663</v>
      </c>
      <c r="O29" s="161">
        <f>(O23-N41)/(O41-N41)*IS!P32+(N41-N32)/(N41-M41)*IS!O32</f>
        <v>4942.6539477954175</v>
      </c>
      <c r="P29" s="161">
        <f>(P23-O41)/(P41-O41)*IS!Q32+(O41-O32)/(O41-N41)*IS!P32</f>
        <v>4909.8782813892321</v>
      </c>
      <c r="Q29" s="161">
        <f>(Q23-P41)/(Q41-P41)*IS!R32+(P41-P32)/(P41-O41)*IS!Q32</f>
        <v>4896.1705169727793</v>
      </c>
      <c r="R29" s="161">
        <f>(R23-Q41)/(R41-Q41)*IS!S32+(Q41-Q32)/(Q41-P41)*IS!R32</f>
        <v>4834.9043279671241</v>
      </c>
      <c r="S29" s="161">
        <f>(S23-R41)/(S41-R41)*IS!T32+(R41-R32)/(R41-Q41)*IS!S32</f>
        <v>4805.9289048275587</v>
      </c>
      <c r="T29" s="161">
        <f>(T23-S41)/(T41-S41)*IS!U32+(S41-S32)/(S41-R41)*IS!T32</f>
        <v>4769.3147372916974</v>
      </c>
      <c r="U29" s="161">
        <f>(U23-T41)/(U41-T41)*IS!V32+(T41-T32)/(T41-S41)*IS!U32</f>
        <v>4751.0559150025356</v>
      </c>
      <c r="V29" s="161">
        <f>(V23-U41)/(V41-U41)*IS!W32+(U41-U32)/(U41-T41)*IS!V32</f>
        <v>3024.5368035521619</v>
      </c>
      <c r="W29" s="161">
        <f>(W23-V41)/(W41-V41)*IS!X32+(V41-V32)/(V41-U41)*IS!W32</f>
        <v>-105.30976506564832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-1629.5475039043831</v>
      </c>
      <c r="Z29" s="161">
        <f>(Z23-Y41)/(Z41-Y41)*IS!AA32+(Y41-Y32)/(Y41-X41)*IS!Z32</f>
        <v>-1663.7884888901713</v>
      </c>
      <c r="AA29" s="161">
        <f>(AA23-Z41)/(AA41-Z41)*IS!AB32+(Z41-Z32)/(Z41-Y41)*IS!AA32</f>
        <v>-1710.5040465573322</v>
      </c>
      <c r="AB29" s="161">
        <f>(AB23-AA41)/(AB41-AA41)*IS!AC32+(AA41-AA32)/(AA41-Z41)*IS!AB32</f>
        <v>-1756.2282236362648</v>
      </c>
      <c r="AC29" s="161">
        <f>(AC23-AB41)/(AC41-AB41)*IS!AD32+(AB41-AB32)/(AB41-AA41)*IS!AC32</f>
        <v>-1810.7585750092719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-1901.2945724586834</v>
      </c>
      <c r="AF29" s="161">
        <f>(AF23-AE41)/(AG23-AE41)*IS!AG32+(AE41-AE32)/(AE41-AD41)*IS!AF32</f>
        <v>-3947.0802902906621</v>
      </c>
      <c r="AG29"/>
    </row>
    <row r="30" spans="1:33">
      <c r="A30" s="405" t="s">
        <v>0</v>
      </c>
      <c r="B30" s="407"/>
      <c r="C30" s="406">
        <f>IF(C28&gt;0.1,C29/(C27+C26+B44)," ")</f>
        <v>1.2874118570726691</v>
      </c>
      <c r="D30" s="406">
        <f t="shared" ref="D30:AF30" si="7">IF(D28&gt;0.1,D29/(D27+D26+C44)," ")</f>
        <v>1.2979177623106439</v>
      </c>
      <c r="E30" s="406">
        <f t="shared" si="7"/>
        <v>1.302406431727267</v>
      </c>
      <c r="F30" s="406">
        <f t="shared" si="7"/>
        <v>1.2971255279889096</v>
      </c>
      <c r="G30" s="406">
        <f t="shared" si="7"/>
        <v>1.2980683720292743</v>
      </c>
      <c r="H30" s="406">
        <f t="shared" si="7"/>
        <v>1.2981225022400311</v>
      </c>
      <c r="I30" s="406">
        <f t="shared" si="7"/>
        <v>1.3026182253082002</v>
      </c>
      <c r="J30" s="406">
        <f t="shared" si="7"/>
        <v>1.2973461936908537</v>
      </c>
      <c r="K30" s="406">
        <f t="shared" si="7"/>
        <v>1.2982980500802055</v>
      </c>
      <c r="L30" s="406">
        <f t="shared" si="7"/>
        <v>1.2983613215504122</v>
      </c>
      <c r="M30" s="406">
        <f t="shared" si="7"/>
        <v>1.3028656288936173</v>
      </c>
      <c r="N30" s="406">
        <f t="shared" si="7"/>
        <v>1.2976043474229699</v>
      </c>
      <c r="O30" s="406">
        <f t="shared" si="7"/>
        <v>1.298567165170065</v>
      </c>
      <c r="P30" s="406">
        <f t="shared" si="7"/>
        <v>1.2986416000299537</v>
      </c>
      <c r="Q30" s="406">
        <f t="shared" si="7"/>
        <v>1.3031564701389791</v>
      </c>
      <c r="R30" s="406" t="str">
        <f t="shared" si="7"/>
        <v xml:space="preserve"> 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0.16357708238193161</v>
      </c>
      <c r="X30" s="406">
        <f t="shared" si="7"/>
        <v>1.287965793163901</v>
      </c>
      <c r="Y30" s="406">
        <f t="shared" si="7"/>
        <v>1.2924342688383368</v>
      </c>
      <c r="Z30" s="406">
        <f t="shared" si="7"/>
        <v>1.2870634896622499</v>
      </c>
      <c r="AA30" s="406">
        <f t="shared" si="7"/>
        <v>1.2879278336695561</v>
      </c>
      <c r="AB30" s="406">
        <f t="shared" si="7"/>
        <v>1.2879155658515622</v>
      </c>
      <c r="AC30" s="406">
        <f t="shared" si="7"/>
        <v>1.292385012705721</v>
      </c>
      <c r="AD30" s="406">
        <f t="shared" si="7"/>
        <v>1.2870148538590567</v>
      </c>
      <c r="AE30" s="406">
        <f t="shared" si="7"/>
        <v>1.2878798712383193</v>
      </c>
      <c r="AF30" s="406">
        <f t="shared" si="7"/>
        <v>2.0813030596365083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67063.681276468938</v>
      </c>
      <c r="D33" s="48">
        <f t="shared" ref="D33:AF33" si="8">D28</f>
        <v>64469.995183419254</v>
      </c>
      <c r="E33" s="48">
        <f t="shared" si="8"/>
        <v>61669.982139405452</v>
      </c>
      <c r="F33" s="48">
        <f t="shared" si="8"/>
        <v>58654.403875796655</v>
      </c>
      <c r="G33" s="48">
        <f t="shared" si="8"/>
        <v>55438.485154772141</v>
      </c>
      <c r="H33" s="48">
        <f t="shared" si="8"/>
        <v>51990.017888289003</v>
      </c>
      <c r="I33" s="48">
        <f t="shared" si="8"/>
        <v>48299.226433863041</v>
      </c>
      <c r="J33" s="48">
        <f t="shared" si="8"/>
        <v>44326.87609998478</v>
      </c>
      <c r="K33" s="48">
        <f t="shared" si="8"/>
        <v>40075.869040322301</v>
      </c>
      <c r="L33" s="48">
        <f t="shared" si="8"/>
        <v>35510.004060473679</v>
      </c>
      <c r="M33" s="48">
        <f t="shared" si="8"/>
        <v>30609.826596386887</v>
      </c>
      <c r="N33" s="48">
        <f t="shared" si="8"/>
        <v>25337.265864614288</v>
      </c>
      <c r="O33" s="48">
        <f t="shared" si="8"/>
        <v>19678.601486767264</v>
      </c>
      <c r="P33" s="48">
        <f t="shared" si="8"/>
        <v>13591.976393008674</v>
      </c>
      <c r="Q33" s="48">
        <f t="shared" si="8"/>
        <v>7044.7247812743353</v>
      </c>
      <c r="R33" s="48">
        <f t="shared" si="8"/>
        <v>4.0927261579781771E-11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643.79290504621827</v>
      </c>
      <c r="X33" s="48">
        <f t="shared" si="8"/>
        <v>2595.5778547940636</v>
      </c>
      <c r="Y33" s="48">
        <f t="shared" si="8"/>
        <v>5353.417866412583</v>
      </c>
      <c r="Z33" s="48">
        <f t="shared" si="8"/>
        <v>8408.5739811057902</v>
      </c>
      <c r="AA33" s="48">
        <f t="shared" si="8"/>
        <v>11790.573455158879</v>
      </c>
      <c r="AB33" s="48">
        <f t="shared" si="8"/>
        <v>15529.718396678443</v>
      </c>
      <c r="AC33" s="48">
        <f t="shared" si="8"/>
        <v>19661.126263386483</v>
      </c>
      <c r="AD33" s="48">
        <f t="shared" si="8"/>
        <v>24208.543972812244</v>
      </c>
      <c r="AE33" s="48">
        <f t="shared" si="8"/>
        <v>29219.069269136813</v>
      </c>
      <c r="AF33" s="48">
        <f t="shared" si="8"/>
        <v>35112.835396183749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916.86274952473468</v>
      </c>
      <c r="C35" s="48">
        <f>C33-C37</f>
        <v>1256.3783322887175</v>
      </c>
      <c r="D35" s="48">
        <f t="shared" ref="D35:AF35" si="9">D33-D37</f>
        <v>1377.7485865834024</v>
      </c>
      <c r="E35" s="48">
        <f t="shared" si="9"/>
        <v>1484.4785287092091</v>
      </c>
      <c r="F35" s="48">
        <f t="shared" si="9"/>
        <v>1577.4447524065545</v>
      </c>
      <c r="G35" s="48">
        <f t="shared" si="9"/>
        <v>1693.3452333125606</v>
      </c>
      <c r="H35" s="48">
        <f t="shared" si="9"/>
        <v>1815.5712957795477</v>
      </c>
      <c r="I35" s="48">
        <f t="shared" si="9"/>
        <v>1955.3926971880574</v>
      </c>
      <c r="J35" s="48">
        <f t="shared" si="9"/>
        <v>2087.3056729746313</v>
      </c>
      <c r="K35" s="48">
        <f t="shared" si="9"/>
        <v>2243.6512966201553</v>
      </c>
      <c r="L35" s="48">
        <f t="shared" si="9"/>
        <v>2409.7163219097929</v>
      </c>
      <c r="M35" s="48">
        <f t="shared" si="9"/>
        <v>2595.0528365367063</v>
      </c>
      <c r="N35" s="48">
        <f t="shared" si="9"/>
        <v>2780.3512084060822</v>
      </c>
      <c r="O35" s="48">
        <f t="shared" si="9"/>
        <v>2992.2703957875128</v>
      </c>
      <c r="P35" s="48">
        <f t="shared" si="9"/>
        <v>3218.5749657453598</v>
      </c>
      <c r="Q35" s="48">
        <f t="shared" si="9"/>
        <v>3466.5675227622701</v>
      </c>
      <c r="R35" s="48">
        <f t="shared" si="9"/>
        <v>4.0927261579781771E-11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-670.42211979672584</v>
      </c>
      <c r="X35" s="48">
        <f t="shared" si="9"/>
        <v>-1334.6609068408088</v>
      </c>
      <c r="Y35" s="48">
        <f t="shared" si="9"/>
        <v>-1481.6643710217868</v>
      </c>
      <c r="Z35" s="48">
        <f t="shared" si="9"/>
        <v>-1640.5051384890394</v>
      </c>
      <c r="AA35" s="48">
        <f t="shared" si="9"/>
        <v>-1815.7991568203379</v>
      </c>
      <c r="AB35" s="48">
        <f t="shared" si="9"/>
        <v>-2005.9765757265814</v>
      </c>
      <c r="AC35" s="48">
        <f t="shared" si="9"/>
        <v>-2212.1198595433707</v>
      </c>
      <c r="AD35" s="48">
        <f t="shared" si="9"/>
        <v>-2438.0659939169527</v>
      </c>
      <c r="AE35" s="48">
        <f t="shared" si="9"/>
        <v>-2684.8868356688617</v>
      </c>
      <c r="AF35" s="48">
        <f t="shared" si="9"/>
        <v>-2134.540569986013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2773.9559673191502</v>
      </c>
      <c r="D36" s="385">
        <f t="shared" si="10"/>
        <v>2666.6732939223893</v>
      </c>
      <c r="E36" s="385">
        <f t="shared" si="10"/>
        <v>2543.8867632504748</v>
      </c>
      <c r="F36" s="385">
        <f t="shared" si="10"/>
        <v>2426.1229109995616</v>
      </c>
      <c r="G36" s="385">
        <f t="shared" si="10"/>
        <v>2293.1028208881435</v>
      </c>
      <c r="H36" s="385">
        <f t="shared" si="10"/>
        <v>2150.4638221053242</v>
      </c>
      <c r="I36" s="385">
        <f t="shared" si="10"/>
        <v>1992.3430903968506</v>
      </c>
      <c r="J36" s="385">
        <f t="shared" si="10"/>
        <v>1833.4931833411513</v>
      </c>
      <c r="K36" s="385">
        <f t="shared" si="10"/>
        <v>1657.658720099359</v>
      </c>
      <c r="L36" s="385">
        <f t="shared" si="10"/>
        <v>1468.8007843917846</v>
      </c>
      <c r="M36" s="385">
        <f t="shared" si="10"/>
        <v>1262.6553471009593</v>
      </c>
      <c r="N36" s="385">
        <f t="shared" si="10"/>
        <v>1048.0256750438746</v>
      </c>
      <c r="O36" s="385">
        <f t="shared" si="10"/>
        <v>813.9662628670377</v>
      </c>
      <c r="P36" s="385">
        <f t="shared" si="10"/>
        <v>562.20510573547517</v>
      </c>
      <c r="Q36" s="385">
        <f t="shared" si="10"/>
        <v>290.59489722756632</v>
      </c>
      <c r="R36" s="385">
        <f t="shared" si="10"/>
        <v>1.6928748813719322E-12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26.629214750507618</v>
      </c>
      <c r="X36" s="385">
        <f t="shared" si="10"/>
        <v>107.36092236370789</v>
      </c>
      <c r="Y36" s="385">
        <f t="shared" si="10"/>
        <v>220.82848698951906</v>
      </c>
      <c r="Z36" s="385">
        <f t="shared" si="10"/>
        <v>347.80396076642376</v>
      </c>
      <c r="AA36" s="385">
        <f t="shared" si="10"/>
        <v>487.69365134044165</v>
      </c>
      <c r="AB36" s="385">
        <f t="shared" si="10"/>
        <v>642.3559547776789</v>
      </c>
      <c r="AC36" s="385">
        <f t="shared" si="10"/>
        <v>811.02145836469242</v>
      </c>
      <c r="AD36" s="385">
        <f t="shared" si="10"/>
        <v>1001.3383359713229</v>
      </c>
      <c r="AE36" s="385">
        <f t="shared" si="10"/>
        <v>1208.5887624405289</v>
      </c>
      <c r="AF36" s="385">
        <f t="shared" si="10"/>
        <v>238.093883850835</v>
      </c>
      <c r="AG36"/>
    </row>
    <row r="37" spans="1:39">
      <c r="A37" s="48" t="s">
        <v>57</v>
      </c>
      <c r="B37" s="161">
        <f>MAX(B33+B34+B36-B13,0)</f>
        <v>68285.900765627928</v>
      </c>
      <c r="C37" s="161">
        <f>MAX(C33+C34+C36-0.5*C13,0)</f>
        <v>65807.302944180221</v>
      </c>
      <c r="D37" s="161">
        <f t="shared" ref="D37:AF37" si="11">MAX(D33+D34+D36-0.5*D13,0)</f>
        <v>63092.246596835852</v>
      </c>
      <c r="E37" s="161">
        <f t="shared" si="11"/>
        <v>60185.503610696243</v>
      </c>
      <c r="F37" s="161">
        <f t="shared" si="11"/>
        <v>57076.959123390101</v>
      </c>
      <c r="G37" s="161">
        <f t="shared" si="11"/>
        <v>53745.13992145958</v>
      </c>
      <c r="H37" s="161">
        <f t="shared" si="11"/>
        <v>50174.446592509456</v>
      </c>
      <c r="I37" s="161">
        <f t="shared" si="11"/>
        <v>46343.833736674984</v>
      </c>
      <c r="J37" s="161">
        <f t="shared" si="11"/>
        <v>42239.570427010149</v>
      </c>
      <c r="K37" s="161">
        <f t="shared" si="11"/>
        <v>37832.217743702146</v>
      </c>
      <c r="L37" s="161">
        <f t="shared" si="11"/>
        <v>33100.287738563886</v>
      </c>
      <c r="M37" s="161">
        <f t="shared" si="11"/>
        <v>28014.773759850181</v>
      </c>
      <c r="N37" s="161">
        <f t="shared" si="11"/>
        <v>22556.914656208206</v>
      </c>
      <c r="O37" s="161">
        <f t="shared" si="11"/>
        <v>16686.331090979751</v>
      </c>
      <c r="P37" s="161">
        <f t="shared" si="11"/>
        <v>10373.401427263314</v>
      </c>
      <c r="Q37" s="161">
        <f t="shared" si="11"/>
        <v>3578.1572585120653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1314.2150248429441</v>
      </c>
      <c r="X37" s="161">
        <f t="shared" si="11"/>
        <v>3930.2387616348724</v>
      </c>
      <c r="Y37" s="161">
        <f t="shared" si="11"/>
        <v>6835.0822374343697</v>
      </c>
      <c r="Z37" s="161">
        <f t="shared" si="11"/>
        <v>10049.07911959483</v>
      </c>
      <c r="AA37" s="161">
        <f t="shared" si="11"/>
        <v>13606.372611979217</v>
      </c>
      <c r="AB37" s="161">
        <f t="shared" si="11"/>
        <v>17535.694972405025</v>
      </c>
      <c r="AC37" s="161">
        <f t="shared" si="11"/>
        <v>21873.246122929853</v>
      </c>
      <c r="AD37" s="161">
        <f t="shared" si="11"/>
        <v>26646.609966729196</v>
      </c>
      <c r="AE37" s="161">
        <f t="shared" si="11"/>
        <v>31903.956104805675</v>
      </c>
      <c r="AF37" s="161">
        <f t="shared" si="11"/>
        <v>37247.375966169762</v>
      </c>
      <c r="AG37"/>
    </row>
    <row r="38" spans="1:39">
      <c r="A38" s="48" t="s">
        <v>323</v>
      </c>
      <c r="B38" s="161">
        <f>(B32-Assumptions!H17)/(Debt!B41-Assumptions!H17)*IS!C32</f>
        <v>4300.9303278688476</v>
      </c>
      <c r="C38" s="161">
        <f>(C32-C23)/(C41-B41)*IS!D32</f>
        <v>5290.1690136986308</v>
      </c>
      <c r="D38" s="161">
        <f>(D32-D23)/(D41-C41)*IS!E32</f>
        <v>5266.1698923287677</v>
      </c>
      <c r="E38" s="161">
        <f>(E32-E23)/(E41-D41)*IS!F32</f>
        <v>5227.1808935000008</v>
      </c>
      <c r="F38" s="161">
        <f>(F32-F23)/(F41-E41)*IS!G32</f>
        <v>5216.1461056209118</v>
      </c>
      <c r="G38" s="161">
        <f>(G32-G23)/(G41-F41)*IS!H32</f>
        <v>5190.0828050262426</v>
      </c>
      <c r="H38" s="161">
        <f>(H32-H23)/(H41-G41)*IS!I32</f>
        <v>5163.2918753001186</v>
      </c>
      <c r="I38" s="161">
        <f>(I32-I23)/(I41-H41)*IS!J32</f>
        <v>5121.7204621112214</v>
      </c>
      <c r="J38" s="161">
        <f>(J32-J23)/(J41-I41)*IS!K32</f>
        <v>5107.443553952291</v>
      </c>
      <c r="K38" s="161">
        <f>(K32-K23)/(K41-J41)*IS!L32</f>
        <v>5078.3428560054326</v>
      </c>
      <c r="L38" s="161">
        <f>(L32-L23)/(L41-K41)*IS!M32</f>
        <v>5048.4278805904978</v>
      </c>
      <c r="M38" s="161">
        <f>(M32-M23)/(M41-L41)*IS!N32</f>
        <v>5003.9658786947821</v>
      </c>
      <c r="N38" s="161">
        <f>(N32-N23)/(N41-M41)*IS!O32</f>
        <v>4986.0614094316206</v>
      </c>
      <c r="O38" s="161">
        <f>(O32-O23)/(O41-N41)*IS!P32</f>
        <v>4953.5613647064183</v>
      </c>
      <c r="P38" s="161">
        <f>(P32-P23)/(P41-O41)*IS!Q32</f>
        <v>4920.14990446094</v>
      </c>
      <c r="Q38" s="161">
        <f>(Q32-Q23)/(Q41-P41)*IS!R32</f>
        <v>4872.4517750007963</v>
      </c>
      <c r="R38" s="161">
        <f>(R32-R23)/(R41-Q41)*IS!S32</f>
        <v>4850.4876977242984</v>
      </c>
      <c r="S38" s="161">
        <f>(S32-S23)/(S41-R41)*IS!T32</f>
        <v>4814.1825174783762</v>
      </c>
      <c r="T38" s="161">
        <f>(T32-T23)/(T41-S41)*IS!U32</f>
        <v>4776.8570091631709</v>
      </c>
      <c r="U38" s="161">
        <f>(U32-U23)/(U41-T41)*IS!V32</f>
        <v>4725.53526751756</v>
      </c>
      <c r="V38" s="161">
        <f>(V32-V23)/(V41-U41)*IS!W32</f>
        <v>1356.7750077576661</v>
      </c>
      <c r="W38" s="161">
        <f>(W32-W23)/(W41-V41)*IS!X32</f>
        <v>-1568.5517880545194</v>
      </c>
      <c r="X38" s="161">
        <f>(X32-X23)/(X41-W41)*IS!Y32</f>
        <v>-1610.2595616833705</v>
      </c>
      <c r="Y38" s="161">
        <f>(Y32-Y23)/(Y41-X41)*IS!Z32</f>
        <v>-1648.6257945795151</v>
      </c>
      <c r="Z38" s="161">
        <f>(Z32-Z23)/(Z41-Y41)*IS!AA32</f>
        <v>-1697.2345731886314</v>
      </c>
      <c r="AA38" s="161">
        <f>(AA32-AA23)/(AA41-Z41)*IS!AB32</f>
        <v>-1742.5702676903995</v>
      </c>
      <c r="AB38" s="161">
        <f>(AB32-AB23)/(AB41-AA41)*IS!AC32</f>
        <v>-1789.1853908308806</v>
      </c>
      <c r="AC38" s="161">
        <f>(AC32-AC23)/(AC41-AB41)*IS!AD32</f>
        <v>-1832.0972680552895</v>
      </c>
      <c r="AD38" s="161">
        <f>(AD32-AD23)/(AD41-AC41)*IS!AE32</f>
        <v>-1886.402073932481</v>
      </c>
      <c r="AE38" s="161">
        <f>(AE32-AE23)/(AE41-AD41)*IS!AF32</f>
        <v>-1937.0804179349816</v>
      </c>
      <c r="AF38" s="161">
        <f>(AF32-AF23)/(AG23-AE41)*IS!AG32</f>
        <v>-983.68109366079602</v>
      </c>
      <c r="AG38"/>
    </row>
    <row r="39" spans="1:39">
      <c r="A39" s="405" t="s">
        <v>0</v>
      </c>
      <c r="B39" s="406">
        <f t="shared" ref="B39:AF39" si="12">IF(B37&gt;0.1,B38/(B36+B35)," ")</f>
        <v>1.2999999999999963</v>
      </c>
      <c r="C39" s="406">
        <f t="shared" si="12"/>
        <v>1.3125881429273345</v>
      </c>
      <c r="D39" s="406">
        <f t="shared" si="12"/>
        <v>1.3020822376893544</v>
      </c>
      <c r="E39" s="406">
        <f t="shared" si="12"/>
        <v>1.2975935682727342</v>
      </c>
      <c r="F39" s="406">
        <f t="shared" si="12"/>
        <v>1.3028744720110887</v>
      </c>
      <c r="G39" s="406">
        <f t="shared" si="12"/>
        <v>1.3019316279707227</v>
      </c>
      <c r="H39" s="406">
        <f t="shared" si="12"/>
        <v>1.3018774977599685</v>
      </c>
      <c r="I39" s="406">
        <f t="shared" si="12"/>
        <v>1.2973817746917957</v>
      </c>
      <c r="J39" s="406">
        <f t="shared" si="12"/>
        <v>1.3026538063091437</v>
      </c>
      <c r="K39" s="406">
        <f t="shared" si="12"/>
        <v>1.3017019499197984</v>
      </c>
      <c r="L39" s="406">
        <f t="shared" si="12"/>
        <v>1.3016386784495859</v>
      </c>
      <c r="M39" s="406">
        <f t="shared" si="12"/>
        <v>1.2971343711063807</v>
      </c>
      <c r="N39" s="406">
        <f t="shared" si="12"/>
        <v>1.3023956525770293</v>
      </c>
      <c r="O39" s="406">
        <f t="shared" si="12"/>
        <v>1.3014328348299369</v>
      </c>
      <c r="P39" s="406">
        <f t="shared" si="12"/>
        <v>1.3013583999700471</v>
      </c>
      <c r="Q39" s="406">
        <f t="shared" si="12"/>
        <v>1.2968435298610212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2.436422917618069</v>
      </c>
      <c r="X39" s="406">
        <f t="shared" si="12"/>
        <v>1.3120342068360997</v>
      </c>
      <c r="Y39" s="406">
        <f t="shared" si="12"/>
        <v>1.3075657311616637</v>
      </c>
      <c r="Z39" s="406">
        <f t="shared" si="12"/>
        <v>1.3129365103377506</v>
      </c>
      <c r="AA39" s="406">
        <f t="shared" si="12"/>
        <v>1.312072166330446</v>
      </c>
      <c r="AB39" s="406">
        <f t="shared" si="12"/>
        <v>1.3120844341484368</v>
      </c>
      <c r="AC39" s="406">
        <f t="shared" si="12"/>
        <v>1.3076149872942773</v>
      </c>
      <c r="AD39" s="406">
        <f t="shared" si="12"/>
        <v>1.3129851461409454</v>
      </c>
      <c r="AE39" s="406">
        <f t="shared" si="12"/>
        <v>1.3121201287616808</v>
      </c>
      <c r="AF39" s="406">
        <f t="shared" si="12"/>
        <v>0.51869694036348968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68285.900765627928</v>
      </c>
      <c r="C42" s="48">
        <f>C37</f>
        <v>65807.302944180221</v>
      </c>
      <c r="D42" s="48">
        <f t="shared" ref="D42:AF42" si="14">D37</f>
        <v>63092.246596835852</v>
      </c>
      <c r="E42" s="48">
        <f t="shared" si="14"/>
        <v>60185.503610696243</v>
      </c>
      <c r="F42" s="48">
        <f t="shared" si="14"/>
        <v>57076.959123390101</v>
      </c>
      <c r="G42" s="48">
        <f t="shared" si="14"/>
        <v>53745.13992145958</v>
      </c>
      <c r="H42" s="48">
        <f t="shared" si="14"/>
        <v>50174.446592509456</v>
      </c>
      <c r="I42" s="48">
        <f t="shared" si="14"/>
        <v>46343.833736674984</v>
      </c>
      <c r="J42" s="48">
        <f t="shared" si="14"/>
        <v>42239.570427010149</v>
      </c>
      <c r="K42" s="48">
        <f t="shared" si="14"/>
        <v>37832.217743702146</v>
      </c>
      <c r="L42" s="48">
        <f t="shared" si="14"/>
        <v>33100.287738563886</v>
      </c>
      <c r="M42" s="48">
        <f t="shared" si="14"/>
        <v>28014.773759850181</v>
      </c>
      <c r="N42" s="48">
        <f t="shared" si="14"/>
        <v>22556.914656208206</v>
      </c>
      <c r="O42" s="48">
        <f t="shared" si="14"/>
        <v>16686.331090979751</v>
      </c>
      <c r="P42" s="48">
        <f t="shared" si="14"/>
        <v>10373.401427263314</v>
      </c>
      <c r="Q42" s="48">
        <f t="shared" si="14"/>
        <v>3578.1572585120653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1314.2150248429441</v>
      </c>
      <c r="X42" s="48">
        <f t="shared" si="14"/>
        <v>3930.2387616348724</v>
      </c>
      <c r="Y42" s="48">
        <f t="shared" si="14"/>
        <v>6835.0822374343697</v>
      </c>
      <c r="Z42" s="48">
        <f t="shared" si="14"/>
        <v>10049.07911959483</v>
      </c>
      <c r="AA42" s="48">
        <f t="shared" si="14"/>
        <v>13606.372611979217</v>
      </c>
      <c r="AB42" s="48">
        <f t="shared" si="14"/>
        <v>17535.694972405025</v>
      </c>
      <c r="AC42" s="48">
        <f t="shared" si="14"/>
        <v>21873.246122929853</v>
      </c>
      <c r="AD42" s="48">
        <f t="shared" si="14"/>
        <v>26646.609966729196</v>
      </c>
      <c r="AE42" s="48">
        <f t="shared" si="14"/>
        <v>31903.956104805675</v>
      </c>
      <c r="AF42" s="48">
        <f t="shared" si="14"/>
        <v>37247.375966169762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1403.5767282627016</v>
      </c>
      <c r="C44" s="385">
        <f t="shared" ref="C44:AF44" si="15">C42*(C41-C32)/(C41-B41)*$E$64</f>
        <v>1353.5570598724194</v>
      </c>
      <c r="D44" s="385">
        <f t="shared" si="15"/>
        <v>1297.7124419883428</v>
      </c>
      <c r="E44" s="385">
        <f t="shared" si="15"/>
        <v>1234.5428097194044</v>
      </c>
      <c r="F44" s="385">
        <f t="shared" si="15"/>
        <v>1173.9870427913731</v>
      </c>
      <c r="G44" s="385">
        <f t="shared" si="15"/>
        <v>1105.4565423571448</v>
      </c>
      <c r="H44" s="385">
        <f t="shared" si="15"/>
        <v>1032.0127610774377</v>
      </c>
      <c r="I44" s="385">
        <f t="shared" si="15"/>
        <v>950.61839283630445</v>
      </c>
      <c r="J44" s="385">
        <f t="shared" si="15"/>
        <v>868.804315015832</v>
      </c>
      <c r="K44" s="385">
        <f t="shared" si="15"/>
        <v>778.15171153655854</v>
      </c>
      <c r="L44" s="385">
        <f t="shared" si="15"/>
        <v>680.82304163635183</v>
      </c>
      <c r="M44" s="385">
        <f t="shared" si="15"/>
        <v>574.64730601659903</v>
      </c>
      <c r="N44" s="385">
        <f t="shared" si="15"/>
        <v>463.96174460680305</v>
      </c>
      <c r="O44" s="385">
        <f t="shared" si="15"/>
        <v>343.21268675487806</v>
      </c>
      <c r="P44" s="385">
        <f t="shared" si="15"/>
        <v>213.36523620597077</v>
      </c>
      <c r="Q44" s="385">
        <f t="shared" si="15"/>
        <v>73.396217536282322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27.031422737009329</v>
      </c>
      <c r="X44" s="385">
        <f t="shared" si="15"/>
        <v>80.839089049243299</v>
      </c>
      <c r="Y44" s="385">
        <f t="shared" si="15"/>
        <v>140.20322376376649</v>
      </c>
      <c r="Z44" s="385">
        <f t="shared" si="15"/>
        <v>206.6944150420772</v>
      </c>
      <c r="AA44" s="385">
        <f t="shared" si="15"/>
        <v>279.8625818751616</v>
      </c>
      <c r="AB44" s="385">
        <f t="shared" si="15"/>
        <v>360.68282193241293</v>
      </c>
      <c r="AC44" s="385">
        <f t="shared" si="15"/>
        <v>448.67047887403248</v>
      </c>
      <c r="AD44" s="385">
        <f t="shared" si="15"/>
        <v>548.08061458964232</v>
      </c>
      <c r="AE44" s="385">
        <f t="shared" si="15"/>
        <v>656.21630262144822</v>
      </c>
      <c r="AF44" s="385">
        <f t="shared" si="15"/>
        <v>2054.2182964356093</v>
      </c>
    </row>
    <row r="45" spans="1:39">
      <c r="A45" s="48" t="s">
        <v>57</v>
      </c>
      <c r="B45" s="48">
        <f>B42+B43</f>
        <v>68285.900765627928</v>
      </c>
      <c r="C45" s="48">
        <f t="shared" ref="C45:AF45" si="16">C42+C43</f>
        <v>65807.302944180221</v>
      </c>
      <c r="D45" s="48">
        <f t="shared" si="16"/>
        <v>63092.246596835852</v>
      </c>
      <c r="E45" s="48">
        <f t="shared" si="16"/>
        <v>60185.503610696243</v>
      </c>
      <c r="F45" s="48">
        <f t="shared" si="16"/>
        <v>57076.959123390101</v>
      </c>
      <c r="G45" s="48">
        <f t="shared" si="16"/>
        <v>53745.13992145958</v>
      </c>
      <c r="H45" s="48">
        <f t="shared" si="16"/>
        <v>50174.446592509456</v>
      </c>
      <c r="I45" s="48">
        <f t="shared" si="16"/>
        <v>46343.833736674984</v>
      </c>
      <c r="J45" s="48">
        <f t="shared" si="16"/>
        <v>42239.570427010149</v>
      </c>
      <c r="K45" s="48">
        <f t="shared" si="16"/>
        <v>37832.217743702146</v>
      </c>
      <c r="L45" s="48">
        <f t="shared" si="16"/>
        <v>33100.287738563886</v>
      </c>
      <c r="M45" s="48">
        <f t="shared" si="16"/>
        <v>28014.773759850181</v>
      </c>
      <c r="N45" s="48">
        <f t="shared" si="16"/>
        <v>22556.914656208206</v>
      </c>
      <c r="O45" s="48">
        <f t="shared" si="16"/>
        <v>16686.331090979751</v>
      </c>
      <c r="P45" s="48">
        <f t="shared" si="16"/>
        <v>10373.401427263314</v>
      </c>
      <c r="Q45" s="48">
        <f t="shared" si="16"/>
        <v>3578.1572585120653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1314.2150248429441</v>
      </c>
      <c r="X45" s="48">
        <f t="shared" si="16"/>
        <v>3930.2387616348724</v>
      </c>
      <c r="Y45" s="48">
        <f t="shared" si="16"/>
        <v>6835.0822374343697</v>
      </c>
      <c r="Z45" s="48">
        <f t="shared" si="16"/>
        <v>10049.07911959483</v>
      </c>
      <c r="AA45" s="48">
        <f t="shared" si="16"/>
        <v>13606.372611979217</v>
      </c>
      <c r="AB45" s="48">
        <f t="shared" si="16"/>
        <v>17535.694972405025</v>
      </c>
      <c r="AC45" s="48">
        <f t="shared" si="16"/>
        <v>21873.246122929853</v>
      </c>
      <c r="AD45" s="48">
        <f t="shared" si="16"/>
        <v>26646.609966729196</v>
      </c>
      <c r="AE45" s="48">
        <f t="shared" si="16"/>
        <v>31903.956104805675</v>
      </c>
      <c r="AF45" s="48">
        <f t="shared" si="16"/>
        <v>37247.375966169762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916.86274952473468</v>
      </c>
      <c r="C48" s="161">
        <f t="shared" ref="C48:AF48" si="17">SUM(C35,C26)</f>
        <v>2478.5978214477072</v>
      </c>
      <c r="D48" s="161">
        <f t="shared" si="17"/>
        <v>2715.056347344369</v>
      </c>
      <c r="E48" s="161">
        <f t="shared" si="17"/>
        <v>2906.7429861396085</v>
      </c>
      <c r="F48" s="161">
        <f t="shared" si="17"/>
        <v>3108.5444873061424</v>
      </c>
      <c r="G48" s="161">
        <f t="shared" si="17"/>
        <v>3331.8192019305206</v>
      </c>
      <c r="H48" s="161">
        <f t="shared" si="17"/>
        <v>3570.6933289501249</v>
      </c>
      <c r="I48" s="161">
        <f t="shared" si="17"/>
        <v>3830.6128558344717</v>
      </c>
      <c r="J48" s="161">
        <f t="shared" si="17"/>
        <v>4104.2633096648351</v>
      </c>
      <c r="K48" s="161">
        <f t="shared" si="17"/>
        <v>4407.3526833080032</v>
      </c>
      <c r="L48" s="161">
        <f t="shared" si="17"/>
        <v>4731.9300051382597</v>
      </c>
      <c r="M48" s="161">
        <f t="shared" si="17"/>
        <v>5085.513978713705</v>
      </c>
      <c r="N48" s="161">
        <f t="shared" si="17"/>
        <v>5457.8591036419748</v>
      </c>
      <c r="O48" s="161">
        <f t="shared" si="17"/>
        <v>5870.583565228455</v>
      </c>
      <c r="P48" s="161">
        <f t="shared" si="17"/>
        <v>6312.9296637164371</v>
      </c>
      <c r="Q48" s="161">
        <f t="shared" si="17"/>
        <v>6795.2441687512492</v>
      </c>
      <c r="R48" s="161">
        <f t="shared" si="17"/>
        <v>3578.1572585120653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-1314.2150248429441</v>
      </c>
      <c r="X48" s="161">
        <f t="shared" si="17"/>
        <v>-2616.0237367919281</v>
      </c>
      <c r="Y48" s="161">
        <f t="shared" si="17"/>
        <v>-2904.8434757994974</v>
      </c>
      <c r="Z48" s="161">
        <f t="shared" si="17"/>
        <v>-3213.9968821604598</v>
      </c>
      <c r="AA48" s="161">
        <f t="shared" si="17"/>
        <v>-3557.2934923843877</v>
      </c>
      <c r="AB48" s="161">
        <f t="shared" si="17"/>
        <v>-3929.3223604258073</v>
      </c>
      <c r="AC48" s="161">
        <f t="shared" si="17"/>
        <v>-4337.5511505248287</v>
      </c>
      <c r="AD48" s="161">
        <f t="shared" si="17"/>
        <v>-4773.3638437993432</v>
      </c>
      <c r="AE48" s="161">
        <f t="shared" si="17"/>
        <v>-5257.3461380764784</v>
      </c>
      <c r="AF48" s="161">
        <f t="shared" si="17"/>
        <v>-5343.4198613640874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5582.0707777680218</v>
      </c>
      <c r="D49" s="385">
        <f t="shared" si="18"/>
        <v>5373.7874136672281</v>
      </c>
      <c r="E49" s="385">
        <f t="shared" si="18"/>
        <v>5149.9875977797583</v>
      </c>
      <c r="F49" s="385">
        <f t="shared" si="18"/>
        <v>4898.5908395060951</v>
      </c>
      <c r="G49" s="385">
        <f t="shared" si="18"/>
        <v>4641.0769064708893</v>
      </c>
      <c r="H49" s="385">
        <f t="shared" si="18"/>
        <v>4361.3769068196143</v>
      </c>
      <c r="I49" s="385">
        <f t="shared" si="18"/>
        <v>4064.8587193353451</v>
      </c>
      <c r="J49" s="385">
        <f t="shared" si="18"/>
        <v>3737.3344029667364</v>
      </c>
      <c r="K49" s="385">
        <f t="shared" si="18"/>
        <v>3395.2673501310228</v>
      </c>
      <c r="L49" s="385">
        <f t="shared" si="18"/>
        <v>3025.1042074649017</v>
      </c>
      <c r="M49" s="385">
        <f t="shared" si="18"/>
        <v>2629.902388561628</v>
      </c>
      <c r="N49" s="385">
        <f t="shared" si="18"/>
        <v>2198.89466325794</v>
      </c>
      <c r="O49" s="385">
        <f t="shared" si="18"/>
        <v>1741.8897520806438</v>
      </c>
      <c r="P49" s="385">
        <f t="shared" si="18"/>
        <v>1248.6304792452313</v>
      </c>
      <c r="Q49" s="385">
        <f t="shared" si="18"/>
        <v>719.08067122842385</v>
      </c>
      <c r="R49" s="385">
        <f t="shared" si="18"/>
        <v>146.99352060006299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26.629214750507618</v>
      </c>
      <c r="X49" s="385">
        <f t="shared" si="18"/>
        <v>161.42376783772656</v>
      </c>
      <c r="Y49" s="385">
        <f t="shared" si="18"/>
        <v>383.17170773496093</v>
      </c>
      <c r="Z49" s="385">
        <f t="shared" si="18"/>
        <v>628.59452671522729</v>
      </c>
      <c r="AA49" s="385">
        <f t="shared" si="18"/>
        <v>901.08248142459615</v>
      </c>
      <c r="AB49" s="385">
        <f t="shared" si="18"/>
        <v>1202.0811185280022</v>
      </c>
      <c r="AC49" s="385">
        <f t="shared" si="18"/>
        <v>1535.3543481674719</v>
      </c>
      <c r="AD49" s="385">
        <f t="shared" si="18"/>
        <v>1899.9085279080837</v>
      </c>
      <c r="AE49" s="385">
        <f t="shared" si="18"/>
        <v>2304.7499916198135</v>
      </c>
      <c r="AF49" s="385">
        <f t="shared" si="18"/>
        <v>1550.5264890937315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3308.4079445145076</v>
      </c>
      <c r="C50" s="49">
        <f t="shared" si="19"/>
        <v>8060.668599215729</v>
      </c>
      <c r="D50" s="49">
        <f t="shared" si="19"/>
        <v>8088.8437610115971</v>
      </c>
      <c r="E50" s="49">
        <f t="shared" si="19"/>
        <v>8056.7305839193668</v>
      </c>
      <c r="F50" s="49">
        <f t="shared" si="19"/>
        <v>8007.1353268122375</v>
      </c>
      <c r="G50" s="49">
        <f t="shared" si="19"/>
        <v>7972.8961084014099</v>
      </c>
      <c r="H50" s="49">
        <f t="shared" si="19"/>
        <v>7932.0702357697392</v>
      </c>
      <c r="I50" s="49">
        <f t="shared" si="19"/>
        <v>7895.4715751698168</v>
      </c>
      <c r="J50" s="49">
        <f t="shared" si="19"/>
        <v>7841.597712631572</v>
      </c>
      <c r="K50" s="49">
        <f t="shared" si="19"/>
        <v>7802.620033439026</v>
      </c>
      <c r="L50" s="49">
        <f t="shared" si="19"/>
        <v>7757.034212603161</v>
      </c>
      <c r="M50" s="49">
        <f t="shared" si="19"/>
        <v>7715.416367275333</v>
      </c>
      <c r="N50" s="49">
        <f t="shared" si="19"/>
        <v>7656.7537668999148</v>
      </c>
      <c r="O50" s="49">
        <f t="shared" si="19"/>
        <v>7612.473317309099</v>
      </c>
      <c r="P50" s="49">
        <f t="shared" si="19"/>
        <v>7561.5601429616681</v>
      </c>
      <c r="Q50" s="49">
        <f t="shared" si="19"/>
        <v>7514.324839979673</v>
      </c>
      <c r="R50" s="49">
        <f t="shared" si="19"/>
        <v>3725.1507791121285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-1287.5858100924365</v>
      </c>
      <c r="X50" s="49">
        <f t="shared" si="19"/>
        <v>-2454.5999689542014</v>
      </c>
      <c r="Y50" s="49">
        <f t="shared" si="19"/>
        <v>-2521.6717680645365</v>
      </c>
      <c r="Z50" s="49">
        <f t="shared" si="19"/>
        <v>-2585.4023554452324</v>
      </c>
      <c r="AA50" s="49">
        <f t="shared" si="19"/>
        <v>-2656.2110109597916</v>
      </c>
      <c r="AB50" s="49">
        <f t="shared" si="19"/>
        <v>-2727.2412418978051</v>
      </c>
      <c r="AC50" s="49">
        <f t="shared" si="19"/>
        <v>-2802.1968023573568</v>
      </c>
      <c r="AD50" s="49">
        <f t="shared" si="19"/>
        <v>-2873.4553158912595</v>
      </c>
      <c r="AE50" s="49">
        <f t="shared" si="19"/>
        <v>-2952.5961464566649</v>
      </c>
      <c r="AF50" s="49">
        <f t="shared" si="19"/>
        <v>-3792.8933722703559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1.2999999999999963</v>
      </c>
      <c r="C52" s="403">
        <f t="shared" ref="C52:AF52" si="20">IF(C33&gt;0.1,(C38+C29)/C50," ")</f>
        <v>1.3000000000000018</v>
      </c>
      <c r="D52" s="403">
        <f t="shared" si="20"/>
        <v>1.2999999999999992</v>
      </c>
      <c r="E52" s="403">
        <f t="shared" si="20"/>
        <v>1.3000000000000005</v>
      </c>
      <c r="F52" s="403">
        <f t="shared" si="20"/>
        <v>1.2999999999999992</v>
      </c>
      <c r="G52" s="403">
        <f t="shared" si="20"/>
        <v>1.2999999999999985</v>
      </c>
      <c r="H52" s="403">
        <f t="shared" si="20"/>
        <v>1.2999999999999998</v>
      </c>
      <c r="I52" s="403">
        <f t="shared" si="20"/>
        <v>1.299999999999998</v>
      </c>
      <c r="J52" s="403">
        <f t="shared" si="20"/>
        <v>1.2999999999999987</v>
      </c>
      <c r="K52" s="403">
        <f t="shared" si="20"/>
        <v>1.3000000000000018</v>
      </c>
      <c r="L52" s="403">
        <f t="shared" si="20"/>
        <v>1.2999999999999992</v>
      </c>
      <c r="M52" s="403">
        <f t="shared" si="20"/>
        <v>1.2999999999999989</v>
      </c>
      <c r="N52" s="403">
        <f t="shared" si="20"/>
        <v>1.2999999999999996</v>
      </c>
      <c r="O52" s="403">
        <f t="shared" si="20"/>
        <v>1.3000000000000009</v>
      </c>
      <c r="P52" s="464">
        <f t="shared" si="20"/>
        <v>1.3000000000000005</v>
      </c>
      <c r="Q52" s="403">
        <f t="shared" si="20"/>
        <v>1.3</v>
      </c>
      <c r="R52" s="403" t="str">
        <f t="shared" si="20"/>
        <v xml:space="preserve"> 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1.3000000000000005</v>
      </c>
      <c r="Y52" s="403">
        <f t="shared" si="20"/>
        <v>1.3000000000000003</v>
      </c>
      <c r="Z52" s="403">
        <f t="shared" si="20"/>
        <v>1.3</v>
      </c>
      <c r="AA52" s="403">
        <f t="shared" si="20"/>
        <v>1.3000000000000009</v>
      </c>
      <c r="AB52" s="403">
        <f t="shared" si="20"/>
        <v>1.2999999999999996</v>
      </c>
      <c r="AC52" s="403">
        <f t="shared" si="20"/>
        <v>1.2999999999999992</v>
      </c>
      <c r="AD52" s="403">
        <f t="shared" si="20"/>
        <v>1.3000000000000009</v>
      </c>
      <c r="AE52" s="403">
        <f t="shared" si="20"/>
        <v>1.3000000000000003</v>
      </c>
      <c r="AF52" s="464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916.86274952473468</v>
      </c>
      <c r="C56" s="161">
        <f t="shared" si="21"/>
        <v>2478.5978214477072</v>
      </c>
      <c r="D56" s="161">
        <f t="shared" si="21"/>
        <v>2715.056347344369</v>
      </c>
      <c r="E56" s="161">
        <f t="shared" si="21"/>
        <v>2906.7429861396085</v>
      </c>
      <c r="F56" s="161">
        <f t="shared" si="21"/>
        <v>3108.5444873061424</v>
      </c>
      <c r="G56" s="161">
        <f t="shared" si="21"/>
        <v>3331.8192019305206</v>
      </c>
      <c r="H56" s="161">
        <f t="shared" si="21"/>
        <v>3570.6933289501249</v>
      </c>
      <c r="I56" s="161">
        <f t="shared" si="21"/>
        <v>3830.6128558344717</v>
      </c>
      <c r="J56" s="161">
        <f t="shared" si="21"/>
        <v>4104.2633096648351</v>
      </c>
      <c r="K56" s="161">
        <f t="shared" si="21"/>
        <v>4407.3526833080032</v>
      </c>
      <c r="L56" s="161">
        <f t="shared" si="21"/>
        <v>4731.9300051382597</v>
      </c>
      <c r="M56" s="161">
        <f t="shared" si="21"/>
        <v>5085.513978713705</v>
      </c>
      <c r="N56" s="161">
        <f t="shared" si="21"/>
        <v>5457.8591036419748</v>
      </c>
      <c r="O56" s="161">
        <f t="shared" si="21"/>
        <v>5870.583565228455</v>
      </c>
      <c r="P56" s="161">
        <f t="shared" si="21"/>
        <v>6312.9296637164371</v>
      </c>
      <c r="Q56" s="161">
        <f t="shared" si="21"/>
        <v>6795.2441687512492</v>
      </c>
      <c r="R56" s="161">
        <f t="shared" si="21"/>
        <v>3578.1572585120653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-1314.2150248429441</v>
      </c>
      <c r="X56" s="161">
        <f t="shared" si="21"/>
        <v>-2616.0237367919281</v>
      </c>
      <c r="Y56" s="161">
        <f t="shared" si="21"/>
        <v>-2904.8434757994974</v>
      </c>
      <c r="Z56" s="161">
        <f t="shared" si="21"/>
        <v>-3213.9968821604598</v>
      </c>
      <c r="AA56" s="161">
        <f t="shared" si="21"/>
        <v>-3557.2934923843877</v>
      </c>
      <c r="AB56" s="161">
        <f t="shared" si="21"/>
        <v>-3929.3223604258073</v>
      </c>
      <c r="AC56" s="161">
        <f t="shared" si="21"/>
        <v>-4337.5511505248287</v>
      </c>
      <c r="AD56" s="161">
        <f t="shared" si="21"/>
        <v>-4773.3638437993432</v>
      </c>
      <c r="AE56" s="161">
        <f t="shared" si="21"/>
        <v>-5257.3461380764784</v>
      </c>
      <c r="AF56" s="161">
        <f t="shared" si="21"/>
        <v>-5343.4198613640874</v>
      </c>
    </row>
    <row r="57" spans="1:39">
      <c r="A57" s="396" t="s">
        <v>131</v>
      </c>
      <c r="B57" s="385">
        <f t="shared" ref="B57:AF57" si="22">B36+B44+B27</f>
        <v>3795.1219232524745</v>
      </c>
      <c r="C57" s="385">
        <f t="shared" si="22"/>
        <v>5532.0511093777386</v>
      </c>
      <c r="D57" s="385">
        <f t="shared" si="22"/>
        <v>5317.9427957831522</v>
      </c>
      <c r="E57" s="385">
        <f t="shared" si="22"/>
        <v>5086.8179655108197</v>
      </c>
      <c r="F57" s="385">
        <f t="shared" si="22"/>
        <v>4838.0350725780636</v>
      </c>
      <c r="G57" s="385">
        <f t="shared" si="22"/>
        <v>4572.5464060366612</v>
      </c>
      <c r="H57" s="385">
        <f t="shared" si="22"/>
        <v>4287.9331255399065</v>
      </c>
      <c r="I57" s="385">
        <f t="shared" si="22"/>
        <v>3983.4643510942115</v>
      </c>
      <c r="J57" s="385">
        <f t="shared" si="22"/>
        <v>3655.520325146264</v>
      </c>
      <c r="K57" s="385">
        <f t="shared" si="22"/>
        <v>3304.6147466517496</v>
      </c>
      <c r="L57" s="385">
        <f t="shared" si="22"/>
        <v>2927.7755375646952</v>
      </c>
      <c r="M57" s="385">
        <f t="shared" si="22"/>
        <v>2523.7266529418748</v>
      </c>
      <c r="N57" s="385">
        <f t="shared" si="22"/>
        <v>2088.2091018481442</v>
      </c>
      <c r="O57" s="385">
        <f t="shared" si="22"/>
        <v>1621.1406942287188</v>
      </c>
      <c r="P57" s="385">
        <f t="shared" si="22"/>
        <v>1118.783028696324</v>
      </c>
      <c r="Q57" s="385">
        <f t="shared" si="22"/>
        <v>579.11165255873539</v>
      </c>
      <c r="R57" s="385">
        <f t="shared" si="22"/>
        <v>73.597303063780672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53.660637487516951</v>
      </c>
      <c r="X57" s="385">
        <f t="shared" si="22"/>
        <v>215.23143414996053</v>
      </c>
      <c r="Y57" s="385">
        <f t="shared" si="22"/>
        <v>442.53584244948411</v>
      </c>
      <c r="Z57" s="385">
        <f t="shared" si="22"/>
        <v>695.08571799353797</v>
      </c>
      <c r="AA57" s="385">
        <f t="shared" si="22"/>
        <v>974.2506482576805</v>
      </c>
      <c r="AB57" s="385">
        <f t="shared" si="22"/>
        <v>1282.9013585852535</v>
      </c>
      <c r="AC57" s="385">
        <f t="shared" si="22"/>
        <v>1623.3420051090914</v>
      </c>
      <c r="AD57" s="385">
        <f t="shared" si="22"/>
        <v>1999.3186636236937</v>
      </c>
      <c r="AE57" s="385">
        <f t="shared" si="22"/>
        <v>2412.8856796516193</v>
      </c>
      <c r="AF57" s="385">
        <f t="shared" si="22"/>
        <v>2948.5284829078928</v>
      </c>
    </row>
    <row r="58" spans="1:39">
      <c r="A58" s="49" t="s">
        <v>58</v>
      </c>
      <c r="B58" s="49">
        <f>SUM(B56:B57)</f>
        <v>4711.9846727772092</v>
      </c>
      <c r="C58" s="49">
        <f t="shared" ref="C58:AF58" si="23">SUM(C56:C57)</f>
        <v>8010.6489308254459</v>
      </c>
      <c r="D58" s="49">
        <f t="shared" si="23"/>
        <v>8032.9991431275212</v>
      </c>
      <c r="E58" s="49">
        <f t="shared" si="23"/>
        <v>7993.5609516504283</v>
      </c>
      <c r="F58" s="49">
        <f t="shared" si="23"/>
        <v>7946.579559884206</v>
      </c>
      <c r="G58" s="49">
        <f t="shared" si="23"/>
        <v>7904.3656079671819</v>
      </c>
      <c r="H58" s="49">
        <f t="shared" si="23"/>
        <v>7858.6264544900314</v>
      </c>
      <c r="I58" s="49">
        <f t="shared" si="23"/>
        <v>7814.0772069286832</v>
      </c>
      <c r="J58" s="49">
        <f t="shared" si="23"/>
        <v>7759.7836348110995</v>
      </c>
      <c r="K58" s="49">
        <f t="shared" si="23"/>
        <v>7711.9674299597527</v>
      </c>
      <c r="L58" s="49">
        <f t="shared" si="23"/>
        <v>7659.7055427029554</v>
      </c>
      <c r="M58" s="49">
        <f t="shared" si="23"/>
        <v>7609.2406316555798</v>
      </c>
      <c r="N58" s="49">
        <f t="shared" si="23"/>
        <v>7546.068205490119</v>
      </c>
      <c r="O58" s="49">
        <f t="shared" si="23"/>
        <v>7491.7242594571735</v>
      </c>
      <c r="P58" s="49">
        <f t="shared" si="23"/>
        <v>7431.7126924127606</v>
      </c>
      <c r="Q58" s="49">
        <f t="shared" si="23"/>
        <v>7374.3558213099841</v>
      </c>
      <c r="R58" s="49">
        <f t="shared" si="23"/>
        <v>3651.7545615758459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-1260.5543873554273</v>
      </c>
      <c r="X58" s="49">
        <f t="shared" si="23"/>
        <v>-2400.7923026419676</v>
      </c>
      <c r="Y58" s="49">
        <f t="shared" si="23"/>
        <v>-2462.307633350013</v>
      </c>
      <c r="Z58" s="49">
        <f t="shared" si="23"/>
        <v>-2518.9111641669219</v>
      </c>
      <c r="AA58" s="49">
        <f t="shared" si="23"/>
        <v>-2583.0428441267072</v>
      </c>
      <c r="AB58" s="49">
        <f t="shared" si="23"/>
        <v>-2646.4210018405538</v>
      </c>
      <c r="AC58" s="49">
        <f t="shared" si="23"/>
        <v>-2714.2091454157371</v>
      </c>
      <c r="AD58" s="49">
        <f t="shared" si="23"/>
        <v>-2774.0451801756494</v>
      </c>
      <c r="AE58" s="49">
        <f t="shared" si="23"/>
        <v>-2844.4604584248591</v>
      </c>
      <c r="AF58" s="49">
        <f t="shared" si="23"/>
        <v>-2394.8913784561946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00" t="s">
        <v>322</v>
      </c>
      <c r="C61" s="701"/>
      <c r="D61" s="701"/>
      <c r="E61" s="70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-4.5166164180049284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1.2999999999999998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-4.5166164180049284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-1650.9885899191486</v>
      </c>
      <c r="C10" s="19">
        <f>IS!D40</f>
        <v>-2052.9211093777376</v>
      </c>
      <c r="D10" s="19">
        <f>IS!E40</f>
        <v>-1886.6798957831506</v>
      </c>
      <c r="E10" s="19">
        <f>IS!F40</f>
        <v>-1704.7561785108173</v>
      </c>
      <c r="F10" s="19">
        <f>IS!G40</f>
        <v>-1506.5463919680487</v>
      </c>
      <c r="G10" s="19">
        <f>IS!H40</f>
        <v>1528.4247624583022</v>
      </c>
      <c r="H10" s="19">
        <f>IS!I40</f>
        <v>3170.3359153592355</v>
      </c>
      <c r="I10" s="19">
        <f>IS!J40</f>
        <v>3419.876573128231</v>
      </c>
      <c r="J10" s="19">
        <f>IS!K40</f>
        <v>3691.3572551410912</v>
      </c>
      <c r="K10" s="19">
        <f>IS!L40</f>
        <v>3984.2204579492491</v>
      </c>
      <c r="L10" s="19">
        <f>IS!M40</f>
        <v>4301.3931860174434</v>
      </c>
      <c r="M10" s="19">
        <f>IS!N40</f>
        <v>4644.105104447689</v>
      </c>
      <c r="N10" s="19">
        <f>IS!O40</f>
        <v>5016.5674798050877</v>
      </c>
      <c r="O10" s="19">
        <f>IS!P40</f>
        <v>5418.8133938469227</v>
      </c>
      <c r="P10" s="19">
        <f>IS!Q40</f>
        <v>5854.5307151738562</v>
      </c>
      <c r="Q10" s="19">
        <f>IS!R40</f>
        <v>6325.6918974428572</v>
      </c>
      <c r="R10" s="19">
        <f>IS!S40</f>
        <v>6760.7726951294908</v>
      </c>
      <c r="S10" s="19">
        <f>IS!T40</f>
        <v>6761.9580266645189</v>
      </c>
      <c r="T10" s="19">
        <f>IS!U40</f>
        <v>6687.5109745604223</v>
      </c>
      <c r="U10" s="19">
        <f>IS!V40</f>
        <v>6610.9705350351196</v>
      </c>
      <c r="V10" s="19">
        <f>IS!W40</f>
        <v>-133.9640555653109</v>
      </c>
      <c r="W10" s="19">
        <f>IS!X40</f>
        <v>-6022.2928923503569</v>
      </c>
      <c r="X10" s="19">
        <f>IS!Y40</f>
        <v>-6267.051324939197</v>
      </c>
      <c r="Y10" s="19">
        <f>IS!Z40</f>
        <v>-6579.8874316085148</v>
      </c>
      <c r="Z10" s="19">
        <f>IS!AA40</f>
        <v>-6920.3803585063824</v>
      </c>
      <c r="AA10" s="19">
        <f>IS!AB40</f>
        <v>-7289.9689417385325</v>
      </c>
      <c r="AB10" s="19">
        <f>IS!AC40</f>
        <v>-7691.595170898212</v>
      </c>
      <c r="AC10" s="19">
        <f>IS!AD40</f>
        <v>-8127.636541219671</v>
      </c>
      <c r="AD10" s="19">
        <f>IS!AE40</f>
        <v>-8601.9146034343794</v>
      </c>
      <c r="AE10" s="19">
        <f>IS!AF40</f>
        <v>-9116.5613766257629</v>
      </c>
      <c r="AF10" s="19">
        <f>IS!AG40</f>
        <v>-7862.7422273397697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-4491.0885899191489</v>
      </c>
      <c r="C13" s="23">
        <f t="shared" ref="C13:W13" si="0">SUM(C10:C12)</f>
        <v>-8206.4711093777369</v>
      </c>
      <c r="D13" s="23">
        <f t="shared" si="0"/>
        <v>-7140.864895783152</v>
      </c>
      <c r="E13" s="23">
        <f t="shared" si="0"/>
        <v>-6154.2461785108189</v>
      </c>
      <c r="F13" s="23">
        <f t="shared" si="0"/>
        <v>-5227.0773919680496</v>
      </c>
      <c r="G13" s="23">
        <f t="shared" si="0"/>
        <v>-1529.4162375416972</v>
      </c>
      <c r="H13" s="23">
        <f t="shared" si="0"/>
        <v>424.90591535923613</v>
      </c>
      <c r="I13" s="23">
        <f t="shared" si="0"/>
        <v>664.9795731282311</v>
      </c>
      <c r="J13" s="23">
        <f t="shared" si="0"/>
        <v>945.92725514109134</v>
      </c>
      <c r="K13" s="23">
        <f t="shared" si="0"/>
        <v>1229.3234579492482</v>
      </c>
      <c r="L13" s="23">
        <f t="shared" si="0"/>
        <v>1555.9631860174441</v>
      </c>
      <c r="M13" s="23">
        <f t="shared" si="0"/>
        <v>1889.2081044476881</v>
      </c>
      <c r="N13" s="23">
        <f t="shared" si="0"/>
        <v>2271.1374798050883</v>
      </c>
      <c r="O13" s="23">
        <f t="shared" si="0"/>
        <v>2663.9163938469219</v>
      </c>
      <c r="P13" s="23">
        <f t="shared" si="0"/>
        <v>3109.1007151738568</v>
      </c>
      <c r="Q13" s="23">
        <f t="shared" si="0"/>
        <v>6373.0268974428582</v>
      </c>
      <c r="R13" s="23">
        <f t="shared" si="0"/>
        <v>9600.8726951294902</v>
      </c>
      <c r="S13" s="23">
        <f t="shared" si="0"/>
        <v>9602.0580266645193</v>
      </c>
      <c r="T13" s="23">
        <f t="shared" si="0"/>
        <v>9527.6109745604226</v>
      </c>
      <c r="U13" s="23">
        <f t="shared" si="0"/>
        <v>9451.07053503512</v>
      </c>
      <c r="V13" s="23">
        <f t="shared" si="0"/>
        <v>2706.135944434689</v>
      </c>
      <c r="W13" s="23">
        <f t="shared" si="0"/>
        <v>-3182.1928923503569</v>
      </c>
      <c r="X13" s="23">
        <f t="shared" ref="X13:AF13" si="1">SUM(X10:X12)</f>
        <v>-3426.9513249391971</v>
      </c>
      <c r="Y13" s="23">
        <f t="shared" si="1"/>
        <v>-3739.7874316085149</v>
      </c>
      <c r="Z13" s="23">
        <f t="shared" si="1"/>
        <v>-4080.2803585063825</v>
      </c>
      <c r="AA13" s="23">
        <f t="shared" si="1"/>
        <v>-4449.8689417385322</v>
      </c>
      <c r="AB13" s="23">
        <f t="shared" si="1"/>
        <v>-4851.4951708982117</v>
      </c>
      <c r="AC13" s="23">
        <f t="shared" si="1"/>
        <v>-5287.5365412196716</v>
      </c>
      <c r="AD13" s="23">
        <f t="shared" si="1"/>
        <v>-5761.814603434379</v>
      </c>
      <c r="AE13" s="23">
        <f t="shared" si="1"/>
        <v>-6276.4613766257626</v>
      </c>
      <c r="AF13" s="23">
        <f t="shared" si="1"/>
        <v>-6916.0422273397699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-314.37620129434043</v>
      </c>
      <c r="C16" s="19">
        <f t="shared" si="2"/>
        <v>-574.45297765644159</v>
      </c>
      <c r="D16" s="19">
        <f t="shared" si="2"/>
        <v>-499.86054270482066</v>
      </c>
      <c r="E16" s="19">
        <f t="shared" si="2"/>
        <v>-430.79723249575738</v>
      </c>
      <c r="F16" s="19">
        <f t="shared" si="2"/>
        <v>-365.89541743776351</v>
      </c>
      <c r="G16" s="19">
        <f t="shared" si="2"/>
        <v>-107.05913662791882</v>
      </c>
      <c r="H16" s="19">
        <f t="shared" si="2"/>
        <v>29.743414075146532</v>
      </c>
      <c r="I16" s="19">
        <f t="shared" si="2"/>
        <v>46.54857011897618</v>
      </c>
      <c r="J16" s="19">
        <f t="shared" si="2"/>
        <v>66.214907859876405</v>
      </c>
      <c r="K16" s="19">
        <f t="shared" si="2"/>
        <v>86.052642056447382</v>
      </c>
      <c r="L16" s="19">
        <f t="shared" si="2"/>
        <v>108.9174230212211</v>
      </c>
      <c r="M16" s="19">
        <f t="shared" si="2"/>
        <v>132.24456731133819</v>
      </c>
      <c r="N16" s="19">
        <f t="shared" si="2"/>
        <v>158.97962358635621</v>
      </c>
      <c r="O16" s="19">
        <f t="shared" si="2"/>
        <v>186.47414756928455</v>
      </c>
      <c r="P16" s="19">
        <f t="shared" si="2"/>
        <v>217.63705006217</v>
      </c>
      <c r="Q16" s="19">
        <f t="shared" si="2"/>
        <v>446.11188282100011</v>
      </c>
      <c r="R16" s="19">
        <f t="shared" si="2"/>
        <v>672.06108865906435</v>
      </c>
      <c r="S16" s="19">
        <f t="shared" si="2"/>
        <v>672.14406186651638</v>
      </c>
      <c r="T16" s="19">
        <f t="shared" si="2"/>
        <v>666.93276821922962</v>
      </c>
      <c r="U16" s="19">
        <f t="shared" si="2"/>
        <v>661.57493745245847</v>
      </c>
      <c r="V16" s="19">
        <f t="shared" si="2"/>
        <v>189.42951611042824</v>
      </c>
      <c r="W16" s="19">
        <f t="shared" si="2"/>
        <v>-222.75350246452501</v>
      </c>
      <c r="X16" s="19">
        <f t="shared" si="2"/>
        <v>-239.88659274574383</v>
      </c>
      <c r="Y16" s="19">
        <f t="shared" si="2"/>
        <v>-261.78512021259604</v>
      </c>
      <c r="Z16" s="19">
        <f t="shared" si="2"/>
        <v>-285.61962509544679</v>
      </c>
      <c r="AA16" s="19">
        <f t="shared" si="2"/>
        <v>-311.49082592169731</v>
      </c>
      <c r="AB16" s="19">
        <f t="shared" si="2"/>
        <v>-339.60466196287484</v>
      </c>
      <c r="AC16" s="19">
        <f t="shared" si="2"/>
        <v>-370.12755788537703</v>
      </c>
      <c r="AD16" s="19">
        <f t="shared" si="2"/>
        <v>-403.32702224040656</v>
      </c>
      <c r="AE16" s="19">
        <f t="shared" si="2"/>
        <v>-439.35229636380342</v>
      </c>
      <c r="AF16" s="19">
        <f t="shared" si="2"/>
        <v>-484.12295591378393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314.37620129434043</v>
      </c>
      <c r="D18" s="19">
        <f t="shared" ref="D18:W18" si="3">C22</f>
        <v>888.82917895078208</v>
      </c>
      <c r="E18" s="19">
        <f t="shared" si="3"/>
        <v>1388.6897216556026</v>
      </c>
      <c r="F18" s="19">
        <f t="shared" si="3"/>
        <v>1819.4869541513599</v>
      </c>
      <c r="G18" s="19">
        <f t="shared" si="3"/>
        <v>2185.3823715891235</v>
      </c>
      <c r="H18" s="19">
        <f t="shared" si="3"/>
        <v>2292.4415082170422</v>
      </c>
      <c r="I18" s="19">
        <f t="shared" si="3"/>
        <v>2262.6980941418956</v>
      </c>
      <c r="J18" s="19">
        <f t="shared" si="3"/>
        <v>2216.1495240229192</v>
      </c>
      <c r="K18" s="19">
        <f t="shared" si="3"/>
        <v>1911.8503990628251</v>
      </c>
      <c r="L18" s="19">
        <f t="shared" si="3"/>
        <v>1631.9358885041529</v>
      </c>
      <c r="M18" s="19">
        <f t="shared" si="3"/>
        <v>1523.0184654829318</v>
      </c>
      <c r="N18" s="19">
        <f t="shared" si="3"/>
        <v>1390.7738981715936</v>
      </c>
      <c r="O18" s="19">
        <f t="shared" si="3"/>
        <v>1231.7942745852374</v>
      </c>
      <c r="P18" s="19">
        <f>O22</f>
        <v>1045.3201270159529</v>
      </c>
      <c r="Q18" s="19">
        <f t="shared" si="3"/>
        <v>827.68307695378292</v>
      </c>
      <c r="R18" s="19">
        <f t="shared" si="3"/>
        <v>381.57119413278281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222.75350246452501</v>
      </c>
      <c r="Y18" s="19">
        <f t="shared" si="4"/>
        <v>462.64009521026884</v>
      </c>
      <c r="Z18" s="19">
        <f t="shared" si="4"/>
        <v>724.42521542286488</v>
      </c>
      <c r="AA18" s="19">
        <f t="shared" si="4"/>
        <v>1010.0448405183117</v>
      </c>
      <c r="AB18" s="19">
        <f t="shared" si="4"/>
        <v>1321.535666440009</v>
      </c>
      <c r="AC18" s="19">
        <f t="shared" si="4"/>
        <v>1661.1403284028838</v>
      </c>
      <c r="AD18" s="19">
        <f t="shared" si="4"/>
        <v>2031.2678862882608</v>
      </c>
      <c r="AE18" s="19">
        <f t="shared" si="4"/>
        <v>2434.5949085286675</v>
      </c>
      <c r="AF18" s="19">
        <f t="shared" si="4"/>
        <v>2651.1937024279459</v>
      </c>
    </row>
    <row r="19" spans="1:32">
      <c r="A19" s="21" t="s">
        <v>73</v>
      </c>
      <c r="B19" s="139">
        <f>IF(B16&lt;0,-B16,0)</f>
        <v>314.37620129434043</v>
      </c>
      <c r="C19" s="139">
        <f t="shared" ref="C19:W19" si="5">IF(C16&lt;0,-C16,0)</f>
        <v>574.45297765644159</v>
      </c>
      <c r="D19" s="139">
        <f t="shared" si="5"/>
        <v>499.86054270482066</v>
      </c>
      <c r="E19" s="139">
        <f t="shared" si="5"/>
        <v>430.79723249575738</v>
      </c>
      <c r="F19" s="139">
        <f t="shared" si="5"/>
        <v>365.89541743776351</v>
      </c>
      <c r="G19" s="139">
        <f t="shared" si="5"/>
        <v>107.05913662791882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222.75350246452501</v>
      </c>
      <c r="X19" s="139">
        <f t="shared" ref="X19:AF19" si="6">IF(X16&lt;0,-X16,0)</f>
        <v>239.88659274574383</v>
      </c>
      <c r="Y19" s="139">
        <f t="shared" si="6"/>
        <v>261.78512021259604</v>
      </c>
      <c r="Z19" s="139">
        <f t="shared" si="6"/>
        <v>285.61962509544679</v>
      </c>
      <c r="AA19" s="139">
        <f t="shared" si="6"/>
        <v>311.49082592169731</v>
      </c>
      <c r="AB19" s="139">
        <f t="shared" si="6"/>
        <v>339.60466196287484</v>
      </c>
      <c r="AC19" s="139">
        <f t="shared" si="6"/>
        <v>370.12755788537703</v>
      </c>
      <c r="AD19" s="139">
        <f t="shared" si="6"/>
        <v>403.32702224040656</v>
      </c>
      <c r="AE19" s="139">
        <f t="shared" si="6"/>
        <v>439.35229636380342</v>
      </c>
      <c r="AF19" s="139">
        <f t="shared" si="6"/>
        <v>484.12295591378393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-238.08421710021773</v>
      </c>
      <c r="K20" s="468">
        <f t="shared" ref="K20:AF20" si="7">IF(-SUM(C21:J21, C20:J20)&gt;C19,0,-C19-SUM(C21:J21,C20:J20))</f>
        <v>-193.86186850222475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-222.75350246452501</v>
      </c>
      <c r="AF20" s="468">
        <f t="shared" si="7"/>
        <v>-17.133090281218813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-29.743414075146532</v>
      </c>
      <c r="I21" s="132">
        <f t="shared" si="8"/>
        <v>-46.54857011897618</v>
      </c>
      <c r="J21" s="132">
        <f t="shared" si="8"/>
        <v>-66.214907859876405</v>
      </c>
      <c r="K21" s="132">
        <f t="shared" si="8"/>
        <v>-86.052642056447382</v>
      </c>
      <c r="L21" s="132">
        <f t="shared" si="8"/>
        <v>-108.9174230212211</v>
      </c>
      <c r="M21" s="132">
        <f t="shared" si="8"/>
        <v>-132.24456731133819</v>
      </c>
      <c r="N21" s="132">
        <f t="shared" si="8"/>
        <v>-158.97962358635621</v>
      </c>
      <c r="O21" s="132">
        <f t="shared" si="8"/>
        <v>-186.47414756928455</v>
      </c>
      <c r="P21" s="132">
        <f t="shared" si="8"/>
        <v>-217.63705006217</v>
      </c>
      <c r="Q21" s="132">
        <f t="shared" si="8"/>
        <v>-446.11188282100011</v>
      </c>
      <c r="R21" s="132">
        <f t="shared" si="8"/>
        <v>-381.57119413278281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314.37620129434043</v>
      </c>
      <c r="C22" s="132">
        <f t="shared" si="10"/>
        <v>888.82917895078208</v>
      </c>
      <c r="D22" s="132">
        <f t="shared" si="10"/>
        <v>1388.6897216556026</v>
      </c>
      <c r="E22" s="132">
        <f t="shared" si="10"/>
        <v>1819.4869541513599</v>
      </c>
      <c r="F22" s="132">
        <f t="shared" si="10"/>
        <v>2185.3823715891235</v>
      </c>
      <c r="G22" s="132">
        <f t="shared" si="10"/>
        <v>2292.4415082170422</v>
      </c>
      <c r="H22" s="132">
        <f t="shared" si="10"/>
        <v>2262.6980941418956</v>
      </c>
      <c r="I22" s="132">
        <f t="shared" si="10"/>
        <v>2216.1495240229192</v>
      </c>
      <c r="J22" s="132">
        <f t="shared" si="10"/>
        <v>1911.8503990628251</v>
      </c>
      <c r="K22" s="132">
        <f t="shared" si="10"/>
        <v>1631.9358885041529</v>
      </c>
      <c r="L22" s="132">
        <f t="shared" si="10"/>
        <v>1523.0184654829318</v>
      </c>
      <c r="M22" s="132">
        <f t="shared" si="10"/>
        <v>1390.7738981715936</v>
      </c>
      <c r="N22" s="132">
        <f t="shared" si="10"/>
        <v>1231.7942745852374</v>
      </c>
      <c r="O22" s="132">
        <f t="shared" si="10"/>
        <v>1045.3201270159529</v>
      </c>
      <c r="P22" s="132">
        <f t="shared" si="10"/>
        <v>827.68307695378292</v>
      </c>
      <c r="Q22" s="132">
        <f t="shared" si="10"/>
        <v>381.57119413278281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222.75350246452501</v>
      </c>
      <c r="X22" s="132">
        <f t="shared" si="10"/>
        <v>462.64009521026884</v>
      </c>
      <c r="Y22" s="132">
        <f t="shared" si="10"/>
        <v>724.42521542286488</v>
      </c>
      <c r="Z22" s="132">
        <f t="shared" si="10"/>
        <v>1010.0448405183117</v>
      </c>
      <c r="AA22" s="132">
        <f t="shared" si="10"/>
        <v>1321.535666440009</v>
      </c>
      <c r="AB22" s="132">
        <f t="shared" si="10"/>
        <v>1661.1403284028838</v>
      </c>
      <c r="AC22" s="132">
        <f t="shared" si="10"/>
        <v>2031.2678862882608</v>
      </c>
      <c r="AD22" s="132">
        <f t="shared" si="10"/>
        <v>2434.5949085286675</v>
      </c>
      <c r="AE22" s="132">
        <f t="shared" si="10"/>
        <v>2651.1937024279459</v>
      </c>
      <c r="AF22" s="132">
        <f t="shared" si="10"/>
        <v>3118.1835680605109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290.48989452628155</v>
      </c>
      <c r="S24" s="136">
        <f t="shared" si="11"/>
        <v>672.14406186651638</v>
      </c>
      <c r="T24" s="136">
        <f t="shared" si="11"/>
        <v>666.93276821922962</v>
      </c>
      <c r="U24" s="136">
        <f t="shared" si="11"/>
        <v>661.57493745245847</v>
      </c>
      <c r="V24" s="136">
        <f t="shared" si="11"/>
        <v>189.42951611042824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-4491.0885899191489</v>
      </c>
      <c r="C28" s="19">
        <f t="shared" ref="C28:AF28" si="12">C13</f>
        <v>-8206.4711093777369</v>
      </c>
      <c r="D28" s="19">
        <f t="shared" si="12"/>
        <v>-7140.864895783152</v>
      </c>
      <c r="E28" s="19">
        <f t="shared" si="12"/>
        <v>-6154.2461785108189</v>
      </c>
      <c r="F28" s="19">
        <f t="shared" si="12"/>
        <v>-5227.0773919680496</v>
      </c>
      <c r="G28" s="19">
        <f t="shared" si="12"/>
        <v>-1529.4162375416972</v>
      </c>
      <c r="H28" s="19">
        <f t="shared" si="12"/>
        <v>424.90591535923613</v>
      </c>
      <c r="I28" s="19">
        <f t="shared" si="12"/>
        <v>664.9795731282311</v>
      </c>
      <c r="J28" s="19">
        <f t="shared" si="12"/>
        <v>945.92725514109134</v>
      </c>
      <c r="K28" s="19">
        <f t="shared" si="12"/>
        <v>1229.3234579492482</v>
      </c>
      <c r="L28" s="19">
        <f t="shared" si="12"/>
        <v>1555.9631860174441</v>
      </c>
      <c r="M28" s="19">
        <f t="shared" si="12"/>
        <v>1889.2081044476881</v>
      </c>
      <c r="N28" s="19">
        <f t="shared" si="12"/>
        <v>2271.1374798050883</v>
      </c>
      <c r="O28" s="19">
        <f t="shared" si="12"/>
        <v>2663.9163938469219</v>
      </c>
      <c r="P28" s="19">
        <f t="shared" si="12"/>
        <v>3109.1007151738568</v>
      </c>
      <c r="Q28" s="19">
        <f t="shared" si="12"/>
        <v>6373.0268974428582</v>
      </c>
      <c r="R28" s="19">
        <f t="shared" si="12"/>
        <v>9600.8726951294902</v>
      </c>
      <c r="S28" s="19">
        <f t="shared" si="12"/>
        <v>9602.0580266645193</v>
      </c>
      <c r="T28" s="19">
        <f t="shared" si="12"/>
        <v>9527.6109745604226</v>
      </c>
      <c r="U28" s="19">
        <f t="shared" si="12"/>
        <v>9451.07053503512</v>
      </c>
      <c r="V28" s="19">
        <f t="shared" si="12"/>
        <v>2706.135944434689</v>
      </c>
      <c r="W28" s="19">
        <f t="shared" si="12"/>
        <v>-3182.1928923503569</v>
      </c>
      <c r="X28" s="19">
        <f t="shared" si="12"/>
        <v>-3426.9513249391971</v>
      </c>
      <c r="Y28" s="19">
        <f t="shared" si="12"/>
        <v>-3739.7874316085149</v>
      </c>
      <c r="Z28" s="19">
        <f t="shared" si="12"/>
        <v>-4080.2803585063825</v>
      </c>
      <c r="AA28" s="19">
        <f t="shared" si="12"/>
        <v>-4449.8689417385322</v>
      </c>
      <c r="AB28" s="19">
        <f t="shared" si="12"/>
        <v>-4851.4951708982117</v>
      </c>
      <c r="AC28" s="19">
        <f t="shared" si="12"/>
        <v>-5287.5365412196716</v>
      </c>
      <c r="AD28" s="19">
        <f t="shared" si="12"/>
        <v>-5761.814603434379</v>
      </c>
      <c r="AE28" s="19">
        <f t="shared" si="12"/>
        <v>-6276.4613766257626</v>
      </c>
      <c r="AF28" s="19">
        <f t="shared" si="12"/>
        <v>-6916.0422273397699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-290.48989452628155</v>
      </c>
      <c r="S29" s="134">
        <f t="shared" si="13"/>
        <v>-672.14406186651638</v>
      </c>
      <c r="T29" s="134">
        <f t="shared" si="13"/>
        <v>-666.93276821922962</v>
      </c>
      <c r="U29" s="134">
        <f t="shared" si="13"/>
        <v>-661.57493745245847</v>
      </c>
      <c r="V29" s="134">
        <f t="shared" si="13"/>
        <v>-189.42951611042824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-4491.0885899191489</v>
      </c>
      <c r="C30" s="44">
        <f t="shared" si="14"/>
        <v>-8206.4711093777369</v>
      </c>
      <c r="D30" s="44">
        <f t="shared" si="14"/>
        <v>-7140.864895783152</v>
      </c>
      <c r="E30" s="44">
        <f t="shared" si="14"/>
        <v>-6154.2461785108189</v>
      </c>
      <c r="F30" s="44">
        <f t="shared" si="14"/>
        <v>-5227.0773919680496</v>
      </c>
      <c r="G30" s="44">
        <f t="shared" si="14"/>
        <v>-1529.4162375416972</v>
      </c>
      <c r="H30" s="44">
        <f t="shared" si="14"/>
        <v>424.90591535923613</v>
      </c>
      <c r="I30" s="44">
        <f t="shared" si="14"/>
        <v>664.9795731282311</v>
      </c>
      <c r="J30" s="44">
        <f t="shared" si="14"/>
        <v>945.92725514109134</v>
      </c>
      <c r="K30" s="44">
        <f t="shared" si="14"/>
        <v>1229.3234579492482</v>
      </c>
      <c r="L30" s="44">
        <f t="shared" si="14"/>
        <v>1555.9631860174441</v>
      </c>
      <c r="M30" s="44">
        <f t="shared" si="14"/>
        <v>1889.2081044476881</v>
      </c>
      <c r="N30" s="44">
        <f t="shared" si="14"/>
        <v>2271.1374798050883</v>
      </c>
      <c r="O30" s="44">
        <f t="shared" si="14"/>
        <v>2663.9163938469219</v>
      </c>
      <c r="P30" s="44">
        <f t="shared" si="14"/>
        <v>3109.1007151738568</v>
      </c>
      <c r="Q30" s="44">
        <f t="shared" si="14"/>
        <v>6373.0268974428582</v>
      </c>
      <c r="R30" s="44">
        <f t="shared" si="14"/>
        <v>9310.382800603209</v>
      </c>
      <c r="S30" s="44">
        <f t="shared" si="14"/>
        <v>8929.9139647980028</v>
      </c>
      <c r="T30" s="44">
        <f t="shared" si="14"/>
        <v>8860.6782063411938</v>
      </c>
      <c r="U30" s="44">
        <f t="shared" si="14"/>
        <v>8789.4955975826615</v>
      </c>
      <c r="V30" s="44">
        <f t="shared" si="14"/>
        <v>2516.7064283242607</v>
      </c>
      <c r="W30" s="44">
        <f t="shared" si="14"/>
        <v>-3182.1928923503569</v>
      </c>
      <c r="X30" s="44">
        <f t="shared" si="14"/>
        <v>-3426.9513249391971</v>
      </c>
      <c r="Y30" s="44">
        <f t="shared" si="14"/>
        <v>-3739.7874316085149</v>
      </c>
      <c r="Z30" s="44">
        <f t="shared" si="14"/>
        <v>-4080.2803585063825</v>
      </c>
      <c r="AA30" s="44">
        <f t="shared" si="14"/>
        <v>-4449.8689417385322</v>
      </c>
      <c r="AB30" s="44">
        <f t="shared" si="14"/>
        <v>-4851.4951708982117</v>
      </c>
      <c r="AC30" s="44">
        <f t="shared" si="14"/>
        <v>-5287.5365412196716</v>
      </c>
      <c r="AD30" s="44">
        <f t="shared" si="14"/>
        <v>-5761.814603434379</v>
      </c>
      <c r="AE30" s="44">
        <f t="shared" si="14"/>
        <v>-6276.4613766257626</v>
      </c>
      <c r="AF30" s="44">
        <f t="shared" si="14"/>
        <v>-6916.0422273397699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-1571.881006471702</v>
      </c>
      <c r="C33" s="19">
        <f t="shared" ref="C33:W33" si="15">C30*C32</f>
        <v>-2872.2648882822077</v>
      </c>
      <c r="D33" s="19">
        <f t="shared" si="15"/>
        <v>-2499.3027135241032</v>
      </c>
      <c r="E33" s="19">
        <f t="shared" si="15"/>
        <v>-2153.9861624787864</v>
      </c>
      <c r="F33" s="19">
        <f t="shared" si="15"/>
        <v>-1829.4770871888172</v>
      </c>
      <c r="G33" s="19">
        <f t="shared" si="15"/>
        <v>-535.29568313959396</v>
      </c>
      <c r="H33" s="19">
        <f t="shared" si="15"/>
        <v>148.71707037573265</v>
      </c>
      <c r="I33" s="19">
        <f t="shared" si="15"/>
        <v>232.74285059488088</v>
      </c>
      <c r="J33" s="19">
        <f t="shared" si="15"/>
        <v>331.07453929938197</v>
      </c>
      <c r="K33" s="19">
        <f t="shared" si="15"/>
        <v>430.26321028223686</v>
      </c>
      <c r="L33" s="19">
        <f t="shared" si="15"/>
        <v>544.58711510610533</v>
      </c>
      <c r="M33" s="19">
        <f t="shared" si="15"/>
        <v>661.22283655669082</v>
      </c>
      <c r="N33" s="19">
        <f t="shared" si="15"/>
        <v>794.89811793178092</v>
      </c>
      <c r="O33" s="19">
        <f t="shared" si="15"/>
        <v>932.37073784642257</v>
      </c>
      <c r="P33" s="19">
        <f t="shared" si="15"/>
        <v>1088.1852503108498</v>
      </c>
      <c r="Q33" s="19">
        <f t="shared" si="15"/>
        <v>2230.5594141050001</v>
      </c>
      <c r="R33" s="19">
        <f t="shared" si="15"/>
        <v>3258.6339802111229</v>
      </c>
      <c r="S33" s="19">
        <f t="shared" si="15"/>
        <v>3125.4698876793009</v>
      </c>
      <c r="T33" s="19">
        <f t="shared" si="15"/>
        <v>3101.2373722194175</v>
      </c>
      <c r="U33" s="19">
        <f t="shared" si="15"/>
        <v>3076.3234591539313</v>
      </c>
      <c r="V33" s="19">
        <f t="shared" si="15"/>
        <v>880.84724991349117</v>
      </c>
      <c r="W33" s="19">
        <f t="shared" si="15"/>
        <v>-1113.767512322625</v>
      </c>
      <c r="X33" s="19">
        <f t="shared" ref="X33:AF33" si="16">X30*X32</f>
        <v>-1199.432963728719</v>
      </c>
      <c r="Y33" s="19">
        <f t="shared" si="16"/>
        <v>-1308.9256010629801</v>
      </c>
      <c r="Z33" s="19">
        <f t="shared" si="16"/>
        <v>-1428.0981254772339</v>
      </c>
      <c r="AA33" s="19">
        <f t="shared" si="16"/>
        <v>-1557.4541296084863</v>
      </c>
      <c r="AB33" s="19">
        <f t="shared" si="16"/>
        <v>-1698.023309814374</v>
      </c>
      <c r="AC33" s="19">
        <f t="shared" si="16"/>
        <v>-1850.6377894268849</v>
      </c>
      <c r="AD33" s="19">
        <f t="shared" si="16"/>
        <v>-2016.6351112020325</v>
      </c>
      <c r="AE33" s="19">
        <f t="shared" si="16"/>
        <v>-2196.7614818190168</v>
      </c>
      <c r="AF33" s="19">
        <f t="shared" si="16"/>
        <v>-2420.6147795689194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1571.881006471702</v>
      </c>
      <c r="D35" s="19">
        <f t="shared" si="17"/>
        <v>4444.1458947539095</v>
      </c>
      <c r="E35" s="19">
        <f t="shared" si="17"/>
        <v>6943.4486082780131</v>
      </c>
      <c r="F35" s="19">
        <f t="shared" si="17"/>
        <v>9097.4347707567995</v>
      </c>
      <c r="G35" s="19">
        <f t="shared" si="17"/>
        <v>10926.911857945617</v>
      </c>
      <c r="H35" s="19">
        <f t="shared" si="17"/>
        <v>11462.20754108521</v>
      </c>
      <c r="I35" s="19">
        <f t="shared" si="17"/>
        <v>11313.490470709477</v>
      </c>
      <c r="J35" s="19">
        <f t="shared" si="17"/>
        <v>11080.747620114596</v>
      </c>
      <c r="K35" s="19">
        <f t="shared" si="17"/>
        <v>10749.673080815215</v>
      </c>
      <c r="L35" s="19">
        <f t="shared" si="17"/>
        <v>10319.409870532978</v>
      </c>
      <c r="M35" s="19">
        <f t="shared" si="17"/>
        <v>9774.8227554268724</v>
      </c>
      <c r="N35" s="19">
        <f t="shared" si="17"/>
        <v>9113.5999188701808</v>
      </c>
      <c r="O35" s="19">
        <f t="shared" si="17"/>
        <v>8318.7018009383992</v>
      </c>
      <c r="P35" s="19">
        <f t="shared" si="17"/>
        <v>7386.3310630919768</v>
      </c>
      <c r="Q35" s="19">
        <f t="shared" si="17"/>
        <v>6298.1458127811275</v>
      </c>
      <c r="R35" s="19">
        <f t="shared" si="17"/>
        <v>4067.5863986761274</v>
      </c>
      <c r="S35" s="19">
        <f t="shared" si="17"/>
        <v>808.95241846500448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1113.767512322625</v>
      </c>
      <c r="Y35" s="19">
        <f t="shared" si="18"/>
        <v>2313.2004760513437</v>
      </c>
      <c r="Z35" s="19">
        <f t="shared" si="18"/>
        <v>3622.1260771143238</v>
      </c>
      <c r="AA35" s="19">
        <f t="shared" si="18"/>
        <v>5050.2242025915575</v>
      </c>
      <c r="AB35" s="19">
        <f t="shared" si="18"/>
        <v>6607.6783322000438</v>
      </c>
      <c r="AC35" s="19">
        <f t="shared" si="18"/>
        <v>8305.7016420144173</v>
      </c>
      <c r="AD35" s="19">
        <f t="shared" si="18"/>
        <v>10156.339431441302</v>
      </c>
      <c r="AE35" s="19">
        <f t="shared" si="18"/>
        <v>12172.974542643335</v>
      </c>
      <c r="AF35" s="19">
        <f t="shared" si="18"/>
        <v>14369.736024462352</v>
      </c>
    </row>
    <row r="36" spans="1:32">
      <c r="A36" s="21" t="s">
        <v>73</v>
      </c>
      <c r="B36" s="139">
        <f>IF(B33&lt;0,-B33,0)</f>
        <v>1571.881006471702</v>
      </c>
      <c r="C36" s="139">
        <f t="shared" ref="C36:AF36" si="19">IF(C33&lt;0,-C33,0)</f>
        <v>2872.2648882822077</v>
      </c>
      <c r="D36" s="139">
        <f t="shared" si="19"/>
        <v>2499.3027135241032</v>
      </c>
      <c r="E36" s="139">
        <f t="shared" si="19"/>
        <v>2153.9861624787864</v>
      </c>
      <c r="F36" s="139">
        <f t="shared" si="19"/>
        <v>1829.4770871888172</v>
      </c>
      <c r="G36" s="139">
        <f t="shared" si="19"/>
        <v>535.29568313959396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1113.767512322625</v>
      </c>
      <c r="X36" s="139">
        <f t="shared" si="19"/>
        <v>1199.432963728719</v>
      </c>
      <c r="Y36" s="139">
        <f t="shared" si="19"/>
        <v>1308.9256010629801</v>
      </c>
      <c r="Z36" s="139">
        <f t="shared" si="19"/>
        <v>1428.0981254772339</v>
      </c>
      <c r="AA36" s="139">
        <f t="shared" si="19"/>
        <v>1557.4541296084863</v>
      </c>
      <c r="AB36" s="139">
        <f t="shared" si="19"/>
        <v>1698.023309814374</v>
      </c>
      <c r="AC36" s="139">
        <f t="shared" si="19"/>
        <v>1850.6377894268849</v>
      </c>
      <c r="AD36" s="139">
        <f t="shared" si="19"/>
        <v>2016.6351112020325</v>
      </c>
      <c r="AE36" s="139">
        <f t="shared" si="19"/>
        <v>2196.7614818190168</v>
      </c>
      <c r="AF36" s="139">
        <f t="shared" si="19"/>
        <v>2420.6147795689194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-148.71707037573265</v>
      </c>
      <c r="I38" s="132">
        <f t="shared" si="21"/>
        <v>-232.74285059488088</v>
      </c>
      <c r="J38" s="132">
        <f t="shared" si="21"/>
        <v>-331.07453929938197</v>
      </c>
      <c r="K38" s="132">
        <f t="shared" si="21"/>
        <v>-430.26321028223686</v>
      </c>
      <c r="L38" s="132">
        <f t="shared" si="21"/>
        <v>-544.58711510610533</v>
      </c>
      <c r="M38" s="132">
        <f t="shared" si="21"/>
        <v>-661.22283655669082</v>
      </c>
      <c r="N38" s="132">
        <f t="shared" si="21"/>
        <v>-794.89811793178092</v>
      </c>
      <c r="O38" s="132">
        <f t="shared" si="21"/>
        <v>-932.37073784642257</v>
      </c>
      <c r="P38" s="132">
        <f t="shared" si="21"/>
        <v>-1088.1852503108498</v>
      </c>
      <c r="Q38" s="132">
        <f t="shared" si="21"/>
        <v>-2230.5594141050001</v>
      </c>
      <c r="R38" s="132">
        <f t="shared" si="21"/>
        <v>-3258.6339802111229</v>
      </c>
      <c r="S38" s="132">
        <f t="shared" si="21"/>
        <v>-808.95241846500448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1571.881006471702</v>
      </c>
      <c r="C39" s="132">
        <f t="shared" si="23"/>
        <v>4444.1458947539095</v>
      </c>
      <c r="D39" s="132">
        <f t="shared" si="23"/>
        <v>6943.4486082780131</v>
      </c>
      <c r="E39" s="132">
        <f t="shared" si="23"/>
        <v>9097.4347707567995</v>
      </c>
      <c r="F39" s="132">
        <f t="shared" si="23"/>
        <v>10926.911857945617</v>
      </c>
      <c r="G39" s="132">
        <f t="shared" si="23"/>
        <v>11462.20754108521</v>
      </c>
      <c r="H39" s="132">
        <f t="shared" si="23"/>
        <v>11313.490470709477</v>
      </c>
      <c r="I39" s="132">
        <f t="shared" si="23"/>
        <v>11080.747620114596</v>
      </c>
      <c r="J39" s="132">
        <f t="shared" si="23"/>
        <v>10749.673080815215</v>
      </c>
      <c r="K39" s="132">
        <f t="shared" si="23"/>
        <v>10319.409870532978</v>
      </c>
      <c r="L39" s="132">
        <f t="shared" si="23"/>
        <v>9774.8227554268724</v>
      </c>
      <c r="M39" s="132">
        <f t="shared" si="23"/>
        <v>9113.5999188701808</v>
      </c>
      <c r="N39" s="132">
        <f t="shared" si="23"/>
        <v>8318.7018009383992</v>
      </c>
      <c r="O39" s="132">
        <f t="shared" si="23"/>
        <v>7386.3310630919768</v>
      </c>
      <c r="P39" s="132">
        <f t="shared" si="23"/>
        <v>6298.1458127811275</v>
      </c>
      <c r="Q39" s="132">
        <f t="shared" si="23"/>
        <v>4067.5863986761274</v>
      </c>
      <c r="R39" s="132">
        <f t="shared" si="23"/>
        <v>808.95241846500448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1113.767512322625</v>
      </c>
      <c r="X39" s="132">
        <f t="shared" si="23"/>
        <v>2313.2004760513437</v>
      </c>
      <c r="Y39" s="132">
        <f t="shared" si="23"/>
        <v>3622.1260771143238</v>
      </c>
      <c r="Z39" s="132">
        <f t="shared" si="23"/>
        <v>5050.2242025915575</v>
      </c>
      <c r="AA39" s="132">
        <f t="shared" si="23"/>
        <v>6607.6783322000438</v>
      </c>
      <c r="AB39" s="132">
        <f t="shared" si="23"/>
        <v>8305.7016420144173</v>
      </c>
      <c r="AC39" s="132">
        <f t="shared" si="23"/>
        <v>10156.339431441302</v>
      </c>
      <c r="AD39" s="132">
        <f t="shared" si="23"/>
        <v>12172.974542643335</v>
      </c>
      <c r="AE39" s="132">
        <f t="shared" si="23"/>
        <v>14369.736024462352</v>
      </c>
      <c r="AF39" s="132">
        <f t="shared" si="23"/>
        <v>16790.350804031274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2316.5174692142964</v>
      </c>
      <c r="T41" s="136">
        <f t="shared" si="24"/>
        <v>3101.2373722194175</v>
      </c>
      <c r="U41" s="136">
        <f t="shared" si="24"/>
        <v>3076.3234591539313</v>
      </c>
      <c r="V41" s="136">
        <f t="shared" si="24"/>
        <v>880.84724991349117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7.399999999999999">
      <c r="A38" s="61" t="s">
        <v>224</v>
      </c>
      <c r="B38" s="282"/>
      <c r="F38"/>
      <c r="G38"/>
      <c r="H38"/>
      <c r="I38"/>
      <c r="J38"/>
      <c r="K38"/>
      <c r="L38"/>
    </row>
    <row r="39" spans="1:13" ht="13.8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8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8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8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8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8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8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8" thickBot="1">
      <c r="A58" s="171" t="s">
        <v>225</v>
      </c>
      <c r="B58" s="42"/>
      <c r="C58" s="42"/>
      <c r="D58" s="285">
        <v>20.833333333333314</v>
      </c>
      <c r="E58" s="66"/>
    </row>
    <row r="59" spans="1:13" ht="13.8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69" t="s">
        <v>120</v>
      </c>
    </row>
    <row r="6" spans="1:4" ht="13.8" thickBot="1"/>
    <row r="7" spans="1:4" ht="13.8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8" thickBot="1">
      <c r="A9" s="480" t="s">
        <v>119</v>
      </c>
      <c r="B9" s="481">
        <f>'Returns Analysis'!C39</f>
        <v>2.5505593419075011E-2</v>
      </c>
      <c r="C9" s="482">
        <f>Debt!E69</f>
        <v>1.2999999999999963</v>
      </c>
      <c r="D9" s="483">
        <f>Debt!E68</f>
        <v>1.2999999999999998</v>
      </c>
    </row>
    <row r="10" spans="1:4">
      <c r="A10" s="63"/>
      <c r="C10" s="484"/>
      <c r="D10" s="484"/>
    </row>
    <row r="11" spans="1:4" ht="13.8" thickBot="1"/>
    <row r="12" spans="1:4">
      <c r="A12" s="485" t="s">
        <v>370</v>
      </c>
      <c r="B12" s="486">
        <f>B9</f>
        <v>2.5505593419075011E-2</v>
      </c>
      <c r="C12" s="487">
        <f>C9</f>
        <v>1.2999999999999963</v>
      </c>
      <c r="D12" s="488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D25" zoomScale="75" zoomScaleNormal="75" workbookViewId="0">
      <selection activeCell="H54" sqref="H5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29" width="14.109375" style="12" customWidth="1"/>
    <col min="30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3" t="s">
        <v>655</v>
      </c>
      <c r="AD8" s="663" t="s">
        <v>659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6" t="s">
        <v>656</v>
      </c>
      <c r="AD9" s="666" t="s">
        <v>660</v>
      </c>
    </row>
    <row r="10" spans="1:38" ht="15.6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7" t="s">
        <v>657</v>
      </c>
      <c r="AD10" s="667" t="s">
        <v>655</v>
      </c>
    </row>
    <row r="11" spans="1:38" ht="15.6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203.81841949933624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7" t="s">
        <v>621</v>
      </c>
      <c r="AD11" s="664"/>
    </row>
    <row r="12" spans="1:38" ht="15.6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300.88158050066374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5"/>
      <c r="AD12" s="665"/>
    </row>
    <row r="13" spans="1:38" ht="15.6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6">
        <v>2</v>
      </c>
      <c r="AD13" s="666">
        <v>1</v>
      </c>
    </row>
    <row r="14" spans="1:38" ht="15.6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504.7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7-Yr. Debt</v>
      </c>
      <c r="AD14" s="327">
        <v>1</v>
      </c>
    </row>
    <row r="15" spans="1:38" ht="15.6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6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6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6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6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2.1478260869565218</v>
      </c>
      <c r="P19" s="40"/>
    </row>
    <row r="20" spans="1:23" ht="15.6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1.7391304347826086</v>
      </c>
      <c r="P20" s="40"/>
    </row>
    <row r="21" spans="1:23" ht="15.6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6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44.434782608695649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0.54347826086956519</v>
      </c>
      <c r="P22" s="40"/>
    </row>
    <row r="23" spans="1:23" ht="15.6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6.5217391304347823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0.43478260869565216</v>
      </c>
      <c r="P23" s="40"/>
    </row>
    <row r="24" spans="1:23" ht="15.6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5.4347826086956523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0.43478260869565216</v>
      </c>
      <c r="P24" s="40"/>
    </row>
    <row r="25" spans="1:23" ht="16.2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26.739130434782609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0.43478260869565216</v>
      </c>
      <c r="P25" s="40"/>
    </row>
    <row r="26" spans="1:23" ht="16.2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5.734782608695653</v>
      </c>
      <c r="P26" s="361"/>
    </row>
    <row r="27" spans="1:23" ht="15.6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6.5217391304347823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6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3" t="s">
        <v>666</v>
      </c>
      <c r="J29" s="328"/>
      <c r="L29" s="101" t="s">
        <v>232</v>
      </c>
      <c r="M29" s="13"/>
      <c r="N29" s="274">
        <f>IS!C16</f>
        <v>18727.794889085621</v>
      </c>
      <c r="O29" s="223">
        <f>N29/$H$68</f>
        <v>81.425195169937481</v>
      </c>
      <c r="P29" s="40"/>
      <c r="R29" s="339"/>
    </row>
    <row r="30" spans="1:23" ht="15.6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6.5217391304347823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2.1739130434782608</v>
      </c>
      <c r="P30" s="527">
        <v>0.02</v>
      </c>
      <c r="R30" s="3"/>
    </row>
    <row r="31" spans="1:23" ht="15.6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2.1739130434782608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6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5" t="s">
        <v>654</v>
      </c>
      <c r="J32" s="328"/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2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328"/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2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6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-4.5166164180049284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6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408.34782608695656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6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6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67.482608695652175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6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3.2608695652173911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6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6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6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6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2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2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2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2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6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4.3478260869565215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6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6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6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96.352173913043472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6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2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6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6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6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6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8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504.7</v>
      </c>
      <c r="E61" s="13"/>
      <c r="F61" s="101"/>
      <c r="G61" s="13"/>
      <c r="H61" s="262"/>
      <c r="I61" s="110"/>
      <c r="J61" s="40"/>
    </row>
    <row r="62" spans="1:16" ht="16.2" thickBot="1">
      <c r="E62" s="13"/>
      <c r="F62" s="103" t="s">
        <v>425</v>
      </c>
      <c r="G62" s="42"/>
      <c r="H62" s="276">
        <f>H68*H72</f>
        <v>563500</v>
      </c>
      <c r="I62" s="203"/>
      <c r="J62" s="81"/>
    </row>
    <row r="63" spans="1:16" ht="16.2" thickBot="1">
      <c r="A63" s="94" t="s">
        <v>32</v>
      </c>
      <c r="B63" s="119"/>
      <c r="C63" s="202"/>
      <c r="D63" s="120"/>
      <c r="E63" s="13"/>
    </row>
    <row r="64" spans="1:16" ht="15.6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6">
      <c r="A65" s="340" t="s">
        <v>266</v>
      </c>
      <c r="B65" s="341"/>
      <c r="C65" s="342">
        <f>D61</f>
        <v>504.7</v>
      </c>
      <c r="D65" s="40"/>
      <c r="E65" s="13"/>
      <c r="F65" s="180"/>
      <c r="G65" s="151"/>
      <c r="H65" s="110"/>
      <c r="I65" s="13"/>
      <c r="J65" s="40"/>
    </row>
    <row r="66" spans="1:10" ht="15.6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230</v>
      </c>
      <c r="I66" s="13"/>
      <c r="J66" s="40"/>
    </row>
    <row r="67" spans="1:10" ht="15.6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6">
      <c r="A68" s="104" t="s">
        <v>0</v>
      </c>
      <c r="B68" s="108"/>
      <c r="C68" s="109">
        <f>Debt!E68</f>
        <v>1.2999999999999998</v>
      </c>
      <c r="D68" s="350">
        <f>Debt!E69</f>
        <v>1.2999999999999963</v>
      </c>
      <c r="E68" s="13"/>
      <c r="F68" s="118" t="s">
        <v>304</v>
      </c>
      <c r="G68" s="43"/>
      <c r="H68" s="357">
        <f>SUM(H66:H67)</f>
        <v>230</v>
      </c>
      <c r="I68" s="13"/>
      <c r="J68" s="40"/>
    </row>
    <row r="69" spans="1:10" ht="15.6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6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6">
      <c r="A71" s="101" t="s">
        <v>435</v>
      </c>
      <c r="B71" s="97"/>
      <c r="C71" s="146">
        <f>'Returns Analysis'!C39</f>
        <v>2.5505593419075011E-2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2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3.7825760245323178E-2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6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4.4780996441841137E-2</v>
      </c>
      <c r="D73" s="537">
        <v>0.12</v>
      </c>
    </row>
    <row r="74" spans="1:10" ht="15.6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5.7652208209037784E-2</v>
      </c>
      <c r="D74" s="102"/>
      <c r="E74" s="97"/>
    </row>
    <row r="75" spans="1:10" ht="15.6">
      <c r="A75" s="41"/>
      <c r="B75" s="13"/>
      <c r="C75" s="13"/>
      <c r="D75" s="40"/>
      <c r="E75" s="97"/>
    </row>
    <row r="76" spans="1:10" ht="15.6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6">
      <c r="A77" s="101" t="s">
        <v>97</v>
      </c>
      <c r="B77" s="111">
        <f>IS!C32</f>
        <v>6858.9999999999927</v>
      </c>
      <c r="C77" s="111">
        <f>IS!D32</f>
        <v>10551.43</v>
      </c>
      <c r="D77" s="165">
        <f>IS!E32</f>
        <v>10503.562900000001</v>
      </c>
      <c r="E77" s="13"/>
    </row>
    <row r="78" spans="1:10" ht="15.6">
      <c r="A78" s="101" t="s">
        <v>98</v>
      </c>
      <c r="B78" s="111">
        <f>IS!C45</f>
        <v>-998.02260260612525</v>
      </c>
      <c r="C78" s="111">
        <f>IS!D45</f>
        <v>-1240.9908106188423</v>
      </c>
      <c r="D78" s="165">
        <f>IS!E45</f>
        <v>-1140.4979970009147</v>
      </c>
      <c r="E78" s="13"/>
    </row>
    <row r="79" spans="1:10" ht="15.6">
      <c r="A79" s="101" t="s">
        <v>99</v>
      </c>
      <c r="B79" s="111">
        <f>'Returns Analysis'!C13</f>
        <v>4467.4548050102203</v>
      </c>
      <c r="C79" s="111">
        <f>'Returns Analysis'!D13</f>
        <v>4969.3592222319794</v>
      </c>
      <c r="D79" s="165">
        <f>'Returns Analysis'!E13</f>
        <v>5129.7754863327727</v>
      </c>
      <c r="E79" s="13"/>
    </row>
    <row r="80" spans="1:10" ht="16.2" thickBot="1">
      <c r="A80" s="103" t="s">
        <v>360</v>
      </c>
      <c r="B80" s="112">
        <f>'Returns Analysis'!C21</f>
        <v>3550.5920554854856</v>
      </c>
      <c r="C80" s="112">
        <f>'Returns Analysis'!D21</f>
        <v>2490.7614007842722</v>
      </c>
      <c r="D80" s="191">
        <f>'Returns Analysis'!E21</f>
        <v>2414.7191389884038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8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198120</xdr:rowOff>
                  </from>
                  <to>
                    <xdr:col>9</xdr:col>
                    <xdr:colOff>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1249680</xdr:colOff>
                    <xdr:row>29</xdr:row>
                    <xdr:rowOff>0</xdr:rowOff>
                  </from>
                  <to>
                    <xdr:col>8</xdr:col>
                    <xdr:colOff>1219200</xdr:colOff>
                    <xdr:row>30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8" sqref="C38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8280</v>
      </c>
      <c r="D10" s="74">
        <f>IF(D6&lt;Assumptions!$H$19,12*'Price_Technical Assumption'!E21*Assumptions!$H$68,IF(AND(C6&lt;Assumptions!$H$19,D6&gt;Assumptions!$H$19),(1-$C$6)*12*'Price_Technical Assumption'!E21*Assumptions!$H$68,0))</f>
        <v>12420</v>
      </c>
      <c r="E10" s="74">
        <f>IF(E6&lt;Assumptions!$H$19,12*'Price_Technical Assumption'!F21*Assumptions!$H$68,IF(AND(D6&lt;Assumptions!$H$19,E6&gt;Assumptions!$H$19),(1-$C$6)*12*'Price_Technical Assumption'!F21*Assumptions!$H$68,0))</f>
        <v>12420</v>
      </c>
      <c r="F10" s="74">
        <f>IF(F6&lt;Assumptions!$H$19,12*'Price_Technical Assumption'!G21*Assumptions!$H$68,IF(AND(E6&lt;Assumptions!$H$19,F6&gt;Assumptions!$H$19),(1-$C$6)*12*'Price_Technical Assumption'!G21*Assumptions!$H$68,0))</f>
        <v>12420</v>
      </c>
      <c r="G10" s="74">
        <f>IF(G6&lt;Assumptions!$H$19,12*'Price_Technical Assumption'!H21*Assumptions!$H$68,IF(AND(F6&lt;Assumptions!$H$19,G6&gt;Assumptions!$H$19),(1-$C$6)*12*'Price_Technical Assumption'!H21*Assumptions!$H$68,0))</f>
        <v>12420</v>
      </c>
      <c r="H10" s="74">
        <f>IF(H6&lt;Assumptions!$H$19,12*'Price_Technical Assumption'!I21*Assumptions!$H$68,IF(AND(G6&lt;Assumptions!$H$19,H6&gt;Assumptions!$H$19),(1-$C$6)*12*'Price_Technical Assumption'!I21*Assumptions!$H$68,0))</f>
        <v>12420</v>
      </c>
      <c r="I10" s="74">
        <f>IF(I6&lt;Assumptions!$H$19,12*'Price_Technical Assumption'!J21*Assumptions!$H$68,IF(AND(H6&lt;Assumptions!$H$19,I6&gt;Assumptions!$H$19),(1-$C$6)*12*'Price_Technical Assumption'!J21*Assumptions!$H$68,0))</f>
        <v>12420</v>
      </c>
      <c r="J10" s="74">
        <f>IF(J6&lt;Assumptions!$H$19,12*'Price_Technical Assumption'!K21*Assumptions!$H$68,IF(AND(I6&lt;Assumptions!$H$19,J6&gt;Assumptions!$H$19),(1-$C$6)*12*'Price_Technical Assumption'!K21*Assumptions!$H$68,0))</f>
        <v>12420</v>
      </c>
      <c r="K10" s="74">
        <f>IF(K6&lt;Assumptions!$H$19,12*'Price_Technical Assumption'!L21*Assumptions!$H$68,IF(AND(J6&lt;Assumptions!$H$19,K6&gt;Assumptions!$H$19),(1-$C$6)*12*'Price_Technical Assumption'!L21*Assumptions!$H$68,0))</f>
        <v>12420</v>
      </c>
      <c r="L10" s="74">
        <f>IF(L6&lt;Assumptions!$H$19,12*'Price_Technical Assumption'!M21*Assumptions!$H$68,IF(AND(K6&lt;Assumptions!$H$19,L6&gt;Assumptions!$H$19),(1-$C$6)*12*'Price_Technical Assumption'!M21*Assumptions!$H$68,0))</f>
        <v>12420</v>
      </c>
      <c r="M10" s="74">
        <f>IF(M6&lt;Assumptions!$H$19,12*'Price_Technical Assumption'!N21*Assumptions!$H$68,IF(AND(L6&lt;Assumptions!$H$19,M6&gt;Assumptions!$H$19),(1-$C$6)*12*'Price_Technical Assumption'!N21*Assumptions!$H$68,0))</f>
        <v>12420</v>
      </c>
      <c r="N10" s="74">
        <f>IF(N6&lt;Assumptions!$H$19,12*'Price_Technical Assumption'!O21*Assumptions!$H$68,IF(AND(M6&lt;Assumptions!$H$19,N6&gt;Assumptions!$H$19),(1-$C$6)*12*'Price_Technical Assumption'!O21*Assumptions!$H$68,0))</f>
        <v>12420</v>
      </c>
      <c r="O10" s="74">
        <f>IF(O6&lt;Assumptions!$H$19,12*'Price_Technical Assumption'!P21*Assumptions!$H$68,IF(AND(N6&lt;Assumptions!$H$19,O6&gt;Assumptions!$H$19),(1-$C$6)*12*'Price_Technical Assumption'!P21*Assumptions!$H$68,0))</f>
        <v>12420</v>
      </c>
      <c r="P10" s="74">
        <f>IF(P6&lt;Assumptions!$H$19,12*'Price_Technical Assumption'!Q21*Assumptions!$H$68,IF(AND(O6&lt;Assumptions!$H$19,P6&gt;Assumptions!$H$19),(1-$C$6)*12*'Price_Technical Assumption'!Q21*Assumptions!$H$68,0))</f>
        <v>12420</v>
      </c>
      <c r="Q10" s="74">
        <f>IF(Q6&lt;Assumptions!$H$19,12*'Price_Technical Assumption'!R21*Assumptions!$H$68,IF(AND(P6&lt;Assumptions!$H$19,Q6&gt;Assumptions!$H$19),(1-$C$6)*12*'Price_Technical Assumption'!R21*Assumptions!$H$68,0))</f>
        <v>12420</v>
      </c>
      <c r="R10" s="74">
        <f>IF(R6&lt;Assumptions!$H$19,12*'Price_Technical Assumption'!S21*Assumptions!$H$68,IF(AND(Q6&lt;Assumptions!$H$19,R6&gt;Assumptions!$H$19),(1-$C$6)*12*'Price_Technical Assumption'!S21*Assumptions!$H$68,0))</f>
        <v>12420</v>
      </c>
      <c r="S10" s="74">
        <f>IF(S6&lt;Assumptions!$H$19,12*'Price_Technical Assumption'!T21*Assumptions!$H$68,IF(AND(R6&lt;Assumptions!$H$19,S6&gt;Assumptions!$H$19),(1-$C$6)*12*'Price_Technical Assumption'!T21*Assumptions!$H$68,0))</f>
        <v>12420</v>
      </c>
      <c r="T10" s="74">
        <f>IF(T6&lt;Assumptions!$H$19,12*'Price_Technical Assumption'!U21*Assumptions!$H$68,IF(AND(S6&lt;Assumptions!$H$19,T6&gt;Assumptions!$H$19),(1-$C$6)*12*'Price_Technical Assumption'!U21*Assumptions!$H$68,0))</f>
        <v>12420</v>
      </c>
      <c r="U10" s="74">
        <f>IF(U6&lt;Assumptions!$H$19,12*'Price_Technical Assumption'!V21*Assumptions!$H$68,IF(AND(T6&lt;Assumptions!$H$19,U6&gt;Assumptions!$H$19),(1-$C$6)*12*'Price_Technical Assumption'!V21*Assumptions!$H$68,0))</f>
        <v>12420</v>
      </c>
      <c r="V10" s="74">
        <f>IF(V6&lt;Assumptions!$H$19,12*'Price_Technical Assumption'!W21*Assumptions!$H$68,IF(AND(U6&lt;Assumptions!$H$19,V6&gt;Assumptions!$H$19),(1-$C$6)*12*'Price_Technical Assumption'!W21*Assumptions!$H$68,0))</f>
        <v>12420</v>
      </c>
      <c r="W10" s="74">
        <f>IF(W6&lt;Assumptions!$H$19,12*'Price_Technical Assumption'!X21*Assumptions!$H$68,IF(AND(V6&lt;Assumptions!$H$19,W6&gt;Assumptions!$H$19),(1-$C$6)*12*'Price_Technical Assumption'!X21*Assumptions!$H$68,0))</f>
        <v>5753.7592374858805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28272.166543658888</v>
      </c>
      <c r="D13" s="65">
        <f t="shared" si="0"/>
        <v>32339.863429125471</v>
      </c>
      <c r="E13" s="65">
        <f t="shared" si="0"/>
        <v>32567.730172822405</v>
      </c>
      <c r="F13" s="65">
        <f t="shared" si="0"/>
        <v>32897.673850010018</v>
      </c>
      <c r="G13" s="65">
        <f t="shared" si="0"/>
        <v>33287.747308447128</v>
      </c>
      <c r="H13" s="65">
        <f t="shared" si="0"/>
        <v>33701.16017358096</v>
      </c>
      <c r="I13" s="65">
        <f t="shared" si="0"/>
        <v>34128.129324538764</v>
      </c>
      <c r="J13" s="65">
        <f t="shared" si="0"/>
        <v>34585.878926723046</v>
      </c>
      <c r="K13" s="65">
        <f t="shared" si="0"/>
        <v>35074.448555472351</v>
      </c>
      <c r="L13" s="65">
        <f t="shared" si="0"/>
        <v>35593.878973385392</v>
      </c>
      <c r="M13" s="65">
        <f t="shared" si="0"/>
        <v>36144.212165938821</v>
      </c>
      <c r="N13" s="65">
        <f t="shared" si="0"/>
        <v>36655.520854145478</v>
      </c>
      <c r="O13" s="65">
        <f t="shared" si="0"/>
        <v>37118.029155972559</v>
      </c>
      <c r="P13" s="65">
        <f t="shared" si="0"/>
        <v>37981.067367527765</v>
      </c>
      <c r="Q13" s="65">
        <f t="shared" si="0"/>
        <v>38655.457278334958</v>
      </c>
      <c r="R13" s="65">
        <f t="shared" si="0"/>
        <v>39360.979557578125</v>
      </c>
      <c r="S13" s="65">
        <f t="shared" si="0"/>
        <v>40097.684338112085</v>
      </c>
      <c r="T13" s="65">
        <f t="shared" si="0"/>
        <v>40865.623256777326</v>
      </c>
      <c r="U13" s="65">
        <f t="shared" si="0"/>
        <v>41664.849499519507</v>
      </c>
      <c r="V13" s="65">
        <f t="shared" si="0"/>
        <v>42495.417847862722</v>
      </c>
      <c r="W13" s="65">
        <f t="shared" si="0"/>
        <v>36691.143964262599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18727.794889085621</v>
      </c>
      <c r="D16" s="218">
        <f>Assumptions!$H$62*'Price_Technical Assumption'!E30*'Price_Technical Assumption'!E44/1000000</f>
        <v>18617.560624915001</v>
      </c>
      <c r="E16" s="218">
        <f>Assumptions!$H$62*'Price_Technical Assumption'!F30*'Price_Technical Assumption'!F44/1000000</f>
        <v>18806.358284485621</v>
      </c>
      <c r="F16" s="218">
        <f>Assumptions!$H$62*'Price_Technical Assumption'!G30*'Price_Technical Assumption'!G44/1000000</f>
        <v>19096.060805023124</v>
      </c>
      <c r="G16" s="218">
        <f>Assumptions!$H$62*'Price_Technical Assumption'!H30*'Price_Technical Assumption'!H44/1000000</f>
        <v>19444.685872110625</v>
      </c>
      <c r="H16" s="218">
        <f>Assumptions!$H$62*'Price_Technical Assumption'!I30*'Price_Technical Assumption'!I44/1000000</f>
        <v>19815.406894154374</v>
      </c>
      <c r="I16" s="218">
        <f>Assumptions!$H$62*'Price_Technical Assumption'!J30*'Price_Technical Assumption'!J44/1000000</f>
        <v>20198.403446729379</v>
      </c>
      <c r="J16" s="218">
        <f>Assumptions!$H$62*'Price_Technical Assumption'!K30*'Price_Technical Assumption'!K44/1000000</f>
        <v>20610.861272579376</v>
      </c>
      <c r="K16" s="218">
        <f>Assumptions!$H$62*'Price_Technical Assumption'!L30*'Price_Technical Assumption'!L44/1000000</f>
        <v>21052.780371704375</v>
      </c>
      <c r="L16" s="218">
        <f>Assumptions!$H$62*'Price_Technical Assumption'!M30*'Price_Technical Assumption'!M44/1000000</f>
        <v>21524.160744104371</v>
      </c>
      <c r="M16" s="218">
        <f>Assumptions!$H$62*'Price_Technical Assumption'!N30*'Price_Technical Assumption'!N44/1000000</f>
        <v>22025.002389779373</v>
      </c>
      <c r="N16" s="218">
        <f>Assumptions!$H$62*'Price_Technical Assumption'!O30*'Price_Technical Assumption'!O44/1000000</f>
        <v>22485.334784701252</v>
      </c>
      <c r="O16" s="218">
        <f>Assumptions!$H$62*'Price_Technical Assumption'!P30*'Price_Technical Assumption'!P44/1000000</f>
        <v>22895.337504445</v>
      </c>
      <c r="P16" s="218">
        <f>Assumptions!$H$62*'Price_Technical Assumption'!Q30*'Price_Technical Assumption'!Q44/1000000</f>
        <v>23704.294966454381</v>
      </c>
      <c r="Q16" s="218">
        <f>Assumptions!$H$62*'Price_Technical Assumption'!R30*'Price_Technical Assumption'!R44/1000000</f>
        <v>24322.981705229373</v>
      </c>
      <c r="R16" s="218">
        <f>Assumptions!$H$62*'Price_Technical Assumption'!S30*'Price_Technical Assumption'!S44/1000000</f>
        <v>24971.129717279375</v>
      </c>
      <c r="S16" s="218">
        <f>Assumptions!$H$62*'Price_Technical Assumption'!T30*'Price_Technical Assumption'!T44/1000000</f>
        <v>25648.739002604372</v>
      </c>
      <c r="T16" s="218">
        <f>Assumptions!$H$62*'Price_Technical Assumption'!U30*'Price_Technical Assumption'!U44/1000000</f>
        <v>26355.809561204376</v>
      </c>
      <c r="U16" s="218">
        <f>Assumptions!$H$62*'Price_Technical Assumption'!V30*'Price_Technical Assumption'!V44/1000000</f>
        <v>27092.341393079369</v>
      </c>
      <c r="V16" s="218">
        <f>Assumptions!$H$62*'Price_Technical Assumption'!W30*'Price_Technical Assumption'!W44/1000000</f>
        <v>27858.334498229378</v>
      </c>
      <c r="W16" s="218">
        <f>Assumptions!$H$62*'Price_Technical Assumption'!X30*'Price_Technical Assumption'!X44/1000000</f>
        <v>28653.788876654373</v>
      </c>
      <c r="X16" s="218">
        <f>Assumptions!$H$62*'Price_Technical Assumption'!Y30*'Price_Technical Assumption'!Y44/1000000</f>
        <v>12962.960241000001</v>
      </c>
      <c r="Y16" s="218">
        <f>Assumptions!$H$62*'Price_Technical Assumption'!Z30*'Price_Technical Assumption'!Z44/1000000</f>
        <v>12962.960241000001</v>
      </c>
      <c r="Z16" s="218">
        <f>Assumptions!$H$62*'Price_Technical Assumption'!AA30*'Price_Technical Assumption'!AA44/1000000</f>
        <v>12962.960241000001</v>
      </c>
      <c r="AA16" s="218">
        <f>Assumptions!$H$62*'Price_Technical Assumption'!AB30*'Price_Technical Assumption'!AB44/1000000</f>
        <v>12962.960241000001</v>
      </c>
      <c r="AB16" s="218">
        <f>Assumptions!$H$62*'Price_Technical Assumption'!AC30*'Price_Technical Assumption'!AC44/1000000</f>
        <v>12962.960241000001</v>
      </c>
      <c r="AC16" s="218">
        <f>Assumptions!$H$62*'Price_Technical Assumption'!AD30*'Price_Technical Assumption'!AD44/1000000</f>
        <v>12962.960241000001</v>
      </c>
      <c r="AD16" s="218">
        <f>Assumptions!$H$62*'Price_Technical Assumption'!AE30*'Price_Technical Assumption'!AE44/1000000</f>
        <v>12962.960241000001</v>
      </c>
      <c r="AE16" s="218">
        <f>Assumptions!$H$62*'Price_Technical Assumption'!AF30*'Price_Technical Assumption'!AF44/1000000</f>
        <v>12962.960241000001</v>
      </c>
      <c r="AF16" s="218">
        <f>Assumptions!$H$62*'Price_Technical Assumption'!AG30*'Price_Technical Assumption'!AG44/1000000</f>
        <v>12962.960241000001</v>
      </c>
      <c r="AG16" s="218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6858.9999999999927</v>
      </c>
      <c r="D32" s="123">
        <f t="shared" si="3"/>
        <v>10551.43</v>
      </c>
      <c r="E32" s="123">
        <f t="shared" si="3"/>
        <v>10503.562900000001</v>
      </c>
      <c r="F32" s="123">
        <f t="shared" si="3"/>
        <v>10454.361787000002</v>
      </c>
      <c r="G32" s="123">
        <f t="shared" si="3"/>
        <v>10403.788680610014</v>
      </c>
      <c r="H32" s="123">
        <f t="shared" si="3"/>
        <v>10351.804501828297</v>
      </c>
      <c r="I32" s="123">
        <f t="shared" si="3"/>
        <v>10298.369040899142</v>
      </c>
      <c r="J32" s="123">
        <f t="shared" si="3"/>
        <v>10243.440924222443</v>
      </c>
      <c r="K32" s="123">
        <f t="shared" si="3"/>
        <v>10186.977580287356</v>
      </c>
      <c r="L32" s="123">
        <f t="shared" si="3"/>
        <v>10128.935204600999</v>
      </c>
      <c r="M32" s="123">
        <f t="shared" si="3"/>
        <v>10069.26872358214</v>
      </c>
      <c r="N32" s="123">
        <f t="shared" si="3"/>
        <v>10007.931757389564</v>
      </c>
      <c r="O32" s="123">
        <f t="shared" si="3"/>
        <v>9944.8765816532323</v>
      </c>
      <c r="P32" s="123">
        <f t="shared" si="3"/>
        <v>9880.0540880756416</v>
      </c>
      <c r="Q32" s="123">
        <f t="shared" si="3"/>
        <v>9813.41374387018</v>
      </c>
      <c r="R32" s="123">
        <f t="shared" si="3"/>
        <v>9744.9035500015925</v>
      </c>
      <c r="S32" s="123">
        <f t="shared" si="3"/>
        <v>9674.4699981932717</v>
      </c>
      <c r="T32" s="123">
        <f t="shared" si="3"/>
        <v>9602.0580266645193</v>
      </c>
      <c r="U32" s="123">
        <f t="shared" si="3"/>
        <v>9527.6109745604226</v>
      </c>
      <c r="V32" s="123">
        <f t="shared" si="3"/>
        <v>9451.07053503512</v>
      </c>
      <c r="W32" s="123">
        <f t="shared" si="3"/>
        <v>2706.135944434689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2144.1333333333259</v>
      </c>
      <c r="D36" s="123">
        <f t="shared" ref="D36:X36" si="5">D32-D34</f>
        <v>3479.130000000001</v>
      </c>
      <c r="E36" s="123">
        <f t="shared" si="5"/>
        <v>3431.2629000000015</v>
      </c>
      <c r="F36" s="123">
        <f t="shared" si="5"/>
        <v>3382.0617870000024</v>
      </c>
      <c r="G36" s="123">
        <f t="shared" si="5"/>
        <v>3331.4886806100149</v>
      </c>
      <c r="H36" s="123">
        <f t="shared" si="5"/>
        <v>6100.9711684949634</v>
      </c>
      <c r="I36" s="123">
        <f t="shared" si="5"/>
        <v>7458.2690408991421</v>
      </c>
      <c r="J36" s="123">
        <f t="shared" si="5"/>
        <v>7403.3409242224425</v>
      </c>
      <c r="K36" s="123">
        <f t="shared" si="5"/>
        <v>7346.8775802873552</v>
      </c>
      <c r="L36" s="123">
        <f t="shared" si="5"/>
        <v>7288.8352046009986</v>
      </c>
      <c r="M36" s="123">
        <f t="shared" si="5"/>
        <v>7229.1687235821391</v>
      </c>
      <c r="N36" s="123">
        <f t="shared" si="5"/>
        <v>7167.8317573895638</v>
      </c>
      <c r="O36" s="123">
        <f t="shared" si="5"/>
        <v>7104.7765816532319</v>
      </c>
      <c r="P36" s="123">
        <f t="shared" si="5"/>
        <v>7039.9540880756413</v>
      </c>
      <c r="Q36" s="123">
        <f t="shared" si="5"/>
        <v>6973.3137438701797</v>
      </c>
      <c r="R36" s="123">
        <f t="shared" si="5"/>
        <v>6904.8035500015922</v>
      </c>
      <c r="S36" s="123">
        <f t="shared" si="5"/>
        <v>6834.3699981932714</v>
      </c>
      <c r="T36" s="123">
        <f t="shared" si="5"/>
        <v>6761.9580266645189</v>
      </c>
      <c r="U36" s="123">
        <f t="shared" si="5"/>
        <v>6687.5109745604223</v>
      </c>
      <c r="V36" s="123">
        <f t="shared" si="5"/>
        <v>6610.9705350351196</v>
      </c>
      <c r="W36" s="123">
        <f t="shared" si="5"/>
        <v>-133.9640555653109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3795.1219232524745</v>
      </c>
      <c r="D38" s="65">
        <f>Debt!C57</f>
        <v>5532.0511093777386</v>
      </c>
      <c r="E38" s="65">
        <f>Debt!D57</f>
        <v>5317.9427957831522</v>
      </c>
      <c r="F38" s="65">
        <f>Debt!E57</f>
        <v>5086.8179655108197</v>
      </c>
      <c r="G38" s="65">
        <f>Debt!F57</f>
        <v>4838.0350725780636</v>
      </c>
      <c r="H38" s="65">
        <f>Debt!G57</f>
        <v>4572.5464060366612</v>
      </c>
      <c r="I38" s="65">
        <f>Debt!H57</f>
        <v>4287.9331255399065</v>
      </c>
      <c r="J38" s="65">
        <f>Debt!I57</f>
        <v>3983.4643510942115</v>
      </c>
      <c r="K38" s="65">
        <f>Debt!J57</f>
        <v>3655.520325146264</v>
      </c>
      <c r="L38" s="65">
        <f>Debt!K57</f>
        <v>3304.6147466517496</v>
      </c>
      <c r="M38" s="65">
        <f>Debt!L57</f>
        <v>2927.7755375646952</v>
      </c>
      <c r="N38" s="65">
        <f>Debt!M57</f>
        <v>2523.7266529418748</v>
      </c>
      <c r="O38" s="65">
        <f>Debt!N57</f>
        <v>2088.2091018481442</v>
      </c>
      <c r="P38" s="65">
        <f>Debt!O57</f>
        <v>1621.1406942287188</v>
      </c>
      <c r="Q38" s="65">
        <f>Debt!P57</f>
        <v>1118.783028696324</v>
      </c>
      <c r="R38" s="65">
        <f>Debt!Q57</f>
        <v>579.11165255873539</v>
      </c>
      <c r="S38" s="65">
        <f>Debt!R57</f>
        <v>73.597303063780672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53.660637487516951</v>
      </c>
      <c r="Y38" s="65">
        <f>Debt!X57</f>
        <v>215.23143414996053</v>
      </c>
      <c r="Z38" s="65">
        <f>Debt!Y57</f>
        <v>442.53584244948411</v>
      </c>
      <c r="AA38" s="65">
        <f>Debt!Z57</f>
        <v>695.08571799353797</v>
      </c>
      <c r="AB38" s="65">
        <f>Debt!AA57</f>
        <v>974.2506482576805</v>
      </c>
      <c r="AC38" s="65">
        <f>Debt!AB57</f>
        <v>1282.9013585852535</v>
      </c>
      <c r="AD38" s="65">
        <f>Debt!AC57</f>
        <v>1623.3420051090914</v>
      </c>
      <c r="AE38" s="65">
        <f>Debt!AD57</f>
        <v>1999.3186636236937</v>
      </c>
      <c r="AF38" s="65">
        <f>Debt!AE57</f>
        <v>2412.8856796516193</v>
      </c>
      <c r="AG38" s="65">
        <f>Debt!AF57</f>
        <v>2948.5284829078928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-1650.9885899191486</v>
      </c>
      <c r="D40" s="123">
        <f t="shared" ref="D40:X40" si="7">D36-D38</f>
        <v>-2052.9211093777376</v>
      </c>
      <c r="E40" s="123">
        <f t="shared" si="7"/>
        <v>-1886.6798957831506</v>
      </c>
      <c r="F40" s="123">
        <f t="shared" si="7"/>
        <v>-1704.7561785108173</v>
      </c>
      <c r="G40" s="123">
        <f t="shared" si="7"/>
        <v>-1506.5463919680487</v>
      </c>
      <c r="H40" s="123">
        <f t="shared" si="7"/>
        <v>1528.4247624583022</v>
      </c>
      <c r="I40" s="123">
        <f t="shared" si="7"/>
        <v>3170.3359153592355</v>
      </c>
      <c r="J40" s="123">
        <f t="shared" si="7"/>
        <v>3419.876573128231</v>
      </c>
      <c r="K40" s="123">
        <f t="shared" si="7"/>
        <v>3691.3572551410912</v>
      </c>
      <c r="L40" s="123">
        <f t="shared" si="7"/>
        <v>3984.2204579492491</v>
      </c>
      <c r="M40" s="123">
        <f t="shared" si="7"/>
        <v>4301.3931860174434</v>
      </c>
      <c r="N40" s="123">
        <f t="shared" si="7"/>
        <v>4644.105104447689</v>
      </c>
      <c r="O40" s="123">
        <f t="shared" si="7"/>
        <v>5016.5674798050877</v>
      </c>
      <c r="P40" s="123">
        <f t="shared" si="7"/>
        <v>5418.8133938469227</v>
      </c>
      <c r="Q40" s="123">
        <f t="shared" si="7"/>
        <v>5854.5307151738562</v>
      </c>
      <c r="R40" s="123">
        <f t="shared" si="7"/>
        <v>6325.6918974428572</v>
      </c>
      <c r="S40" s="123">
        <f t="shared" si="7"/>
        <v>6760.7726951294908</v>
      </c>
      <c r="T40" s="123">
        <f t="shared" si="7"/>
        <v>6761.9580266645189</v>
      </c>
      <c r="U40" s="123">
        <f t="shared" si="7"/>
        <v>6687.5109745604223</v>
      </c>
      <c r="V40" s="123">
        <f t="shared" si="7"/>
        <v>6610.9705350351196</v>
      </c>
      <c r="W40" s="123">
        <f t="shared" si="7"/>
        <v>-133.9640555653109</v>
      </c>
      <c r="X40" s="123">
        <f t="shared" si="7"/>
        <v>-6022.2928923503569</v>
      </c>
      <c r="Y40" s="123">
        <f t="shared" ref="Y40:AG40" si="8">Y36-Y38</f>
        <v>-6267.051324939197</v>
      </c>
      <c r="Z40" s="123">
        <f t="shared" si="8"/>
        <v>-6579.8874316085148</v>
      </c>
      <c r="AA40" s="123">
        <f t="shared" si="8"/>
        <v>-6920.3803585063824</v>
      </c>
      <c r="AB40" s="123">
        <f t="shared" si="8"/>
        <v>-7289.9689417385325</v>
      </c>
      <c r="AC40" s="123">
        <f t="shared" si="8"/>
        <v>-7691.595170898212</v>
      </c>
      <c r="AD40" s="123">
        <f t="shared" si="8"/>
        <v>-8127.636541219671</v>
      </c>
      <c r="AE40" s="123">
        <f t="shared" si="8"/>
        <v>-8601.9146034343794</v>
      </c>
      <c r="AF40" s="123">
        <f t="shared" si="8"/>
        <v>-9116.5613766257629</v>
      </c>
      <c r="AG40" s="123">
        <f t="shared" si="8"/>
        <v>-7862.7422273397697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115.56920129434042</v>
      </c>
      <c r="D42" s="74">
        <f t="shared" ref="D42:AG42" si="9">-D40*$B$42</f>
        <v>143.70447765644164</v>
      </c>
      <c r="E42" s="74">
        <f t="shared" si="9"/>
        <v>132.06759270482056</v>
      </c>
      <c r="F42" s="74">
        <f t="shared" si="9"/>
        <v>119.33293249575722</v>
      </c>
      <c r="G42" s="74">
        <f t="shared" si="9"/>
        <v>105.45824743776342</v>
      </c>
      <c r="H42" s="74">
        <f t="shared" si="9"/>
        <v>-106.98973337208116</v>
      </c>
      <c r="I42" s="74">
        <f t="shared" si="9"/>
        <v>-221.9235140751465</v>
      </c>
      <c r="J42" s="74">
        <f t="shared" si="9"/>
        <v>-239.39136011897619</v>
      </c>
      <c r="K42" s="74">
        <f t="shared" si="9"/>
        <v>-258.39500785987639</v>
      </c>
      <c r="L42" s="74">
        <f t="shared" si="9"/>
        <v>-278.89543205644748</v>
      </c>
      <c r="M42" s="74">
        <f t="shared" si="9"/>
        <v>-301.09752302122109</v>
      </c>
      <c r="N42" s="74">
        <f t="shared" si="9"/>
        <v>-325.08735731133828</v>
      </c>
      <c r="O42" s="74">
        <f t="shared" si="9"/>
        <v>-351.15972358635617</v>
      </c>
      <c r="P42" s="74">
        <f t="shared" si="9"/>
        <v>-379.31693756928462</v>
      </c>
      <c r="Q42" s="74">
        <f t="shared" si="9"/>
        <v>-409.81715006216996</v>
      </c>
      <c r="R42" s="74">
        <f t="shared" si="9"/>
        <v>-442.79843282100006</v>
      </c>
      <c r="S42" s="74">
        <f t="shared" si="9"/>
        <v>-473.25408865906439</v>
      </c>
      <c r="T42" s="74">
        <f t="shared" si="9"/>
        <v>-473.33706186651636</v>
      </c>
      <c r="U42" s="74">
        <f t="shared" si="9"/>
        <v>-468.1257682192296</v>
      </c>
      <c r="V42" s="74">
        <f t="shared" si="9"/>
        <v>-462.7679374524584</v>
      </c>
      <c r="W42" s="74">
        <f t="shared" si="9"/>
        <v>9.3774838895717636</v>
      </c>
      <c r="X42" s="74">
        <f t="shared" si="9"/>
        <v>421.56050246452503</v>
      </c>
      <c r="Y42" s="74">
        <f t="shared" si="9"/>
        <v>438.69359274574384</v>
      </c>
      <c r="Z42" s="74">
        <f t="shared" si="9"/>
        <v>460.59212021259606</v>
      </c>
      <c r="AA42" s="74">
        <f t="shared" si="9"/>
        <v>484.42662509544681</v>
      </c>
      <c r="AB42" s="74">
        <f t="shared" si="9"/>
        <v>510.29782592169732</v>
      </c>
      <c r="AC42" s="74">
        <f t="shared" si="9"/>
        <v>538.41166196287486</v>
      </c>
      <c r="AD42" s="74">
        <f t="shared" si="9"/>
        <v>568.93455788537699</v>
      </c>
      <c r="AE42" s="74">
        <f t="shared" si="9"/>
        <v>602.13402224040658</v>
      </c>
      <c r="AF42" s="74">
        <f t="shared" si="9"/>
        <v>638.15929636380349</v>
      </c>
      <c r="AG42" s="74">
        <f t="shared" si="9"/>
        <v>550.39195591378393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537.39678601868286</v>
      </c>
      <c r="D43" s="74">
        <f t="shared" si="10"/>
        <v>668.22582110245355</v>
      </c>
      <c r="E43" s="74">
        <f t="shared" si="10"/>
        <v>614.11430607741545</v>
      </c>
      <c r="F43" s="74">
        <f t="shared" si="10"/>
        <v>554.89813610527096</v>
      </c>
      <c r="G43" s="74">
        <f t="shared" si="10"/>
        <v>490.38085058559983</v>
      </c>
      <c r="H43" s="74">
        <f t="shared" si="10"/>
        <v>-497.5022601801773</v>
      </c>
      <c r="I43" s="74">
        <f t="shared" si="10"/>
        <v>-1031.9443404494311</v>
      </c>
      <c r="J43" s="74">
        <f t="shared" si="10"/>
        <v>-1113.1698245532391</v>
      </c>
      <c r="K43" s="74">
        <f t="shared" si="10"/>
        <v>-1201.5367865484252</v>
      </c>
      <c r="L43" s="74">
        <f t="shared" si="10"/>
        <v>-1296.8637590624805</v>
      </c>
      <c r="M43" s="74">
        <f t="shared" si="10"/>
        <v>-1400.1034820486777</v>
      </c>
      <c r="N43" s="74">
        <f t="shared" si="10"/>
        <v>-1511.6562114977226</v>
      </c>
      <c r="O43" s="74">
        <f t="shared" si="10"/>
        <v>-1632.8927146765559</v>
      </c>
      <c r="P43" s="74">
        <f t="shared" si="10"/>
        <v>-1763.8237596971735</v>
      </c>
      <c r="Q43" s="74">
        <f t="shared" si="10"/>
        <v>-1905.64974778909</v>
      </c>
      <c r="R43" s="74">
        <f t="shared" si="10"/>
        <v>-2059.0127126176499</v>
      </c>
      <c r="S43" s="74">
        <f t="shared" si="10"/>
        <v>-2200.6315122646492</v>
      </c>
      <c r="T43" s="74">
        <f t="shared" si="10"/>
        <v>-2201.0173376793005</v>
      </c>
      <c r="U43" s="74">
        <f t="shared" si="10"/>
        <v>-2176.784822219417</v>
      </c>
      <c r="V43" s="74">
        <f t="shared" si="10"/>
        <v>-2151.8709091539313</v>
      </c>
      <c r="W43" s="74">
        <f t="shared" si="10"/>
        <v>43.605300086508699</v>
      </c>
      <c r="X43" s="74">
        <f t="shared" si="10"/>
        <v>1960.2563364600412</v>
      </c>
      <c r="Y43" s="74">
        <f t="shared" si="10"/>
        <v>2039.9252062677085</v>
      </c>
      <c r="Z43" s="74">
        <f t="shared" si="10"/>
        <v>2141.7533589885711</v>
      </c>
      <c r="AA43" s="74">
        <f t="shared" si="10"/>
        <v>2252.5838066938272</v>
      </c>
      <c r="AB43" s="74">
        <f t="shared" si="10"/>
        <v>2372.8848905358923</v>
      </c>
      <c r="AC43" s="74">
        <f t="shared" si="10"/>
        <v>2503.6142281273678</v>
      </c>
      <c r="AD43" s="74">
        <f t="shared" si="10"/>
        <v>2645.5456941670027</v>
      </c>
      <c r="AE43" s="74">
        <f t="shared" si="10"/>
        <v>2799.9232034178904</v>
      </c>
      <c r="AF43" s="74">
        <f t="shared" si="10"/>
        <v>2967.4407280916857</v>
      </c>
      <c r="AG43" s="74">
        <f t="shared" si="10"/>
        <v>2559.3225949990947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68">
        <f t="shared" ref="C45:AG45" si="11">C40+C42+C43</f>
        <v>-998.02260260612525</v>
      </c>
      <c r="D45" s="368">
        <f t="shared" si="11"/>
        <v>-1240.9908106188423</v>
      </c>
      <c r="E45" s="368">
        <f t="shared" si="11"/>
        <v>-1140.4979970009147</v>
      </c>
      <c r="F45" s="368">
        <f t="shared" si="11"/>
        <v>-1030.5251099097891</v>
      </c>
      <c r="G45" s="368">
        <f t="shared" si="11"/>
        <v>-910.70729394468549</v>
      </c>
      <c r="H45" s="368">
        <f t="shared" si="11"/>
        <v>923.93276890604375</v>
      </c>
      <c r="I45" s="368">
        <f t="shared" si="11"/>
        <v>1916.4680608346578</v>
      </c>
      <c r="J45" s="368">
        <f t="shared" si="11"/>
        <v>2067.3153884560161</v>
      </c>
      <c r="K45" s="368">
        <f t="shared" si="11"/>
        <v>2231.4254607327894</v>
      </c>
      <c r="L45" s="368">
        <f t="shared" si="11"/>
        <v>2408.4612668303207</v>
      </c>
      <c r="M45" s="368">
        <f t="shared" si="11"/>
        <v>2600.1921809475443</v>
      </c>
      <c r="N45" s="368">
        <f t="shared" si="11"/>
        <v>2807.3615356386281</v>
      </c>
      <c r="O45" s="368">
        <f t="shared" si="11"/>
        <v>3032.5150415421754</v>
      </c>
      <c r="P45" s="368">
        <f t="shared" si="11"/>
        <v>3275.6726965804651</v>
      </c>
      <c r="Q45" s="368">
        <f t="shared" si="11"/>
        <v>3539.0638173225962</v>
      </c>
      <c r="R45" s="368">
        <f t="shared" si="11"/>
        <v>3823.8807520042069</v>
      </c>
      <c r="S45" s="368">
        <f t="shared" si="11"/>
        <v>4086.8870942057774</v>
      </c>
      <c r="T45" s="368">
        <f t="shared" si="11"/>
        <v>4087.6036271187018</v>
      </c>
      <c r="U45" s="368">
        <f t="shared" si="11"/>
        <v>4042.6003841217753</v>
      </c>
      <c r="V45" s="368">
        <f t="shared" si="11"/>
        <v>3996.3316884287296</v>
      </c>
      <c r="W45" s="368">
        <f t="shared" si="11"/>
        <v>-80.981271589230431</v>
      </c>
      <c r="X45" s="368">
        <f t="shared" si="11"/>
        <v>-3640.4760534257912</v>
      </c>
      <c r="Y45" s="368">
        <f t="shared" si="11"/>
        <v>-3788.4325259257448</v>
      </c>
      <c r="Z45" s="368">
        <f t="shared" si="11"/>
        <v>-3977.5419524073473</v>
      </c>
      <c r="AA45" s="368">
        <f t="shared" si="11"/>
        <v>-4183.3699267171087</v>
      </c>
      <c r="AB45" s="368">
        <f t="shared" si="11"/>
        <v>-4406.7862252809427</v>
      </c>
      <c r="AC45" s="368">
        <f t="shared" si="11"/>
        <v>-4649.5692808079693</v>
      </c>
      <c r="AD45" s="368">
        <f t="shared" si="11"/>
        <v>-4913.1562891672911</v>
      </c>
      <c r="AE45" s="368">
        <f t="shared" si="11"/>
        <v>-5199.8573777760821</v>
      </c>
      <c r="AF45" s="368">
        <f t="shared" si="11"/>
        <v>-5510.961352170274</v>
      </c>
      <c r="AG45" s="368">
        <f t="shared" si="11"/>
        <v>-4753.027676426891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ColWidth="9.109375" defaultRowHeight="13.2" outlineLevelCol="1"/>
  <cols>
    <col min="1" max="1" width="4.6640625" style="540" customWidth="1"/>
    <col min="2" max="2" width="41.44140625" style="540" customWidth="1"/>
    <col min="3" max="3" width="18.5546875" style="540" customWidth="1"/>
    <col min="4" max="4" width="11.88671875" style="540" customWidth="1"/>
    <col min="5" max="5" width="13.44140625" style="540" customWidth="1"/>
    <col min="6" max="6" width="12.109375" style="540" hidden="1" customWidth="1" outlineLevel="1"/>
    <col min="7" max="7" width="9.109375" style="540" hidden="1" customWidth="1" outlineLevel="1"/>
    <col min="8" max="8" width="13.6640625" style="540" customWidth="1" collapsed="1"/>
    <col min="9" max="11" width="9.109375" style="540"/>
    <col min="12" max="12" width="13.109375" style="540" customWidth="1"/>
    <col min="13" max="16384" width="9.10937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546875" defaultRowHeight="13.2"/>
  <cols>
    <col min="1" max="1" width="39.6640625" customWidth="1"/>
    <col min="3" max="3" width="16.109375" customWidth="1"/>
    <col min="8" max="8" width="17.332031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5" zoomScale="75" zoomScaleNormal="75" workbookViewId="0">
      <selection activeCell="C39" sqref="C39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6858.9999999999927</v>
      </c>
      <c r="D11" s="18">
        <f>IS!D32</f>
        <v>10551.43</v>
      </c>
      <c r="E11" s="18">
        <f>IS!E32</f>
        <v>10503.562900000001</v>
      </c>
      <c r="F11" s="18">
        <f>IS!F32</f>
        <v>10454.361787000002</v>
      </c>
      <c r="G11" s="18">
        <f>IS!G32</f>
        <v>10403.788680610014</v>
      </c>
      <c r="H11" s="18">
        <f>IS!H32</f>
        <v>10351.804501828297</v>
      </c>
      <c r="I11" s="18">
        <f>IS!I32</f>
        <v>10298.369040899142</v>
      </c>
      <c r="J11" s="18">
        <f>IS!J32</f>
        <v>10243.440924222443</v>
      </c>
      <c r="K11" s="18">
        <f>IS!K32</f>
        <v>10186.977580287356</v>
      </c>
      <c r="L11" s="18">
        <f>IS!L32</f>
        <v>10128.935204600999</v>
      </c>
      <c r="M11" s="18">
        <f>IS!M32</f>
        <v>10069.26872358214</v>
      </c>
      <c r="N11" s="18">
        <f>IS!N32</f>
        <v>10007.931757389564</v>
      </c>
      <c r="O11" s="18">
        <f>IS!O32</f>
        <v>9944.8765816532323</v>
      </c>
      <c r="P11" s="18">
        <f>IS!P32</f>
        <v>9880.0540880756416</v>
      </c>
      <c r="Q11" s="18">
        <f>IS!Q32</f>
        <v>9813.41374387018</v>
      </c>
      <c r="R11" s="18">
        <f>IS!R32</f>
        <v>9744.9035500015925</v>
      </c>
      <c r="S11" s="18">
        <f>IS!S32</f>
        <v>9674.4699981932717</v>
      </c>
      <c r="T11" s="18">
        <f>IS!T32</f>
        <v>9602.0580266645193</v>
      </c>
      <c r="U11" s="18">
        <f>IS!U32</f>
        <v>9527.6109745604226</v>
      </c>
      <c r="V11" s="18">
        <f>IS!V32</f>
        <v>9451.07053503512</v>
      </c>
      <c r="W11" s="18">
        <f>IS!W32</f>
        <v>2706.135944434689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-5582.0707777680209</v>
      </c>
      <c r="E12" s="444">
        <f>-(Debt!C44+Debt!D27+Debt!D36)</f>
        <v>-5373.7874136672281</v>
      </c>
      <c r="F12" s="444">
        <f>-(Debt!D44+Debt!E27+Debt!E36)</f>
        <v>-5149.9875977797583</v>
      </c>
      <c r="G12" s="444">
        <f>-(Debt!E44+Debt!F27+Debt!F36)</f>
        <v>-4898.5908395060942</v>
      </c>
      <c r="H12" s="444">
        <f>-(Debt!F44+Debt!G27+Debt!G36)</f>
        <v>-4641.0769064708893</v>
      </c>
      <c r="I12" s="444">
        <f>-(Debt!G44+Debt!H27+Debt!H36)</f>
        <v>-4361.3769068196143</v>
      </c>
      <c r="J12" s="444">
        <f>-(Debt!H44+Debt!I27+Debt!I36)</f>
        <v>-4064.8587193353451</v>
      </c>
      <c r="K12" s="444">
        <f>-(Debt!I44+Debt!J27+Debt!J36)</f>
        <v>-3737.3344029667364</v>
      </c>
      <c r="L12" s="444">
        <f>-(Debt!J44+Debt!K27+Debt!K36)</f>
        <v>-3395.2673501310228</v>
      </c>
      <c r="M12" s="444">
        <f>-(Debt!K44+Debt!L27+Debt!L36)</f>
        <v>-3025.1042074649017</v>
      </c>
      <c r="N12" s="444">
        <f>-(Debt!L44+Debt!M27+Debt!M36)</f>
        <v>-2629.902388561628</v>
      </c>
      <c r="O12" s="444">
        <f>-(Debt!M44+Debt!N27+Debt!N36)</f>
        <v>-2198.89466325794</v>
      </c>
      <c r="P12" s="444">
        <f>-(Debt!N44+Debt!O27+Debt!O36)</f>
        <v>-1741.8897520806438</v>
      </c>
      <c r="Q12" s="444">
        <f>-(Debt!O44+Debt!P27+Debt!P36)</f>
        <v>-1248.6304792452313</v>
      </c>
      <c r="R12" s="444">
        <f>-(Debt!P44+Debt!Q27+Debt!Q36)</f>
        <v>-719.08067122842385</v>
      </c>
      <c r="S12" s="444">
        <f>-(Debt!Q44+Debt!R27+Debt!R36)</f>
        <v>-146.99352060006299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-26.629214750507618</v>
      </c>
      <c r="Y12" s="444">
        <f>-(Debt!W44+Debt!X27+Debt!X36)</f>
        <v>-161.42376783772653</v>
      </c>
      <c r="Z12" s="444">
        <f>-(Debt!X44+Debt!Y27+Debt!Y36)</f>
        <v>-383.17170773496093</v>
      </c>
      <c r="AA12" s="444">
        <f>-(Debt!Y44+Debt!Z27+Debt!Z36)</f>
        <v>-628.5945267152274</v>
      </c>
      <c r="AB12" s="444">
        <f>-(Debt!Z44+Debt!AA27+Debt!AA36)</f>
        <v>-901.08248142459604</v>
      </c>
      <c r="AC12" s="444">
        <f>-(Debt!AA44+Debt!AB27+Debt!AB36)</f>
        <v>-1202.0811185280022</v>
      </c>
      <c r="AD12" s="444">
        <f>-(Debt!AB44+Debt!AC27+Debt!AC36)</f>
        <v>-1535.3543481674719</v>
      </c>
      <c r="AE12" s="444">
        <f>-(Debt!AC44+Debt!AD27+Debt!AD36)</f>
        <v>-1899.9085279080837</v>
      </c>
      <c r="AF12" s="444">
        <f>-(Debt!AD44+Debt!AE27+Debt!AE36)</f>
        <v>-2304.7499916198135</v>
      </c>
      <c r="AG12" s="444">
        <f>-(Debt!AE44+Debt!AF27+Debt!AF36)</f>
        <v>-1550.5264890937315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4467.4548050102203</v>
      </c>
      <c r="D13" s="64">
        <f t="shared" si="0"/>
        <v>4969.3592222319794</v>
      </c>
      <c r="E13" s="64">
        <f t="shared" si="0"/>
        <v>5129.7754863327727</v>
      </c>
      <c r="F13" s="64">
        <f t="shared" si="0"/>
        <v>5304.3741892202434</v>
      </c>
      <c r="G13" s="64">
        <f t="shared" si="0"/>
        <v>5505.1978411039199</v>
      </c>
      <c r="H13" s="64">
        <f t="shared" si="0"/>
        <v>5710.7275953574081</v>
      </c>
      <c r="I13" s="64">
        <f t="shared" si="0"/>
        <v>5936.9921340795281</v>
      </c>
      <c r="J13" s="64">
        <f t="shared" si="0"/>
        <v>6178.5822048870978</v>
      </c>
      <c r="K13" s="64">
        <f t="shared" si="0"/>
        <v>6449.6431773206186</v>
      </c>
      <c r="L13" s="64">
        <f t="shared" si="0"/>
        <v>6733.6678544699762</v>
      </c>
      <c r="M13" s="64">
        <f t="shared" si="0"/>
        <v>7044.1645161172382</v>
      </c>
      <c r="N13" s="64">
        <f t="shared" si="0"/>
        <v>7378.0293688279362</v>
      </c>
      <c r="O13" s="64">
        <f t="shared" si="0"/>
        <v>7745.9819183952923</v>
      </c>
      <c r="P13" s="64">
        <f t="shared" si="0"/>
        <v>8138.1643359949976</v>
      </c>
      <c r="Q13" s="64">
        <f t="shared" si="0"/>
        <v>8564.7832646249481</v>
      </c>
      <c r="R13" s="64">
        <f t="shared" si="0"/>
        <v>9025.8228787731678</v>
      </c>
      <c r="S13" s="64">
        <f t="shared" si="0"/>
        <v>9527.476477593209</v>
      </c>
      <c r="T13" s="64">
        <f t="shared" si="0"/>
        <v>9602.0580266645193</v>
      </c>
      <c r="U13" s="64">
        <f t="shared" si="0"/>
        <v>9527.6109745604226</v>
      </c>
      <c r="V13" s="64">
        <f t="shared" si="0"/>
        <v>9451.07053503512</v>
      </c>
      <c r="W13" s="64">
        <f t="shared" si="0"/>
        <v>2706.135944434689</v>
      </c>
      <c r="X13" s="64">
        <f t="shared" si="0"/>
        <v>-3155.161469613347</v>
      </c>
      <c r="Y13" s="64">
        <f t="shared" si="0"/>
        <v>-3373.1436586269629</v>
      </c>
      <c r="Z13" s="64">
        <f t="shared" si="0"/>
        <v>-3680.4232968939909</v>
      </c>
      <c r="AA13" s="64">
        <f t="shared" si="0"/>
        <v>-4013.7891672280712</v>
      </c>
      <c r="AB13" s="64">
        <f t="shared" si="0"/>
        <v>-4376.7007749054474</v>
      </c>
      <c r="AC13" s="64">
        <f t="shared" si="0"/>
        <v>-4770.6749308409599</v>
      </c>
      <c r="AD13" s="64">
        <f t="shared" si="0"/>
        <v>-5199.5488842780505</v>
      </c>
      <c r="AE13" s="64">
        <f t="shared" si="0"/>
        <v>-5662.4044677187694</v>
      </c>
      <c r="AF13" s="64">
        <f t="shared" si="0"/>
        <v>-6168.3256885939572</v>
      </c>
      <c r="AG13" s="64">
        <f t="shared" si="0"/>
        <v>-5518.0402335256085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-290.48989452628155</v>
      </c>
      <c r="T15" s="18">
        <f>-Taxes!S24-Taxes!S41</f>
        <v>-2988.6615310808129</v>
      </c>
      <c r="U15" s="18">
        <f>-Taxes!T24-Taxes!T41</f>
        <v>-3768.1701404386472</v>
      </c>
      <c r="V15" s="18">
        <f>-Taxes!U24-Taxes!U41</f>
        <v>-3737.8983966063897</v>
      </c>
      <c r="W15" s="18">
        <f>-Taxes!V24-Taxes!V41</f>
        <v>-1070.2767660239194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-916.86274952473468</v>
      </c>
      <c r="D16" s="23">
        <f>-Debt!C48</f>
        <v>-2478.5978214477072</v>
      </c>
      <c r="E16" s="23">
        <f>-Debt!D48</f>
        <v>-2715.056347344369</v>
      </c>
      <c r="F16" s="23">
        <f>-Debt!E48</f>
        <v>-2906.7429861396085</v>
      </c>
      <c r="G16" s="23">
        <f>-Debt!F48</f>
        <v>-3108.5444873061424</v>
      </c>
      <c r="H16" s="23">
        <f>-Debt!G48</f>
        <v>-3331.8192019305206</v>
      </c>
      <c r="I16" s="23">
        <f>-Debt!H48</f>
        <v>-3570.6933289501249</v>
      </c>
      <c r="J16" s="23">
        <f>-Debt!I48</f>
        <v>-3830.6128558344717</v>
      </c>
      <c r="K16" s="23">
        <f>-Debt!J48</f>
        <v>-4104.2633096648351</v>
      </c>
      <c r="L16" s="23">
        <f>-Debt!K48</f>
        <v>-4407.3526833080032</v>
      </c>
      <c r="M16" s="23">
        <f>-Debt!L48</f>
        <v>-4731.9300051382597</v>
      </c>
      <c r="N16" s="23">
        <f>-Debt!M48</f>
        <v>-5085.513978713705</v>
      </c>
      <c r="O16" s="23">
        <f>-Debt!N48</f>
        <v>-5457.8591036419748</v>
      </c>
      <c r="P16" s="23">
        <f>-Debt!O48</f>
        <v>-5870.583565228455</v>
      </c>
      <c r="Q16" s="23">
        <f>-Debt!P48</f>
        <v>-6312.9296637164371</v>
      </c>
      <c r="R16" s="23">
        <f>-Debt!Q48</f>
        <v>-6795.2441687512492</v>
      </c>
      <c r="S16" s="23">
        <f>-Debt!R48</f>
        <v>-3578.1572585120653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1314.2150248429441</v>
      </c>
      <c r="Y16" s="23">
        <f>-Debt!X48</f>
        <v>2616.0237367919281</v>
      </c>
      <c r="Z16" s="23">
        <f>-Debt!Y48</f>
        <v>2904.8434757994974</v>
      </c>
      <c r="AA16" s="23">
        <f>-Debt!Z48</f>
        <v>3213.9968821604598</v>
      </c>
      <c r="AB16" s="23">
        <f>-Debt!AA48</f>
        <v>3557.2934923843877</v>
      </c>
      <c r="AC16" s="23">
        <f>-Debt!AB48</f>
        <v>3929.3223604258073</v>
      </c>
      <c r="AD16" s="23">
        <f>-Debt!AC48</f>
        <v>4337.5511505248287</v>
      </c>
      <c r="AE16" s="23">
        <f>-Debt!AD48</f>
        <v>4773.3638437993432</v>
      </c>
      <c r="AF16" s="23">
        <f>-Debt!AE48</f>
        <v>5257.3461380764784</v>
      </c>
      <c r="AG16" s="23">
        <f>-Debt!AF48</f>
        <v>5343.4198613640874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3550.5920554854856</v>
      </c>
      <c r="D18" s="64">
        <f t="shared" si="1"/>
        <v>2490.7614007842722</v>
      </c>
      <c r="E18" s="64">
        <f t="shared" si="1"/>
        <v>2414.7191389884038</v>
      </c>
      <c r="F18" s="64">
        <f t="shared" si="1"/>
        <v>2397.6312030806348</v>
      </c>
      <c r="G18" s="64">
        <f t="shared" si="1"/>
        <v>2396.6533537977775</v>
      </c>
      <c r="H18" s="64">
        <f t="shared" si="1"/>
        <v>2378.9083934268874</v>
      </c>
      <c r="I18" s="64">
        <f t="shared" si="1"/>
        <v>2366.2988051294033</v>
      </c>
      <c r="J18" s="64">
        <f t="shared" si="1"/>
        <v>2347.9693490526261</v>
      </c>
      <c r="K18" s="64">
        <f t="shared" si="1"/>
        <v>2345.3798676557835</v>
      </c>
      <c r="L18" s="64">
        <f t="shared" si="1"/>
        <v>2326.315171161973</v>
      </c>
      <c r="M18" s="64">
        <f t="shared" si="1"/>
        <v>2312.2345109789785</v>
      </c>
      <c r="N18" s="64">
        <f t="shared" si="1"/>
        <v>2292.5153901142312</v>
      </c>
      <c r="O18" s="64">
        <f t="shared" si="1"/>
        <v>2288.1228147533175</v>
      </c>
      <c r="P18" s="64">
        <f t="shared" si="1"/>
        <v>2267.5807707665426</v>
      </c>
      <c r="Q18" s="64">
        <f t="shared" si="1"/>
        <v>2251.853600908511</v>
      </c>
      <c r="R18" s="64">
        <f t="shared" si="1"/>
        <v>2230.5787100219186</v>
      </c>
      <c r="S18" s="64">
        <f t="shared" si="1"/>
        <v>5658.829324554863</v>
      </c>
      <c r="T18" s="64">
        <f t="shared" si="1"/>
        <v>6613.3964955837064</v>
      </c>
      <c r="U18" s="64">
        <f t="shared" si="1"/>
        <v>5759.440834121775</v>
      </c>
      <c r="V18" s="64">
        <f t="shared" si="1"/>
        <v>5713.1721384287302</v>
      </c>
      <c r="W18" s="64">
        <f t="shared" si="1"/>
        <v>1635.8591784107696</v>
      </c>
      <c r="X18" s="64">
        <f t="shared" si="1"/>
        <v>-1840.9464447704029</v>
      </c>
      <c r="Y18" s="64">
        <f t="shared" si="1"/>
        <v>-757.1199218350348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-889.04062391942625</v>
      </c>
      <c r="AF18" s="64">
        <f t="shared" si="1"/>
        <v>-910.97955051747886</v>
      </c>
      <c r="AG18" s="64">
        <f t="shared" si="1"/>
        <v>-174.62037216152112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3550.5920554854856</v>
      </c>
      <c r="D21" s="64">
        <f t="shared" si="2"/>
        <v>2490.7614007842722</v>
      </c>
      <c r="E21" s="64">
        <f t="shared" si="2"/>
        <v>2414.7191389884038</v>
      </c>
      <c r="F21" s="64">
        <f t="shared" si="2"/>
        <v>2397.6312030806348</v>
      </c>
      <c r="G21" s="64">
        <f t="shared" si="2"/>
        <v>2396.6533537977775</v>
      </c>
      <c r="H21" s="64">
        <f t="shared" si="2"/>
        <v>2378.9083934268874</v>
      </c>
      <c r="I21" s="64">
        <f t="shared" si="2"/>
        <v>2366.2988051294033</v>
      </c>
      <c r="J21" s="64">
        <f t="shared" si="2"/>
        <v>2347.9693490526261</v>
      </c>
      <c r="K21" s="64">
        <f t="shared" si="2"/>
        <v>2345.3798676557835</v>
      </c>
      <c r="L21" s="64">
        <f t="shared" si="2"/>
        <v>2326.315171161973</v>
      </c>
      <c r="M21" s="64">
        <f t="shared" si="2"/>
        <v>2312.2345109789785</v>
      </c>
      <c r="N21" s="64">
        <f t="shared" si="2"/>
        <v>2292.5153901142312</v>
      </c>
      <c r="O21" s="64">
        <f t="shared" si="2"/>
        <v>2288.1228147533175</v>
      </c>
      <c r="P21" s="64">
        <f t="shared" si="2"/>
        <v>2267.5807707665426</v>
      </c>
      <c r="Q21" s="64">
        <f t="shared" si="2"/>
        <v>2251.853600908511</v>
      </c>
      <c r="R21" s="64">
        <f t="shared" si="2"/>
        <v>2230.5787100219186</v>
      </c>
      <c r="S21" s="64">
        <f t="shared" si="2"/>
        <v>5658.829324554863</v>
      </c>
      <c r="T21" s="64">
        <f t="shared" si="2"/>
        <v>6613.3964955837064</v>
      </c>
      <c r="U21" s="64">
        <f t="shared" si="2"/>
        <v>5759.440834121775</v>
      </c>
      <c r="V21" s="64">
        <f t="shared" si="2"/>
        <v>5713.1721384287302</v>
      </c>
      <c r="W21" s="64">
        <f t="shared" si="2"/>
        <v>1635.8591784107696</v>
      </c>
      <c r="X21" s="64">
        <f t="shared" si="2"/>
        <v>-1840.9464447704029</v>
      </c>
      <c r="Y21" s="64">
        <f t="shared" si="2"/>
        <v>-757.1199218350348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-889.04062391942625</v>
      </c>
      <c r="AF21" s="64">
        <f t="shared" si="2"/>
        <v>-910.97955051747886</v>
      </c>
      <c r="AG21" s="64">
        <f t="shared" si="2"/>
        <v>-174.62037216152112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-46827.793097142261</v>
      </c>
      <c r="V25" s="18">
        <f t="shared" si="3"/>
        <v>-46827.793097142261</v>
      </c>
      <c r="W25" s="18">
        <f t="shared" ref="W25:AG25" si="4">+V29</f>
        <v>-46827.793097142261</v>
      </c>
      <c r="X25" s="18">
        <f t="shared" si="4"/>
        <v>-46827.793097142261</v>
      </c>
      <c r="Y25" s="18">
        <f t="shared" si="4"/>
        <v>-46827.793097142261</v>
      </c>
      <c r="Z25" s="18">
        <f t="shared" si="4"/>
        <v>-46827.793097142261</v>
      </c>
      <c r="AA25" s="18">
        <f t="shared" si="4"/>
        <v>-46827.793097142261</v>
      </c>
      <c r="AB25" s="18">
        <f t="shared" si="4"/>
        <v>-46827.793097142261</v>
      </c>
      <c r="AC25" s="18">
        <f t="shared" si="4"/>
        <v>-46827.793097142261</v>
      </c>
      <c r="AD25" s="18">
        <f t="shared" si="4"/>
        <v>-46827.793097142261</v>
      </c>
      <c r="AE25" s="18">
        <f t="shared" si="4"/>
        <v>-46827.793097142261</v>
      </c>
      <c r="AF25" s="18">
        <f t="shared" si="4"/>
        <v>-46827.793097142261</v>
      </c>
      <c r="AG25" s="18">
        <f t="shared" si="4"/>
        <v>-46827.793097142261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6555.8910335999171</v>
      </c>
      <c r="V26" s="18">
        <f t="shared" si="5"/>
        <v>6555.8910335999171</v>
      </c>
      <c r="W26" s="18">
        <f t="shared" ref="W26:AG26" si="6">+-W25*$B$24</f>
        <v>6555.8910335999171</v>
      </c>
      <c r="X26" s="18">
        <f t="shared" si="6"/>
        <v>6555.8910335999171</v>
      </c>
      <c r="Y26" s="18">
        <f t="shared" si="6"/>
        <v>6555.8910335999171</v>
      </c>
      <c r="Z26" s="18">
        <f t="shared" si="6"/>
        <v>6555.8910335999171</v>
      </c>
      <c r="AA26" s="18">
        <f t="shared" si="6"/>
        <v>6555.8910335999171</v>
      </c>
      <c r="AB26" s="18">
        <f t="shared" si="6"/>
        <v>6555.8910335999171</v>
      </c>
      <c r="AC26" s="18">
        <f t="shared" si="6"/>
        <v>6555.8910335999171</v>
      </c>
      <c r="AD26" s="18">
        <f t="shared" si="6"/>
        <v>6555.8910335999171</v>
      </c>
      <c r="AE26" s="18">
        <f t="shared" si="6"/>
        <v>6555.8910335999171</v>
      </c>
      <c r="AF26" s="18">
        <f t="shared" si="6"/>
        <v>6555.8910335999171</v>
      </c>
      <c r="AG26" s="18">
        <f t="shared" si="6"/>
        <v>6555.8910335999171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3550.5920554854856</v>
      </c>
      <c r="D27" s="18">
        <f t="shared" si="7"/>
        <v>2490.7614007842722</v>
      </c>
      <c r="E27" s="18">
        <f t="shared" si="7"/>
        <v>2414.7191389884038</v>
      </c>
      <c r="F27" s="18">
        <f t="shared" si="7"/>
        <v>2397.6312030806348</v>
      </c>
      <c r="G27" s="18">
        <f t="shared" si="7"/>
        <v>2396.6533537977775</v>
      </c>
      <c r="H27" s="18">
        <f t="shared" si="7"/>
        <v>2378.9083934268874</v>
      </c>
      <c r="I27" s="18">
        <f t="shared" si="7"/>
        <v>2366.2988051294033</v>
      </c>
      <c r="J27" s="18">
        <f t="shared" si="7"/>
        <v>2347.9693490526261</v>
      </c>
      <c r="K27" s="18">
        <f t="shared" si="7"/>
        <v>2345.3798676557835</v>
      </c>
      <c r="L27" s="18">
        <f t="shared" si="7"/>
        <v>2326.315171161973</v>
      </c>
      <c r="M27" s="18">
        <f t="shared" si="7"/>
        <v>2312.2345109789785</v>
      </c>
      <c r="N27" s="18">
        <f t="shared" si="7"/>
        <v>2292.5153901142312</v>
      </c>
      <c r="O27" s="18">
        <f t="shared" si="7"/>
        <v>2288.1228147533175</v>
      </c>
      <c r="P27" s="18">
        <f t="shared" si="7"/>
        <v>2267.5807707665426</v>
      </c>
      <c r="Q27" s="18">
        <f t="shared" si="7"/>
        <v>2251.853600908511</v>
      </c>
      <c r="R27" s="18">
        <f t="shared" si="7"/>
        <v>2230.5787100219186</v>
      </c>
      <c r="S27" s="18">
        <f t="shared" si="7"/>
        <v>5658.829324554863</v>
      </c>
      <c r="T27" s="18">
        <f t="shared" si="7"/>
        <v>6613.3964955837064</v>
      </c>
      <c r="U27" s="18">
        <f t="shared" si="7"/>
        <v>5759.440834121775</v>
      </c>
      <c r="V27" s="18">
        <f t="shared" si="7"/>
        <v>5713.1721384287302</v>
      </c>
      <c r="W27" s="18">
        <f t="shared" si="7"/>
        <v>1635.8591784107696</v>
      </c>
      <c r="X27" s="18">
        <f t="shared" si="7"/>
        <v>-1840.9464447704029</v>
      </c>
      <c r="Y27" s="18">
        <f t="shared" si="7"/>
        <v>-757.1199218350348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-889.04062391942625</v>
      </c>
      <c r="AF27" s="18">
        <f t="shared" si="7"/>
        <v>-910.97955051747886</v>
      </c>
      <c r="AG27" s="18">
        <f t="shared" si="7"/>
        <v>-174.62037216152112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50.443387705078749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-46827.793097142261</v>
      </c>
      <c r="U29" s="18">
        <f t="shared" si="10"/>
        <v>-46827.793097142261</v>
      </c>
      <c r="V29" s="18">
        <f t="shared" si="10"/>
        <v>-46827.793097142261</v>
      </c>
      <c r="W29" s="18">
        <f t="shared" ref="W29:AG29" si="11">+W25+W28</f>
        <v>-46827.793097142261</v>
      </c>
      <c r="X29" s="18">
        <f t="shared" si="11"/>
        <v>-46827.793097142261</v>
      </c>
      <c r="Y29" s="18">
        <f t="shared" si="11"/>
        <v>-46827.793097142261</v>
      </c>
      <c r="Z29" s="18">
        <f t="shared" si="11"/>
        <v>-46827.793097142261</v>
      </c>
      <c r="AA29" s="18">
        <f t="shared" si="11"/>
        <v>-46827.793097142261</v>
      </c>
      <c r="AB29" s="18">
        <f t="shared" si="11"/>
        <v>-46827.793097142261</v>
      </c>
      <c r="AC29" s="18">
        <f t="shared" si="11"/>
        <v>-46827.793097142261</v>
      </c>
      <c r="AD29" s="18">
        <f t="shared" si="11"/>
        <v>-46827.793097142261</v>
      </c>
      <c r="AE29" s="18">
        <f t="shared" si="11"/>
        <v>-46827.793097142261</v>
      </c>
      <c r="AF29" s="18">
        <f t="shared" si="11"/>
        <v>-46827.793097142261</v>
      </c>
      <c r="AG29" s="18">
        <f t="shared" si="11"/>
        <v>-46827.793097142261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3550.5920554854856</v>
      </c>
      <c r="D37" s="308">
        <f>D21*Assumptions!$G$48</f>
        <v>2490.7614007842722</v>
      </c>
      <c r="E37" s="308">
        <f>E21*Assumptions!$G$48</f>
        <v>2414.7191389884038</v>
      </c>
      <c r="F37" s="308">
        <f>F21*Assumptions!$G$48</f>
        <v>2397.6312030806348</v>
      </c>
      <c r="G37" s="308">
        <f>G21*Assumptions!$G$48</f>
        <v>2396.6533537977775</v>
      </c>
      <c r="H37" s="308">
        <f>H21*Assumptions!$G$48</f>
        <v>2378.9083934268874</v>
      </c>
      <c r="I37" s="308">
        <f>I21*Assumptions!$G$48</f>
        <v>2366.2988051294033</v>
      </c>
      <c r="J37" s="308">
        <f>J21*Assumptions!$G$48</f>
        <v>2347.9693490526261</v>
      </c>
      <c r="K37" s="308">
        <f>K21*Assumptions!$G$48</f>
        <v>2345.3798676557835</v>
      </c>
      <c r="L37" s="308">
        <f>L21*Assumptions!$G$48</f>
        <v>2326.315171161973</v>
      </c>
      <c r="M37" s="308">
        <f>M21*Assumptions!$G$48</f>
        <v>2312.2345109789785</v>
      </c>
      <c r="N37" s="308">
        <f>N21*Assumptions!$G$48</f>
        <v>2292.5153901142312</v>
      </c>
      <c r="O37" s="308">
        <f>O21*Assumptions!$G$48</f>
        <v>2288.1228147533175</v>
      </c>
      <c r="P37" s="308">
        <f>P21*Assumptions!$G$48</f>
        <v>2267.5807707665426</v>
      </c>
      <c r="Q37" s="308">
        <f>Q21*Assumptions!$G$48</f>
        <v>2251.853600908511</v>
      </c>
      <c r="R37" s="308">
        <f>R21*Assumptions!$G$48</f>
        <v>2230.5787100219186</v>
      </c>
      <c r="S37" s="308">
        <f>S21*Assumptions!$G$48</f>
        <v>5658.829324554863</v>
      </c>
      <c r="T37" s="308">
        <f>T21*Assumptions!$G$48</f>
        <v>6613.3964955837064</v>
      </c>
      <c r="U37" s="308">
        <f>U21*Assumptions!$G$48</f>
        <v>5759.440834121775</v>
      </c>
      <c r="V37" s="308">
        <f>V21*Assumptions!$G$48</f>
        <v>5713.1721384287302</v>
      </c>
      <c r="W37" s="308">
        <f>W21*Assumptions!$G$48</f>
        <v>1635.8591784107696</v>
      </c>
      <c r="X37" s="308">
        <f>X21*Assumptions!$G$48</f>
        <v>-1840.9464447704029</v>
      </c>
      <c r="Y37" s="308">
        <f>Y21*Assumptions!$G$48</f>
        <v>-757.1199218350348</v>
      </c>
      <c r="Z37" s="308">
        <f>Z21*Assumptions!$G$48</f>
        <v>-775.57982109449358</v>
      </c>
      <c r="AA37" s="308">
        <f>AA21*Assumptions!$G$48</f>
        <v>-799.79228506761137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-861.99773375322184</v>
      </c>
      <c r="AE37" s="308">
        <f>AE21*Assumptions!$G$48</f>
        <v>-889.04062391942625</v>
      </c>
      <c r="AF37" s="308">
        <f>AF21*Assumptions!$G$48</f>
        <v>-910.97955051747886</v>
      </c>
      <c r="AG37" s="308">
        <f>AG21*Assumptions!$G$48</f>
        <v>-174.62037216152112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3550.5920554854856</v>
      </c>
      <c r="D38" s="18">
        <f t="shared" si="12"/>
        <v>2490.7614007842722</v>
      </c>
      <c r="E38" s="18">
        <f t="shared" si="12"/>
        <v>2414.7191389884038</v>
      </c>
      <c r="F38" s="18">
        <f t="shared" si="12"/>
        <v>2397.6312030806348</v>
      </c>
      <c r="G38" s="18">
        <f t="shared" si="12"/>
        <v>2396.6533537977775</v>
      </c>
      <c r="H38" s="18">
        <f t="shared" si="12"/>
        <v>2378.9083934268874</v>
      </c>
      <c r="I38" s="18">
        <f t="shared" si="12"/>
        <v>2366.2988051294033</v>
      </c>
      <c r="J38" s="18">
        <f t="shared" si="12"/>
        <v>2347.9693490526261</v>
      </c>
      <c r="K38" s="18">
        <f t="shared" si="12"/>
        <v>2345.3798676557835</v>
      </c>
      <c r="L38" s="18">
        <f t="shared" si="12"/>
        <v>2326.315171161973</v>
      </c>
      <c r="M38" s="18">
        <f t="shared" si="12"/>
        <v>2312.2345109789785</v>
      </c>
      <c r="N38" s="18">
        <f t="shared" si="12"/>
        <v>2292.5153901142312</v>
      </c>
      <c r="O38" s="18">
        <f t="shared" si="12"/>
        <v>2288.1228147533175</v>
      </c>
      <c r="P38" s="18">
        <f t="shared" si="12"/>
        <v>2267.5807707665426</v>
      </c>
      <c r="Q38" s="18">
        <f t="shared" si="12"/>
        <v>2251.853600908511</v>
      </c>
      <c r="R38" s="18">
        <f t="shared" si="12"/>
        <v>2230.5787100219186</v>
      </c>
      <c r="S38" s="18">
        <f t="shared" si="12"/>
        <v>5658.829324554863</v>
      </c>
      <c r="T38" s="18">
        <f t="shared" si="12"/>
        <v>6613.3964955837064</v>
      </c>
      <c r="U38" s="18">
        <f t="shared" si="12"/>
        <v>5759.440834121775</v>
      </c>
      <c r="V38" s="18">
        <f t="shared" si="12"/>
        <v>5713.1721384287302</v>
      </c>
      <c r="W38" s="18">
        <f t="shared" si="12"/>
        <v>1635.8591784107696</v>
      </c>
      <c r="X38" s="18">
        <f t="shared" si="12"/>
        <v>-1840.9464447704029</v>
      </c>
      <c r="Y38" s="18">
        <f t="shared" si="12"/>
        <v>-757.1199218350348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-889.04062391942625</v>
      </c>
      <c r="AF38" s="18">
        <f t="shared" si="12"/>
        <v>-910.97955051747886</v>
      </c>
      <c r="AG38" s="18">
        <f t="shared" si="12"/>
        <v>-174.62037216152112</v>
      </c>
    </row>
    <row r="39" spans="1:33">
      <c r="B39" s="446" t="s">
        <v>1</v>
      </c>
      <c r="C39" s="452">
        <f>XIRR(B38:W38,B8:W8)</f>
        <v>2.5505593419075011E-2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3550.5920554854856</v>
      </c>
      <c r="D43" s="18">
        <f>D21*Assumptions!$G$48</f>
        <v>2490.7614007842722</v>
      </c>
      <c r="E43" s="18">
        <f>E21*Assumptions!$G$48</f>
        <v>2414.7191389884038</v>
      </c>
      <c r="F43" s="18">
        <f>F21*Assumptions!$G$48</f>
        <v>2397.6312030806348</v>
      </c>
      <c r="G43" s="18">
        <f>G21*Assumptions!$G$48</f>
        <v>2396.6533537977775</v>
      </c>
      <c r="H43" s="18">
        <f>H21*Assumptions!$G$48</f>
        <v>2378.9083934268874</v>
      </c>
      <c r="I43" s="18">
        <f>I21*Assumptions!$G$48</f>
        <v>2366.2988051294033</v>
      </c>
      <c r="J43" s="18">
        <f>J21*Assumptions!$G$48</f>
        <v>2347.9693490526261</v>
      </c>
      <c r="K43" s="18">
        <f>K21*Assumptions!$G$48</f>
        <v>2345.3798676557835</v>
      </c>
      <c r="L43" s="18">
        <f>L21*Assumptions!$G$48</f>
        <v>2326.315171161973</v>
      </c>
      <c r="M43" s="18">
        <f>M21*Assumptions!$G$48</f>
        <v>2312.2345109789785</v>
      </c>
      <c r="N43" s="18">
        <f>N21*Assumptions!$G$48</f>
        <v>2292.5153901142312</v>
      </c>
      <c r="O43" s="18">
        <f>O21*Assumptions!$G$48</f>
        <v>2288.1228147533175</v>
      </c>
      <c r="P43" s="18">
        <f>P21*Assumptions!$G$48</f>
        <v>2267.5807707665426</v>
      </c>
      <c r="Q43" s="18">
        <f>Q21*Assumptions!$G$48</f>
        <v>2251.853600908511</v>
      </c>
      <c r="R43" s="18">
        <f>R21*Assumptions!$G$48</f>
        <v>2230.5787100219186</v>
      </c>
      <c r="S43" s="18">
        <f>S21*Assumptions!$G$48</f>
        <v>5658.829324554863</v>
      </c>
      <c r="T43" s="18">
        <f>T21*Assumptions!$G$48</f>
        <v>6613.3964955837064</v>
      </c>
      <c r="U43" s="18">
        <f>U21*Assumptions!$G$48</f>
        <v>5759.440834121775</v>
      </c>
      <c r="V43" s="18">
        <f>V21*Assumptions!$G$48</f>
        <v>5713.1721384287302</v>
      </c>
      <c r="W43" s="18">
        <f>W21*Assumptions!$G$48</f>
        <v>1635.8591784107696</v>
      </c>
      <c r="X43" s="18">
        <f>X21*Assumptions!$G$48</f>
        <v>-1840.9464447704029</v>
      </c>
      <c r="Y43" s="18">
        <f>Y21*Assumptions!$G$48</f>
        <v>-757.1199218350348</v>
      </c>
      <c r="Z43" s="18">
        <f>Z21*Assumptions!$G$48</f>
        <v>-775.57982109449358</v>
      </c>
      <c r="AA43" s="18">
        <f>AA21*Assumptions!$G$48</f>
        <v>-799.79228506761137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-861.99773375322184</v>
      </c>
      <c r="AE43" s="18">
        <f>AE21*Assumptions!$G$48</f>
        <v>-889.04062391942625</v>
      </c>
      <c r="AF43" s="18">
        <f>AF21*Assumptions!$G$48</f>
        <v>-910.97955051747886</v>
      </c>
      <c r="AG43" s="18">
        <f>AG21*Assumptions!$G$48</f>
        <v>-174.62037216152112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13530.679722173445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3550.5920554854856</v>
      </c>
      <c r="D45" s="18">
        <f t="shared" si="13"/>
        <v>2490.7614007842722</v>
      </c>
      <c r="E45" s="18">
        <f t="shared" si="13"/>
        <v>2414.7191389884038</v>
      </c>
      <c r="F45" s="18">
        <f t="shared" si="13"/>
        <v>2397.6312030806348</v>
      </c>
      <c r="G45" s="18">
        <f t="shared" si="13"/>
        <v>2396.6533537977775</v>
      </c>
      <c r="H45" s="18">
        <f t="shared" si="13"/>
        <v>2378.9083934268874</v>
      </c>
      <c r="I45" s="18">
        <f t="shared" si="13"/>
        <v>2366.2988051294033</v>
      </c>
      <c r="J45" s="18">
        <f t="shared" si="13"/>
        <v>2347.9693490526261</v>
      </c>
      <c r="K45" s="18">
        <f t="shared" si="13"/>
        <v>2345.3798676557835</v>
      </c>
      <c r="L45" s="18">
        <f t="shared" si="13"/>
        <v>2326.315171161973</v>
      </c>
      <c r="M45" s="18">
        <f t="shared" si="13"/>
        <v>2312.2345109789785</v>
      </c>
      <c r="N45" s="18">
        <f t="shared" si="13"/>
        <v>2292.5153901142312</v>
      </c>
      <c r="O45" s="18">
        <f t="shared" si="13"/>
        <v>2288.1228147533175</v>
      </c>
      <c r="P45" s="18">
        <f t="shared" si="13"/>
        <v>2267.5807707665426</v>
      </c>
      <c r="Q45" s="18">
        <f t="shared" si="13"/>
        <v>2251.853600908511</v>
      </c>
      <c r="R45" s="18">
        <f t="shared" si="13"/>
        <v>2230.5787100219186</v>
      </c>
      <c r="S45" s="18">
        <f t="shared" si="13"/>
        <v>5658.829324554863</v>
      </c>
      <c r="T45" s="18">
        <f t="shared" si="13"/>
        <v>6613.3964955837064</v>
      </c>
      <c r="U45" s="18">
        <f t="shared" si="13"/>
        <v>5759.440834121775</v>
      </c>
      <c r="V45" s="18">
        <f t="shared" si="13"/>
        <v>5713.1721384287302</v>
      </c>
      <c r="W45" s="18">
        <f t="shared" si="13"/>
        <v>15166.538900584215</v>
      </c>
      <c r="X45" s="18">
        <f t="shared" si="13"/>
        <v>-1840.9464447704029</v>
      </c>
      <c r="Y45" s="18">
        <f t="shared" si="13"/>
        <v>-757.1199218350348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-889.04062391942625</v>
      </c>
      <c r="AF45" s="18">
        <f t="shared" si="13"/>
        <v>-910.97955051747886</v>
      </c>
      <c r="AG45" s="18">
        <f t="shared" si="13"/>
        <v>-19492.498857032235</v>
      </c>
    </row>
    <row r="46" spans="1:33">
      <c r="A46" s="13"/>
      <c r="B46" s="446" t="s">
        <v>1</v>
      </c>
      <c r="C46" s="452">
        <f>XIRR(B45:W45,B8:W8)</f>
        <v>3.7825760245323178E-2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3550.5920554854856</v>
      </c>
      <c r="D50" s="18">
        <f>+D21*Assumptions!$G$48</f>
        <v>2490.7614007842722</v>
      </c>
      <c r="E50" s="18">
        <f>+E21*Assumptions!$G$48</f>
        <v>2414.7191389884038</v>
      </c>
      <c r="F50" s="18">
        <f>+F21*Assumptions!$G$48</f>
        <v>2397.6312030806348</v>
      </c>
      <c r="G50" s="18">
        <f>+G21*Assumptions!$G$48</f>
        <v>2396.6533537977775</v>
      </c>
      <c r="H50" s="18">
        <f>+H21*Assumptions!$G$48</f>
        <v>2378.9083934268874</v>
      </c>
      <c r="I50" s="18">
        <f>+I21*Assumptions!$G$48</f>
        <v>2366.2988051294033</v>
      </c>
      <c r="J50" s="18">
        <f>+J21*Assumptions!$G$48</f>
        <v>2347.9693490526261</v>
      </c>
      <c r="K50" s="18">
        <f>+K21*Assumptions!$G$48</f>
        <v>2345.3798676557835</v>
      </c>
      <c r="L50" s="18">
        <f>+L21*Assumptions!$G$48</f>
        <v>2326.315171161973</v>
      </c>
      <c r="M50" s="18">
        <f>+M21*Assumptions!$G$48</f>
        <v>2312.2345109789785</v>
      </c>
      <c r="N50" s="18">
        <f>+N21*Assumptions!$G$48</f>
        <v>2292.5153901142312</v>
      </c>
      <c r="O50" s="18">
        <f>+O21*Assumptions!$G$48</f>
        <v>2288.1228147533175</v>
      </c>
      <c r="P50" s="18">
        <f>+P21*Assumptions!$G$48</f>
        <v>2267.5807707665426</v>
      </c>
      <c r="Q50" s="18">
        <f>+Q21*Assumptions!$G$48</f>
        <v>2251.853600908511</v>
      </c>
      <c r="R50" s="18">
        <f>+R21*Assumptions!$G$48</f>
        <v>2230.5787100219186</v>
      </c>
      <c r="S50" s="18">
        <f>+S21*Assumptions!$G$48</f>
        <v>5658.829324554863</v>
      </c>
      <c r="T50" s="18">
        <f>+T21*Assumptions!$G$48</f>
        <v>6613.3964955837064</v>
      </c>
      <c r="U50" s="18">
        <f>+U21*Assumptions!$G$48</f>
        <v>5759.440834121775</v>
      </c>
      <c r="V50" s="18">
        <f>+V21*Assumptions!$G$48</f>
        <v>5713.1721384287302</v>
      </c>
      <c r="W50" s="18">
        <f>+W21*Assumptions!$G$48</f>
        <v>1635.8591784107696</v>
      </c>
      <c r="X50" s="18">
        <f>+X21*Assumptions!$G$48</f>
        <v>-1840.9464447704029</v>
      </c>
      <c r="Y50" s="18">
        <f>+Y21*Assumptions!$G$48</f>
        <v>-757.1199218350348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-889.04062391942625</v>
      </c>
      <c r="AF50" s="18">
        <f>+AF21*Assumptions!$G$48</f>
        <v>-910.97955051747886</v>
      </c>
      <c r="AG50" s="18">
        <f>+AG21*Assumptions!$G$48</f>
        <v>-174.62037216152112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3550.5920554854856</v>
      </c>
      <c r="D52" s="18">
        <f t="shared" si="14"/>
        <v>2490.7614007842722</v>
      </c>
      <c r="E52" s="18">
        <f t="shared" si="14"/>
        <v>2414.7191389884038</v>
      </c>
      <c r="F52" s="18">
        <f t="shared" si="14"/>
        <v>2397.6312030806348</v>
      </c>
      <c r="G52" s="18">
        <f t="shared" si="14"/>
        <v>2396.6533537977775</v>
      </c>
      <c r="H52" s="18">
        <f t="shared" si="14"/>
        <v>2378.9083934268874</v>
      </c>
      <c r="I52" s="18">
        <f t="shared" si="14"/>
        <v>2366.2988051294033</v>
      </c>
      <c r="J52" s="18">
        <f t="shared" si="14"/>
        <v>2347.9693490526261</v>
      </c>
      <c r="K52" s="18">
        <f t="shared" si="14"/>
        <v>2345.3798676557835</v>
      </c>
      <c r="L52" s="18">
        <f t="shared" si="14"/>
        <v>2326.315171161973</v>
      </c>
      <c r="M52" s="18">
        <f t="shared" si="14"/>
        <v>2312.2345109789785</v>
      </c>
      <c r="N52" s="18">
        <f t="shared" si="14"/>
        <v>2292.5153901142312</v>
      </c>
      <c r="O52" s="18">
        <f t="shared" si="14"/>
        <v>2288.1228147533175</v>
      </c>
      <c r="P52" s="18">
        <f t="shared" si="14"/>
        <v>2267.5807707665426</v>
      </c>
      <c r="Q52" s="18">
        <f t="shared" si="14"/>
        <v>2251.853600908511</v>
      </c>
      <c r="R52" s="18">
        <f t="shared" si="14"/>
        <v>2230.5787100219186</v>
      </c>
      <c r="S52" s="18">
        <f t="shared" si="14"/>
        <v>5658.829324554863</v>
      </c>
      <c r="T52" s="18">
        <f t="shared" si="14"/>
        <v>6613.3964955837064</v>
      </c>
      <c r="U52" s="18">
        <f t="shared" si="14"/>
        <v>5759.440834121775</v>
      </c>
      <c r="V52" s="18">
        <f t="shared" si="14"/>
        <v>5713.1721384287302</v>
      </c>
      <c r="W52" s="18">
        <f t="shared" si="14"/>
        <v>24852.059178410771</v>
      </c>
      <c r="X52" s="18">
        <f t="shared" si="14"/>
        <v>-1840.9464447704029</v>
      </c>
      <c r="Y52" s="18">
        <f t="shared" si="14"/>
        <v>-757.1199218350348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-889.04062391942625</v>
      </c>
      <c r="AF52" s="18">
        <f t="shared" si="14"/>
        <v>-910.97955051747886</v>
      </c>
      <c r="AG52" s="18">
        <f t="shared" si="14"/>
        <v>23041.579627838481</v>
      </c>
    </row>
    <row r="53" spans="1:33">
      <c r="A53" s="13"/>
      <c r="B53" s="446" t="s">
        <v>1</v>
      </c>
      <c r="C53" s="452">
        <f>XIRR(B52:W52,B8:W8)</f>
        <v>4.4780996441841137E-2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3550.5920554854856</v>
      </c>
      <c r="D57" s="18">
        <f>D21*Assumptions!$G$48</f>
        <v>2490.7614007842722</v>
      </c>
      <c r="E57" s="18">
        <f>E21*Assumptions!$G$48</f>
        <v>2414.7191389884038</v>
      </c>
      <c r="F57" s="18">
        <f>F21*Assumptions!$G$48</f>
        <v>2397.6312030806348</v>
      </c>
      <c r="G57" s="18">
        <f>G21*Assumptions!$G$48</f>
        <v>2396.6533537977775</v>
      </c>
      <c r="H57" s="18">
        <f>H21*Assumptions!$G$48</f>
        <v>2378.9083934268874</v>
      </c>
      <c r="I57" s="18">
        <f>I21*Assumptions!$G$48</f>
        <v>2366.2988051294033</v>
      </c>
      <c r="J57" s="18">
        <f>J21*Assumptions!$G$48</f>
        <v>2347.9693490526261</v>
      </c>
      <c r="K57" s="18">
        <f>K21*Assumptions!$G$48</f>
        <v>2345.3798676557835</v>
      </c>
      <c r="L57" s="18">
        <f>L21*Assumptions!$G$48</f>
        <v>2326.315171161973</v>
      </c>
      <c r="M57" s="18">
        <f>M21*Assumptions!$G$48</f>
        <v>2312.2345109789785</v>
      </c>
      <c r="N57" s="18">
        <f>N21*Assumptions!$G$48</f>
        <v>2292.5153901142312</v>
      </c>
      <c r="O57" s="18">
        <f>O21*Assumptions!$G$48</f>
        <v>2288.1228147533175</v>
      </c>
      <c r="P57" s="18">
        <f>P21*Assumptions!$G$48</f>
        <v>2267.5807707665426</v>
      </c>
      <c r="Q57" s="18">
        <f>Q21*Assumptions!$G$48</f>
        <v>2251.853600908511</v>
      </c>
      <c r="R57" s="18">
        <f>R21*Assumptions!$G$48</f>
        <v>2230.5787100219186</v>
      </c>
      <c r="S57" s="18">
        <f>S21*Assumptions!$G$48</f>
        <v>5658.829324554863</v>
      </c>
      <c r="T57" s="18">
        <f>T21*Assumptions!$G$48</f>
        <v>6613.3964955837064</v>
      </c>
      <c r="U57" s="18">
        <f>U21*Assumptions!$G$48</f>
        <v>5759.440834121775</v>
      </c>
      <c r="V57" s="18">
        <f>V21*Assumptions!$G$48</f>
        <v>5713.1721384287302</v>
      </c>
      <c r="W57" s="18">
        <f>W21*Assumptions!$G$48</f>
        <v>1635.8591784107696</v>
      </c>
      <c r="X57" s="18">
        <f>X21*Assumptions!$G$48</f>
        <v>-1840.9464447704029</v>
      </c>
      <c r="Y57" s="18">
        <f>Y21*Assumptions!$G$48</f>
        <v>-757.1199218350348</v>
      </c>
      <c r="Z57" s="18">
        <f>Z21*Assumptions!$G$48</f>
        <v>-775.57982109449358</v>
      </c>
      <c r="AA57" s="18">
        <f>AA21*Assumptions!$G$48</f>
        <v>-799.79228506761137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-861.99773375322184</v>
      </c>
      <c r="AE57" s="18">
        <f>AE21*Assumptions!$G$48</f>
        <v>-889.04062391942625</v>
      </c>
      <c r="AF57" s="18">
        <f>AF21*Assumptions!$G$48</f>
        <v>-910.97955051747886</v>
      </c>
      <c r="AG57" s="18">
        <f>AG21*Assumptions!$G$48</f>
        <v>-174.62037216152112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46000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3550.5920554854856</v>
      </c>
      <c r="D59" s="18">
        <f t="shared" si="15"/>
        <v>2490.7614007842722</v>
      </c>
      <c r="E59" s="18">
        <f t="shared" si="15"/>
        <v>2414.7191389884038</v>
      </c>
      <c r="F59" s="18">
        <f t="shared" si="15"/>
        <v>2397.6312030806348</v>
      </c>
      <c r="G59" s="18">
        <f t="shared" si="15"/>
        <v>2396.6533537977775</v>
      </c>
      <c r="H59" s="18">
        <f t="shared" si="15"/>
        <v>2378.9083934268874</v>
      </c>
      <c r="I59" s="18">
        <f t="shared" si="15"/>
        <v>2366.2988051294033</v>
      </c>
      <c r="J59" s="18">
        <f t="shared" si="15"/>
        <v>2347.9693490526261</v>
      </c>
      <c r="K59" s="18">
        <f t="shared" si="15"/>
        <v>2345.3798676557835</v>
      </c>
      <c r="L59" s="18">
        <f t="shared" si="15"/>
        <v>2326.315171161973</v>
      </c>
      <c r="M59" s="18">
        <f t="shared" si="15"/>
        <v>2312.2345109789785</v>
      </c>
      <c r="N59" s="18">
        <f t="shared" si="15"/>
        <v>2292.5153901142312</v>
      </c>
      <c r="O59" s="18">
        <f t="shared" si="15"/>
        <v>2288.1228147533175</v>
      </c>
      <c r="P59" s="18">
        <f t="shared" si="15"/>
        <v>2267.5807707665426</v>
      </c>
      <c r="Q59" s="18">
        <f t="shared" si="15"/>
        <v>2251.853600908511</v>
      </c>
      <c r="R59" s="18">
        <f t="shared" si="15"/>
        <v>2230.5787100219186</v>
      </c>
      <c r="S59" s="18">
        <f t="shared" si="15"/>
        <v>5658.829324554863</v>
      </c>
      <c r="T59" s="18">
        <f t="shared" si="15"/>
        <v>6613.3964955837064</v>
      </c>
      <c r="U59" s="18">
        <f t="shared" si="15"/>
        <v>5759.440834121775</v>
      </c>
      <c r="V59" s="18">
        <f t="shared" si="15"/>
        <v>5713.1721384287302</v>
      </c>
      <c r="W59" s="18">
        <f t="shared" si="15"/>
        <v>47635.85917841077</v>
      </c>
      <c r="X59" s="18">
        <f t="shared" si="15"/>
        <v>-1840.9464447704029</v>
      </c>
      <c r="Y59" s="18">
        <f t="shared" si="15"/>
        <v>-757.1199218350348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-889.04062391942625</v>
      </c>
      <c r="AF59" s="18">
        <f t="shared" si="15"/>
        <v>-910.97955051747886</v>
      </c>
      <c r="AG59" s="18">
        <f t="shared" si="15"/>
        <v>45825.379627838476</v>
      </c>
    </row>
    <row r="60" spans="1:33">
      <c r="A60" s="13"/>
      <c r="B60" s="446" t="s">
        <v>1</v>
      </c>
      <c r="C60" s="452">
        <f>XIRR(B59:W59,B8:W8)</f>
        <v>5.7652208209037784E-2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2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2000-04-13T21:53:12Z</cp:lastPrinted>
  <dcterms:created xsi:type="dcterms:W3CDTF">1999-04-02T01:38:38Z</dcterms:created>
  <dcterms:modified xsi:type="dcterms:W3CDTF">2023-09-10T11:56:08Z</dcterms:modified>
</cp:coreProperties>
</file>