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18" firstSheet="2" activeTab="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Debt Structs" sheetId="32" r:id="rId11"/>
    <sheet name="Performance" sheetId="27" r:id="rId12"/>
    <sheet name="Perf." sheetId="28" r:id="rId13"/>
    <sheet name="BS" sheetId="19" state="hidden" r:id="rId14"/>
    <sheet name="Debt" sheetId="6" r:id="rId15"/>
    <sheet name="Depreciation" sheetId="7" r:id="rId16"/>
    <sheet name="Taxes" sheetId="8" r:id="rId17"/>
    <sheet name="IDC" sheetId="18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3">BS!$A$2:$AH$9</definedName>
    <definedName name="_xlnm.Print_Area" localSheetId="9">'Cash Flows'!$A$1:$L$52</definedName>
    <definedName name="_xlnm.Print_Area" localSheetId="14">Debt!$A$2:$AF$69</definedName>
    <definedName name="_xlnm.Print_Area" localSheetId="10">'Debt Structs'!$A$2:$P$44</definedName>
    <definedName name="_xlnm.Print_Area" localSheetId="15">Depreciation!$A$2:$X$50</definedName>
    <definedName name="_xlnm.Print_Area" localSheetId="17">IDC!$A$2:$L$59</definedName>
    <definedName name="_xlnm.Print_Area" localSheetId="3">IS!$A$2:$W$45</definedName>
    <definedName name="_xlnm.Print_Area" localSheetId="7">'Returns Analysis'!$A$1:$W$60</definedName>
    <definedName name="_xlnm.Print_Area" localSheetId="16">Taxes!$A$2:$AF$41</definedName>
    <definedName name="_xlnm.Print_Titles" localSheetId="13">BS!$A:$A</definedName>
    <definedName name="_xlnm.Print_Titles" localSheetId="14">Debt!$A:$A</definedName>
    <definedName name="_xlnm.Print_Titles" localSheetId="15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6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B13" i="33"/>
  <c r="C13" i="33"/>
  <c r="D13" i="33"/>
  <c r="E13" i="33"/>
  <c r="F13" i="33"/>
  <c r="G13" i="33"/>
  <c r="H13" i="33"/>
  <c r="I13" i="33"/>
  <c r="J13" i="33"/>
  <c r="K13" i="33"/>
  <c r="L13" i="33"/>
  <c r="C15" i="33"/>
  <c r="D15" i="33"/>
  <c r="E15" i="33"/>
  <c r="F15" i="33"/>
  <c r="G15" i="33"/>
  <c r="H15" i="33"/>
  <c r="I15" i="33"/>
  <c r="J15" i="33"/>
  <c r="K15" i="33"/>
  <c r="L15" i="33"/>
  <c r="C16" i="33"/>
  <c r="D16" i="33"/>
  <c r="E16" i="33"/>
  <c r="F16" i="33"/>
  <c r="G16" i="33"/>
  <c r="H16" i="33"/>
  <c r="I16" i="33"/>
  <c r="J16" i="33"/>
  <c r="K16" i="33"/>
  <c r="L16" i="33"/>
  <c r="B18" i="33"/>
  <c r="C18" i="33"/>
  <c r="D18" i="33"/>
  <c r="E18" i="33"/>
  <c r="F18" i="33"/>
  <c r="G18" i="33"/>
  <c r="H18" i="33"/>
  <c r="I18" i="33"/>
  <c r="J18" i="33"/>
  <c r="K18" i="33"/>
  <c r="L18" i="33"/>
  <c r="B22" i="33"/>
  <c r="C22" i="33"/>
  <c r="D22" i="33"/>
  <c r="E22" i="33"/>
  <c r="F22" i="33"/>
  <c r="G22" i="33"/>
  <c r="H22" i="33"/>
  <c r="I22" i="33"/>
  <c r="J22" i="33"/>
  <c r="K22" i="33"/>
  <c r="L22" i="33"/>
  <c r="B31" i="33"/>
  <c r="B32" i="33"/>
  <c r="C32" i="33"/>
  <c r="D32" i="33"/>
  <c r="E32" i="33"/>
  <c r="F32" i="33"/>
  <c r="G32" i="33"/>
  <c r="G33" i="33"/>
  <c r="B34" i="33"/>
  <c r="C34" i="33"/>
  <c r="D34" i="33"/>
  <c r="E34" i="33"/>
  <c r="F34" i="33"/>
  <c r="G34" i="33"/>
  <c r="C35" i="33"/>
  <c r="B39" i="33"/>
  <c r="B40" i="33"/>
  <c r="C40" i="33"/>
  <c r="D40" i="33"/>
  <c r="E40" i="33"/>
  <c r="F40" i="33"/>
  <c r="G40" i="33"/>
  <c r="H40" i="33"/>
  <c r="I40" i="33"/>
  <c r="I41" i="33"/>
  <c r="B42" i="33"/>
  <c r="C42" i="33"/>
  <c r="D42" i="33"/>
  <c r="E42" i="33"/>
  <c r="F42" i="33"/>
  <c r="G42" i="33"/>
  <c r="H42" i="33"/>
  <c r="I42" i="33"/>
  <c r="C43" i="33"/>
  <c r="B47" i="33"/>
  <c r="B48" i="33"/>
  <c r="C48" i="33"/>
  <c r="D48" i="33"/>
  <c r="E48" i="33"/>
  <c r="F48" i="33"/>
  <c r="G48" i="33"/>
  <c r="H48" i="33"/>
  <c r="I48" i="33"/>
  <c r="J48" i="33"/>
  <c r="K48" i="33"/>
  <c r="L48" i="33"/>
  <c r="L49" i="33"/>
  <c r="B50" i="33"/>
  <c r="C50" i="33"/>
  <c r="D50" i="33"/>
  <c r="E50" i="33"/>
  <c r="F50" i="33"/>
  <c r="G50" i="33"/>
  <c r="H50" i="33"/>
  <c r="I50" i="33"/>
  <c r="J50" i="33"/>
  <c r="K50" i="33"/>
  <c r="L50" i="33"/>
  <c r="C51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J51" i="32"/>
  <c r="M51" i="32"/>
  <c r="J52" i="32"/>
  <c r="M52" i="32"/>
  <c r="M53" i="32"/>
  <c r="J54" i="32"/>
  <c r="M54" i="32"/>
  <c r="J57" i="32"/>
  <c r="M57" i="32"/>
  <c r="N57" i="32"/>
  <c r="O57" i="32"/>
  <c r="J58" i="32"/>
  <c r="M58" i="32"/>
  <c r="N58" i="32"/>
  <c r="O58" i="32"/>
  <c r="J59" i="32"/>
  <c r="M59" i="32"/>
  <c r="N59" i="32"/>
  <c r="O59" i="32"/>
  <c r="J60" i="32"/>
  <c r="L60" i="32"/>
  <c r="M60" i="32"/>
  <c r="N60" i="32"/>
  <c r="O60" i="32"/>
  <c r="O62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<sst xmlns="http://schemas.openxmlformats.org/spreadsheetml/2006/main" count="861" uniqueCount="669">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</sst>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6" fmlaLink="$AC$13" fmlaRange="$AC$9:$AC$12" noThreeD="1" sel="3" val="0"/>
</file>

<file path=xl/ctrlProps/ctrlProp6.xml><?xml version="1.0" encoding="utf-8"?>
<formControlPr xmlns="http://schemas.microsoft.com/office/spreadsheetml/2009/9/main" objectType="Drop" dropLines="3" dropStyle="combo" dx="26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198120</xdr:rowOff>
        </xdr:from>
        <xdr:to>
          <xdr:col>9</xdr:col>
          <xdr:colOff>0</xdr:colOff>
          <xdr:row>33</xdr:row>
          <xdr:rowOff>7620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1249680</xdr:colOff>
          <xdr:row>29</xdr:row>
          <xdr:rowOff>0</xdr:rowOff>
        </xdr:from>
        <xdr:to>
          <xdr:col>8</xdr:col>
          <xdr:colOff>1219200</xdr:colOff>
          <xdr:row>30</xdr:row>
          <xdr:rowOff>15240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0" t="s">
        <v>161</v>
      </c>
      <c r="C2" s="5"/>
    </row>
    <row r="3" spans="1:18" s="46" customFormat="1" ht="15.6"/>
    <row r="4" spans="1:18" s="46" customFormat="1" ht="18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6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0" t="s">
        <v>201</v>
      </c>
    </row>
    <row r="13" spans="1:18" s="46" customFormat="1" ht="15.6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6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6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6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6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6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6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0" t="s">
        <v>270</v>
      </c>
    </row>
    <row r="28" spans="1:16" s="46" customFormat="1" ht="17.399999999999999">
      <c r="A28" s="282"/>
    </row>
    <row r="29" spans="1:16" s="46" customFormat="1" ht="15.6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6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6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6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6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6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6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6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6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7"/>
  <sheetViews>
    <sheetView zoomScale="75" workbookViewId="0">
      <selection activeCell="C35" sqref="C35"/>
    </sheetView>
  </sheetViews>
  <sheetFormatPr defaultColWidth="9.109375" defaultRowHeight="13.2"/>
  <cols>
    <col min="1" max="1" width="36.6640625" style="12" customWidth="1"/>
    <col min="2" max="2" width="11.88671875" style="12" bestFit="1" customWidth="1"/>
    <col min="3" max="3" width="11.109375" style="12" bestFit="1" customWidth="1"/>
    <col min="4" max="4" width="11.5546875" style="12" bestFit="1" customWidth="1"/>
    <col min="5" max="5" width="11.109375" style="12" bestFit="1" customWidth="1"/>
    <col min="6" max="8" width="11.5546875" style="12" bestFit="1" customWidth="1"/>
    <col min="9" max="9" width="11.109375" style="12" bestFit="1" customWidth="1"/>
    <col min="10" max="11" width="11.5546875" style="12" bestFit="1" customWidth="1"/>
    <col min="12" max="12" width="11.109375" style="12" bestFit="1" customWidth="1"/>
    <col min="13" max="13" width="10.6640625" style="12" bestFit="1" customWidth="1"/>
    <col min="14" max="16" width="11.109375" style="12" bestFit="1" customWidth="1"/>
    <col min="17" max="17" width="10.88671875" style="12" bestFit="1" customWidth="1"/>
    <col min="18" max="20" width="11.109375" style="12" bestFit="1" customWidth="1"/>
    <col min="21" max="21" width="10.88671875" style="12" bestFit="1" customWidth="1"/>
    <col min="22" max="22" width="11.5546875" style="12" bestFit="1" customWidth="1"/>
    <col min="23" max="23" width="11.109375" style="12" bestFit="1" customWidth="1"/>
    <col min="2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658</v>
      </c>
    </row>
    <row r="6" spans="1:33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4"/>
      <c r="Y6" s="214"/>
      <c r="Z6" s="214"/>
      <c r="AA6" s="214"/>
      <c r="AB6" s="214"/>
      <c r="AC6" s="214"/>
      <c r="AD6" s="214"/>
      <c r="AE6" s="214"/>
      <c r="AF6" s="214"/>
      <c r="AG6" s="214"/>
    </row>
    <row r="7" spans="1:33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3"/>
      <c r="Y8" s="663"/>
      <c r="Z8" s="663"/>
      <c r="AA8" s="663"/>
      <c r="AB8" s="663"/>
      <c r="AC8" s="663"/>
      <c r="AD8" s="663"/>
      <c r="AE8" s="663"/>
      <c r="AF8" s="663"/>
      <c r="AG8" s="663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7.399999999999999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70">
        <v>0</v>
      </c>
      <c r="C11" s="65">
        <f>IS!C32</f>
        <v>10386.146684289575</v>
      </c>
      <c r="D11" s="65">
        <f>IS!D32</f>
        <v>15842.150026434378</v>
      </c>
      <c r="E11" s="65">
        <f>IS!E32</f>
        <v>15794.282926434378</v>
      </c>
      <c r="F11" s="65">
        <f>IS!F32</f>
        <v>15745.081813434372</v>
      </c>
      <c r="G11" s="65">
        <f>IS!G32</f>
        <v>15694.508707044384</v>
      </c>
      <c r="H11" s="65">
        <f>IS!H32</f>
        <v>15642.524528262675</v>
      </c>
      <c r="I11" s="65">
        <f>IS!I32</f>
        <v>15589.089067333513</v>
      </c>
      <c r="J11" s="65">
        <f>IS!J32</f>
        <v>15534.16095065682</v>
      </c>
      <c r="K11" s="65">
        <f>IS!K32</f>
        <v>15477.69760672174</v>
      </c>
      <c r="L11" s="65">
        <f>IS!L32</f>
        <v>15419.655231035369</v>
      </c>
      <c r="M11" s="65">
        <f>IS!M32</f>
        <v>15359.988750016517</v>
      </c>
      <c r="N11" s="65">
        <f>IS!N32</f>
        <v>15298.651783823949</v>
      </c>
      <c r="O11" s="65">
        <f>IS!O32</f>
        <v>15235.596608087602</v>
      </c>
      <c r="P11" s="65">
        <f>IS!P32</f>
        <v>15170.774114510019</v>
      </c>
      <c r="Q11" s="65">
        <f>IS!Q32</f>
        <v>15104.133770304557</v>
      </c>
      <c r="R11" s="65">
        <f>IS!R32</f>
        <v>15035.62357643597</v>
      </c>
      <c r="S11" s="65">
        <f>IS!S32</f>
        <v>14965.190024627656</v>
      </c>
      <c r="T11" s="65">
        <f>IS!T32</f>
        <v>14892.778053098889</v>
      </c>
      <c r="U11" s="65">
        <f>IS!U32</f>
        <v>14818.3310009948</v>
      </c>
      <c r="V11" s="65">
        <f>IS!V32</f>
        <v>14741.790561469497</v>
      </c>
      <c r="W11" s="65">
        <f>IS!W32</f>
        <v>3293.9937251496158</v>
      </c>
      <c r="X11" s="671"/>
      <c r="Y11" s="671"/>
      <c r="Z11" s="671"/>
      <c r="AA11" s="671"/>
      <c r="AB11" s="671"/>
      <c r="AC11" s="671"/>
      <c r="AD11" s="671"/>
      <c r="AE11" s="671"/>
      <c r="AF11" s="671"/>
      <c r="AG11" s="671"/>
    </row>
    <row r="12" spans="1:33">
      <c r="A12" s="45" t="s">
        <v>79</v>
      </c>
      <c r="B12" s="672">
        <v>0</v>
      </c>
      <c r="C12" s="673">
        <f>IF(Assumptions!$AC$14="10-Yr. Debt",-'Debt Structs'!D35,IF(Assumptions!$AC$14="7-Yr. Debt",-'Debt Structs'!I16,IF(Assumptions!$AC$14="Lease",-'Debt Structs'!N16,0)))</f>
        <v>-8706.0749999999989</v>
      </c>
      <c r="D12" s="673">
        <f>IF(Assumptions!$AC$14="10-Yr. Debt",-'Debt Structs'!D36,IF(Assumptions!$AC$14="7-Yr. Debt",-'Debt Structs'!I17,IF(Assumptions!$AC$14="Lease",-'Debt Structs'!N17,0)))</f>
        <v>-8706.0749999999989</v>
      </c>
      <c r="E12" s="673">
        <f>IF(Assumptions!$AC$14="10-Yr. Debt",-'Debt Structs'!D37,IF(Assumptions!$AC$14="7-Yr. Debt",-'Debt Structs'!I18,IF(Assumptions!$AC$14="Lease",-'Debt Structs'!N18,0)))</f>
        <v>-8706.0749999999989</v>
      </c>
      <c r="F12" s="673">
        <f>IF(Assumptions!$AC$14="10-Yr. Debt",-'Debt Structs'!D38,IF(Assumptions!$AC$14="7-Yr. Debt",-'Debt Structs'!I19,IF(Assumptions!$AC$14="Lease",-'Debt Structs'!N19,0)))</f>
        <v>-8706.0749999999989</v>
      </c>
      <c r="G12" s="673">
        <f>IF(Assumptions!$AC$14="10-Yr. Debt",-'Debt Structs'!D39,IF(Assumptions!$AC$14="7-Yr. Debt",-'Debt Structs'!I20,IF(Assumptions!$AC$14="Lease",-'Debt Structs'!N20,0)))</f>
        <v>-8706.0749999999989</v>
      </c>
      <c r="H12" s="673">
        <f>IF(Assumptions!$AC$14="10-Yr. Debt",-'Debt Structs'!D40,IF(Assumptions!$AC$14="7-Yr. Debt",-'Debt Structs'!I21,0))</f>
        <v>0</v>
      </c>
      <c r="I12" s="673">
        <f>IF(Assumptions!$AC$14="10-Yr. Debt",-'Debt Structs'!D41,IF(Assumptions!$AC$14="7-Yr. Debt",-'Debt Structs'!I22,0))</f>
        <v>0</v>
      </c>
      <c r="J12" s="673">
        <f>IF(Assumptions!$AC$14="Lease",0,IF(Assumptions!$AC$14="7-Yr. Debt",0,-'Debt Structs'!D42))</f>
        <v>0</v>
      </c>
      <c r="K12" s="673">
        <f>IF(Assumptions!$AC$14="Lease",0,IF(Assumptions!$AC$14="7-Yr. Debt",0,-'Debt Structs'!D43))</f>
        <v>0</v>
      </c>
      <c r="L12" s="673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1680.0716842895763</v>
      </c>
      <c r="D13" s="36">
        <f t="shared" si="0"/>
        <v>7136.0750264343787</v>
      </c>
      <c r="E13" s="36">
        <f t="shared" si="0"/>
        <v>7088.2079264343793</v>
      </c>
      <c r="F13" s="36">
        <f t="shared" si="0"/>
        <v>7039.0068134343728</v>
      </c>
      <c r="G13" s="36">
        <f t="shared" si="0"/>
        <v>6988.4337070443853</v>
      </c>
      <c r="H13" s="36">
        <f t="shared" si="0"/>
        <v>15642.524528262675</v>
      </c>
      <c r="I13" s="36">
        <f t="shared" si="0"/>
        <v>15589.089067333513</v>
      </c>
      <c r="J13" s="36">
        <f t="shared" si="0"/>
        <v>15534.16095065682</v>
      </c>
      <c r="K13" s="36">
        <f t="shared" si="0"/>
        <v>15477.69760672174</v>
      </c>
      <c r="L13" s="36">
        <f t="shared" si="0"/>
        <v>15419.655231035369</v>
      </c>
    </row>
    <row r="14" spans="1:33">
      <c r="A14" s="45"/>
    </row>
    <row r="15" spans="1:33">
      <c r="A15" s="45" t="s">
        <v>349</v>
      </c>
      <c r="B15" s="674">
        <v>0</v>
      </c>
      <c r="C15" s="674">
        <f>-Taxes!B24-Taxes!B41</f>
        <v>0</v>
      </c>
      <c r="D15" s="674">
        <f>-Taxes!C24-Taxes!C41</f>
        <v>0</v>
      </c>
      <c r="E15" s="674">
        <f>-Taxes!D24-Taxes!D41</f>
        <v>0</v>
      </c>
      <c r="F15" s="674">
        <f>-Taxes!E24-Taxes!E41</f>
        <v>0</v>
      </c>
      <c r="G15" s="674">
        <f>-Taxes!F24-Taxes!F41</f>
        <v>0</v>
      </c>
      <c r="H15" s="674">
        <f>-Taxes!G24-Taxes!G41</f>
        <v>0</v>
      </c>
      <c r="I15" s="674">
        <f>-Taxes!H24-Taxes!H41</f>
        <v>-858.97553570554714</v>
      </c>
      <c r="J15" s="674">
        <f>-Taxes!I24-Taxes!I41</f>
        <v>-2851.5624218314206</v>
      </c>
      <c r="K15" s="674">
        <f>-Taxes!J24-Taxes!J41</f>
        <v>-3140.1797033230091</v>
      </c>
      <c r="L15" s="674">
        <f>-Taxes!K24-Taxes!K41</f>
        <v>-3444.4555371068004</v>
      </c>
    </row>
    <row r="16" spans="1:33">
      <c r="A16" s="45" t="s">
        <v>80</v>
      </c>
      <c r="B16" s="674">
        <v>0</v>
      </c>
      <c r="C16" s="681">
        <f>IF(Assumptions!$AC$14="10-Yr. Debt",-'Debt Structs'!E35,IF(Assumptions!$AC$14="7-Yr. Debt",-'Debt Structs'!J16,IF(Assumptions!$AC$14="Lease",-'Debt Structs'!O16,0)))</f>
        <v>0</v>
      </c>
      <c r="D16" s="681">
        <f>IF(Assumptions!$AC$14="10-Yr. Debt",-'Debt Structs'!E36,IF(Assumptions!$AC$14="7-Yr. Debt",-'Debt Structs'!J17,IF(Assumptions!$AC$14="Lease",-'Debt Structs'!O17,0)))</f>
        <v>0</v>
      </c>
      <c r="E16" s="681">
        <f>IF(Assumptions!$AC$14="10-Yr. Debt",-'Debt Structs'!E37,IF(Assumptions!$AC$14="7-Yr. Debt",-'Debt Structs'!J18,IF(Assumptions!$AC$14="Lease",-'Debt Structs'!O18,0)))</f>
        <v>0</v>
      </c>
      <c r="F16" s="681">
        <f>IF(Assumptions!$AC$14="10-Yr. Debt",-'Debt Structs'!E38,IF(Assumptions!$AC$14="7-Yr. Debt",-'Debt Structs'!J19,IF(Assumptions!$AC$14="Lease",-'Debt Structs'!O19,0)))</f>
        <v>0</v>
      </c>
      <c r="G16" s="681">
        <f>IF(Assumptions!$AC$14="10-Yr. Debt",-'Debt Structs'!E39,IF(Assumptions!$AC$14="7-Yr. Debt",-'Debt Structs'!J20,IF(Assumptions!$AC$14="Lease",-'Debt Structs'!O20,0)))</f>
        <v>0</v>
      </c>
      <c r="H16" s="681">
        <f>IF(Assumptions!$AC$14="10-Yr. Debt",-'Debt Structs'!E40,IF(Assumptions!$AC$14="7-Yr. Debt",-'Debt Structs'!J21,0))</f>
        <v>0</v>
      </c>
      <c r="I16" s="681">
        <f>IF(Assumptions!$AC$14="10-Yr. Debt",-'Debt Structs'!E41,IF(Assumptions!$AC$14="7-Yr. Debt",-'Debt Structs'!I48,0))</f>
        <v>0</v>
      </c>
      <c r="J16" s="681">
        <f>IF(Assumptions!$AC$14="Lease",0,IF(Assumptions!$AC$14="7-Yr. Debt",0,-'Debt Structs'!E42))</f>
        <v>0</v>
      </c>
      <c r="K16" s="681">
        <f>IF(Assumptions!$AC$14="Lease",0,IF(Assumptions!$AC$14="7-Yr. Debt",0,-'Debt Structs'!E43))</f>
        <v>0</v>
      </c>
      <c r="L16" s="681">
        <f>IF(Assumptions!$AC$14="Lease",0,IF(Assumptions!$AC$14="7-Yr. Debt",0,-'Debt Structs'!E44))</f>
        <v>0</v>
      </c>
    </row>
    <row r="17" spans="1:12">
      <c r="A17" s="45" t="s">
        <v>350</v>
      </c>
      <c r="B17" s="675">
        <v>0</v>
      </c>
      <c r="C17" s="675">
        <v>0</v>
      </c>
      <c r="D17" s="675">
        <v>0</v>
      </c>
      <c r="E17" s="675">
        <v>0</v>
      </c>
      <c r="F17" s="675">
        <v>0</v>
      </c>
      <c r="G17" s="675">
        <v>0</v>
      </c>
      <c r="H17" s="675">
        <v>0</v>
      </c>
      <c r="I17" s="675">
        <v>0</v>
      </c>
      <c r="J17" s="675">
        <v>0</v>
      </c>
      <c r="K17" s="675">
        <v>0</v>
      </c>
      <c r="L17" s="675">
        <v>0</v>
      </c>
    </row>
    <row r="18" spans="1:12">
      <c r="A18" s="45" t="s">
        <v>351</v>
      </c>
      <c r="B18" s="36">
        <f>B17+B16+B15+B13</f>
        <v>0</v>
      </c>
      <c r="C18" s="36">
        <f t="shared" ref="C18:L18" si="1">C17+C16+C15+C13</f>
        <v>1680.0716842895763</v>
      </c>
      <c r="D18" s="36">
        <f t="shared" si="1"/>
        <v>7136.0750264343787</v>
      </c>
      <c r="E18" s="36">
        <f t="shared" si="1"/>
        <v>7088.2079264343793</v>
      </c>
      <c r="F18" s="36">
        <f t="shared" si="1"/>
        <v>7039.0068134343728</v>
      </c>
      <c r="G18" s="36">
        <f t="shared" si="1"/>
        <v>6988.4337070443853</v>
      </c>
      <c r="H18" s="36">
        <f t="shared" si="1"/>
        <v>15642.524528262675</v>
      </c>
      <c r="I18" s="36">
        <f t="shared" si="1"/>
        <v>14730.113531627965</v>
      </c>
      <c r="J18" s="36">
        <f t="shared" si="1"/>
        <v>12682.5985288254</v>
      </c>
      <c r="K18" s="36">
        <f t="shared" si="1"/>
        <v>12337.517903398732</v>
      </c>
      <c r="L18" s="36">
        <f t="shared" si="1"/>
        <v>11975.199693928569</v>
      </c>
    </row>
    <row r="19" spans="1:12">
      <c r="A19" s="334"/>
    </row>
    <row r="20" spans="1:12">
      <c r="B20" s="518">
        <v>1</v>
      </c>
    </row>
    <row r="22" spans="1:12">
      <c r="A22" s="447" t="s">
        <v>401</v>
      </c>
      <c r="B22" s="36">
        <f>B18*$B$20</f>
        <v>0</v>
      </c>
      <c r="C22" s="36">
        <f t="shared" ref="C22:L22" si="2">C18*$B$20</f>
        <v>1680.0716842895763</v>
      </c>
      <c r="D22" s="36">
        <f t="shared" si="2"/>
        <v>7136.0750264343787</v>
      </c>
      <c r="E22" s="36">
        <f t="shared" si="2"/>
        <v>7088.2079264343793</v>
      </c>
      <c r="F22" s="36">
        <f t="shared" si="2"/>
        <v>7039.0068134343728</v>
      </c>
      <c r="G22" s="36">
        <f t="shared" si="2"/>
        <v>6988.4337070443853</v>
      </c>
      <c r="H22" s="36">
        <f t="shared" si="2"/>
        <v>15642.524528262675</v>
      </c>
      <c r="I22" s="36">
        <f t="shared" si="2"/>
        <v>14730.113531627965</v>
      </c>
      <c r="J22" s="36">
        <f t="shared" si="2"/>
        <v>12682.5985288254</v>
      </c>
      <c r="K22" s="36">
        <f t="shared" si="2"/>
        <v>12337.517903398732</v>
      </c>
      <c r="L22" s="36">
        <f t="shared" si="2"/>
        <v>11975.199693928569</v>
      </c>
    </row>
    <row r="26" spans="1:12">
      <c r="A26" s="448" t="s">
        <v>388</v>
      </c>
    </row>
    <row r="27" spans="1:12" ht="13.8" thickBot="1">
      <c r="A27" s="448"/>
    </row>
    <row r="28" spans="1:12" ht="13.8" thickBot="1">
      <c r="A28" s="448" t="s">
        <v>664</v>
      </c>
      <c r="B28" s="676">
        <v>0.2</v>
      </c>
    </row>
    <row r="29" spans="1:12">
      <c r="A29" s="669" t="s">
        <v>662</v>
      </c>
    </row>
    <row r="30" spans="1:12">
      <c r="A30" s="43" t="s">
        <v>661</v>
      </c>
      <c r="C30" s="11">
        <v>1</v>
      </c>
      <c r="D30" s="11">
        <v>2</v>
      </c>
      <c r="E30" s="11">
        <v>3</v>
      </c>
      <c r="F30" s="11">
        <v>4</v>
      </c>
      <c r="G30" s="11">
        <v>5</v>
      </c>
      <c r="H30" s="11">
        <v>6</v>
      </c>
      <c r="I30" s="11">
        <v>7</v>
      </c>
      <c r="J30" s="11">
        <v>8</v>
      </c>
      <c r="K30" s="11">
        <v>9</v>
      </c>
      <c r="L30" s="11">
        <v>10</v>
      </c>
    </row>
    <row r="31" spans="1:12">
      <c r="A31" s="56" t="s">
        <v>354</v>
      </c>
      <c r="B31" s="674">
        <f>'Debt Structs'!E8</f>
        <v>0</v>
      </c>
    </row>
    <row r="32" spans="1:12">
      <c r="A32" s="56" t="s">
        <v>353</v>
      </c>
      <c r="B32" s="36">
        <f t="shared" ref="B32:G32" si="3">B22</f>
        <v>0</v>
      </c>
      <c r="C32" s="36">
        <f t="shared" si="3"/>
        <v>1680.0716842895763</v>
      </c>
      <c r="D32" s="36">
        <f t="shared" si="3"/>
        <v>7136.0750264343787</v>
      </c>
      <c r="E32" s="36">
        <f t="shared" si="3"/>
        <v>7088.2079264343793</v>
      </c>
      <c r="F32" s="36">
        <f t="shared" si="3"/>
        <v>7039.0068134343728</v>
      </c>
      <c r="G32" s="36">
        <f t="shared" si="3"/>
        <v>6988.4337070443853</v>
      </c>
    </row>
    <row r="33" spans="1:12">
      <c r="A33" s="56" t="s">
        <v>665</v>
      </c>
      <c r="B33" s="677">
        <v>0</v>
      </c>
      <c r="C33" s="677">
        <v>0</v>
      </c>
      <c r="D33" s="677">
        <v>0</v>
      </c>
      <c r="E33" s="677">
        <v>0</v>
      </c>
      <c r="F33" s="677">
        <v>0</v>
      </c>
      <c r="G33" s="678">
        <f>'Debt Structs'!L20</f>
        <v>116081</v>
      </c>
    </row>
    <row r="34" spans="1:12">
      <c r="A34" s="56" t="s">
        <v>352</v>
      </c>
      <c r="B34" s="36">
        <f t="shared" ref="B34:G34" si="4">SUM(B31:B33)</f>
        <v>0</v>
      </c>
      <c r="C34" s="36">
        <f t="shared" si="4"/>
        <v>1680.0716842895763</v>
      </c>
      <c r="D34" s="36">
        <f t="shared" si="4"/>
        <v>7136.0750264343787</v>
      </c>
      <c r="E34" s="36">
        <f t="shared" si="4"/>
        <v>7088.2079264343793</v>
      </c>
      <c r="F34" s="36">
        <f t="shared" si="4"/>
        <v>7039.0068134343728</v>
      </c>
      <c r="G34" s="36">
        <f t="shared" si="4"/>
        <v>123069.43370704439</v>
      </c>
    </row>
    <row r="35" spans="1:12">
      <c r="A35" s="56"/>
      <c r="B35" s="447" t="s">
        <v>1</v>
      </c>
      <c r="C35" s="453" t="e">
        <f>XIRR(C34:G34,C8:G8)</f>
        <v>#NUM!</v>
      </c>
    </row>
    <row r="36" spans="1:12">
      <c r="A36" s="45"/>
    </row>
    <row r="37" spans="1:12">
      <c r="A37" s="669" t="s">
        <v>667</v>
      </c>
    </row>
    <row r="38" spans="1:12">
      <c r="A38" s="43" t="s">
        <v>661</v>
      </c>
    </row>
    <row r="39" spans="1:12">
      <c r="A39" s="56" t="s">
        <v>354</v>
      </c>
      <c r="B39" s="674">
        <f>-'Debt Structs'!D8</f>
        <v>-40628.35</v>
      </c>
    </row>
    <row r="40" spans="1:12">
      <c r="A40" s="56" t="s">
        <v>353</v>
      </c>
      <c r="B40" s="36">
        <f>B22</f>
        <v>0</v>
      </c>
      <c r="C40" s="36">
        <f t="shared" ref="C40:I40" si="5">C22</f>
        <v>1680.0716842895763</v>
      </c>
      <c r="D40" s="36">
        <f t="shared" si="5"/>
        <v>7136.0750264343787</v>
      </c>
      <c r="E40" s="36">
        <f t="shared" si="5"/>
        <v>7088.2079264343793</v>
      </c>
      <c r="F40" s="36">
        <f t="shared" si="5"/>
        <v>7039.0068134343728</v>
      </c>
      <c r="G40" s="36">
        <f t="shared" si="5"/>
        <v>6988.4337070443853</v>
      </c>
      <c r="H40" s="36">
        <f t="shared" si="5"/>
        <v>15642.524528262675</v>
      </c>
      <c r="I40" s="36">
        <f t="shared" si="5"/>
        <v>14730.113531627965</v>
      </c>
    </row>
    <row r="41" spans="1:12">
      <c r="A41" s="56" t="s">
        <v>665</v>
      </c>
      <c r="B41" s="677">
        <v>0</v>
      </c>
      <c r="C41" s="677">
        <v>0</v>
      </c>
      <c r="D41" s="677">
        <v>0</v>
      </c>
      <c r="E41" s="677">
        <v>0</v>
      </c>
      <c r="F41" s="677">
        <v>0</v>
      </c>
      <c r="G41" s="677">
        <v>0</v>
      </c>
      <c r="H41" s="677">
        <v>0</v>
      </c>
      <c r="I41" s="678">
        <f>'Debt Structs'!G22</f>
        <v>47751.318169184829</v>
      </c>
    </row>
    <row r="42" spans="1:12">
      <c r="A42" s="56" t="s">
        <v>352</v>
      </c>
      <c r="B42" s="36">
        <f t="shared" ref="B42:I42" si="6">SUM(B39:B41)</f>
        <v>-40628.35</v>
      </c>
      <c r="C42" s="36">
        <f t="shared" si="6"/>
        <v>1680.0716842895763</v>
      </c>
      <c r="D42" s="36">
        <f t="shared" si="6"/>
        <v>7136.0750264343787</v>
      </c>
      <c r="E42" s="36">
        <f t="shared" si="6"/>
        <v>7088.2079264343793</v>
      </c>
      <c r="F42" s="36">
        <f t="shared" si="6"/>
        <v>7039.0068134343728</v>
      </c>
      <c r="G42" s="36">
        <f t="shared" si="6"/>
        <v>6988.4337070443853</v>
      </c>
      <c r="H42" s="36">
        <f t="shared" si="6"/>
        <v>15642.524528262675</v>
      </c>
      <c r="I42" s="36">
        <f t="shared" si="6"/>
        <v>62481.431700812798</v>
      </c>
    </row>
    <row r="43" spans="1:12">
      <c r="A43" s="56"/>
      <c r="B43" s="447" t="s">
        <v>1</v>
      </c>
      <c r="C43" s="453">
        <f>XIRR(B42:I42,B8:I8)</f>
        <v>0.17178928256034853</v>
      </c>
    </row>
    <row r="44" spans="1:12">
      <c r="A44" s="13"/>
    </row>
    <row r="45" spans="1:12">
      <c r="A45" s="630" t="s">
        <v>663</v>
      </c>
    </row>
    <row r="46" spans="1:12">
      <c r="A46" s="43" t="s">
        <v>661</v>
      </c>
    </row>
    <row r="47" spans="1:12">
      <c r="A47" s="56" t="s">
        <v>354</v>
      </c>
      <c r="B47" s="674">
        <f>-'Debt Structs'!D8</f>
        <v>-40628.35</v>
      </c>
    </row>
    <row r="48" spans="1:12">
      <c r="A48" s="56" t="s">
        <v>353</v>
      </c>
      <c r="B48" s="36">
        <f>B22</f>
        <v>0</v>
      </c>
      <c r="C48" s="36">
        <f t="shared" ref="C48:L48" si="7">C22</f>
        <v>1680.0716842895763</v>
      </c>
      <c r="D48" s="36">
        <f t="shared" si="7"/>
        <v>7136.0750264343787</v>
      </c>
      <c r="E48" s="36">
        <f t="shared" si="7"/>
        <v>7088.2079264343793</v>
      </c>
      <c r="F48" s="36">
        <f t="shared" si="7"/>
        <v>7039.0068134343728</v>
      </c>
      <c r="G48" s="36">
        <f t="shared" si="7"/>
        <v>6988.4337070443853</v>
      </c>
      <c r="H48" s="36">
        <f t="shared" si="7"/>
        <v>15642.524528262675</v>
      </c>
      <c r="I48" s="36">
        <f t="shared" si="7"/>
        <v>14730.113531627965</v>
      </c>
      <c r="J48" s="36">
        <f t="shared" si="7"/>
        <v>12682.5985288254</v>
      </c>
      <c r="K48" s="36">
        <f t="shared" si="7"/>
        <v>12337.517903398732</v>
      </c>
      <c r="L48" s="36">
        <f t="shared" si="7"/>
        <v>11975.199693928569</v>
      </c>
    </row>
    <row r="49" spans="1:12" ht="15">
      <c r="A49" s="56" t="s">
        <v>665</v>
      </c>
      <c r="B49" s="679">
        <v>0</v>
      </c>
      <c r="C49" s="679">
        <v>0</v>
      </c>
      <c r="D49" s="679">
        <v>0</v>
      </c>
      <c r="E49" s="679">
        <v>0</v>
      </c>
      <c r="F49" s="679">
        <v>0</v>
      </c>
      <c r="G49" s="679">
        <v>0</v>
      </c>
      <c r="H49" s="679">
        <v>0</v>
      </c>
      <c r="I49" s="679">
        <v>0</v>
      </c>
      <c r="J49" s="679">
        <v>0</v>
      </c>
      <c r="K49" s="679">
        <v>0</v>
      </c>
      <c r="L49" s="680">
        <f>'Debt Structs'!B44</f>
        <v>10974.477806692175</v>
      </c>
    </row>
    <row r="50" spans="1:12">
      <c r="A50" s="56" t="s">
        <v>352</v>
      </c>
      <c r="B50" s="36">
        <f t="shared" ref="B50:L50" si="8">SUM(B47:B49)</f>
        <v>-40628.35</v>
      </c>
      <c r="C50" s="36">
        <f t="shared" si="8"/>
        <v>1680.0716842895763</v>
      </c>
      <c r="D50" s="36">
        <f t="shared" si="8"/>
        <v>7136.0750264343787</v>
      </c>
      <c r="E50" s="36">
        <f t="shared" si="8"/>
        <v>7088.2079264343793</v>
      </c>
      <c r="F50" s="36">
        <f t="shared" si="8"/>
        <v>7039.0068134343728</v>
      </c>
      <c r="G50" s="36">
        <f t="shared" si="8"/>
        <v>6988.4337070443853</v>
      </c>
      <c r="H50" s="36">
        <f t="shared" si="8"/>
        <v>15642.524528262675</v>
      </c>
      <c r="I50" s="36">
        <f t="shared" si="8"/>
        <v>14730.113531627965</v>
      </c>
      <c r="J50" s="36">
        <f t="shared" si="8"/>
        <v>12682.5985288254</v>
      </c>
      <c r="K50" s="36">
        <f t="shared" si="8"/>
        <v>12337.517903398732</v>
      </c>
      <c r="L50" s="36">
        <f t="shared" si="8"/>
        <v>22949.677500620746</v>
      </c>
    </row>
    <row r="51" spans="1:12">
      <c r="A51" s="13"/>
      <c r="B51" s="447" t="s">
        <v>1</v>
      </c>
      <c r="C51" s="453">
        <f>XIRR(B50:L50,B8:L8)</f>
        <v>0.15225514769554138</v>
      </c>
    </row>
    <row r="52" spans="1:12">
      <c r="A52" s="56"/>
    </row>
    <row r="53" spans="1:12">
      <c r="A53" s="43"/>
    </row>
    <row r="54" spans="1:12">
      <c r="A54" s="56"/>
    </row>
    <row r="55" spans="1:12">
      <c r="A55" s="56"/>
    </row>
    <row r="56" spans="1:12">
      <c r="A56" s="56"/>
    </row>
    <row r="57" spans="1:12">
      <c r="A57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32" zoomScale="85" workbookViewId="0">
      <selection activeCell="G37" sqref="G37"/>
    </sheetView>
  </sheetViews>
  <sheetFormatPr defaultRowHeight="13.2"/>
  <cols>
    <col min="1" max="1" width="11" customWidth="1"/>
    <col min="3" max="3" width="11.33203125" bestFit="1" customWidth="1"/>
    <col min="4" max="5" width="9.44140625" bestFit="1" customWidth="1"/>
    <col min="6" max="6" width="4.109375" customWidth="1"/>
    <col min="8" max="8" width="11.5546875" bestFit="1" customWidth="1"/>
    <col min="10" max="10" width="11.5546875" bestFit="1" customWidth="1"/>
    <col min="11" max="11" width="4.44140625" customWidth="1"/>
    <col min="12" max="13" width="9.44140625" bestFit="1" customWidth="1"/>
    <col min="14" max="14" width="10.88671875" bestFit="1" customWidth="1"/>
  </cols>
  <sheetData>
    <row r="1" spans="1:18" ht="13.8" thickBot="1"/>
    <row r="2" spans="1:18">
      <c r="B2" s="644"/>
      <c r="C2" s="411"/>
      <c r="D2" s="682" t="s">
        <v>315</v>
      </c>
      <c r="E2" s="683" t="s">
        <v>621</v>
      </c>
      <c r="N2" s="639"/>
    </row>
    <row r="3" spans="1:18">
      <c r="B3" s="521"/>
      <c r="C3" s="653" t="s">
        <v>622</v>
      </c>
      <c r="D3" s="648">
        <f>Assumptions!C61</f>
        <v>116081</v>
      </c>
      <c r="E3" s="684">
        <f>Assumptions!C61</f>
        <v>116081</v>
      </c>
      <c r="N3" s="639"/>
    </row>
    <row r="4" spans="1:18">
      <c r="B4" s="521"/>
      <c r="C4" s="653" t="s">
        <v>623</v>
      </c>
      <c r="D4" s="685">
        <v>7</v>
      </c>
      <c r="E4" s="686">
        <v>5</v>
      </c>
    </row>
    <row r="5" spans="1:18">
      <c r="B5" s="521"/>
      <c r="C5" s="653" t="s">
        <v>624</v>
      </c>
      <c r="D5" s="687">
        <v>9.5000000000000001E-2</v>
      </c>
      <c r="E5" s="688">
        <v>7.4999999999999997E-2</v>
      </c>
    </row>
    <row r="6" spans="1:18">
      <c r="B6" s="521"/>
      <c r="C6" s="653" t="s">
        <v>625</v>
      </c>
      <c r="D6" s="685">
        <v>12</v>
      </c>
      <c r="E6" s="686">
        <v>0</v>
      </c>
    </row>
    <row r="7" spans="1:18">
      <c r="B7" s="521"/>
      <c r="C7" s="653" t="s">
        <v>626</v>
      </c>
      <c r="D7" s="689">
        <v>0.35</v>
      </c>
      <c r="E7" s="690">
        <v>0</v>
      </c>
    </row>
    <row r="8" spans="1:18">
      <c r="B8" s="521"/>
      <c r="C8" s="653" t="s">
        <v>627</v>
      </c>
      <c r="D8" s="648">
        <f>+D3*D7</f>
        <v>40628.35</v>
      </c>
      <c r="E8" s="684">
        <f>+E3*E7</f>
        <v>0</v>
      </c>
    </row>
    <row r="9" spans="1:18">
      <c r="B9" s="521"/>
      <c r="C9" s="653" t="s">
        <v>628</v>
      </c>
      <c r="D9" s="691">
        <v>0</v>
      </c>
      <c r="E9" s="692">
        <v>0</v>
      </c>
    </row>
    <row r="10" spans="1:18">
      <c r="B10" s="521"/>
      <c r="C10" s="653" t="s">
        <v>629</v>
      </c>
      <c r="D10" s="685">
        <v>5</v>
      </c>
      <c r="E10" s="686">
        <v>5</v>
      </c>
    </row>
    <row r="11" spans="1:18">
      <c r="B11" s="521"/>
      <c r="C11" s="653" t="s">
        <v>630</v>
      </c>
      <c r="D11" s="685">
        <v>230</v>
      </c>
      <c r="E11" s="686">
        <v>230</v>
      </c>
    </row>
    <row r="12" spans="1:18" ht="13.8" thickBot="1">
      <c r="B12" s="660"/>
      <c r="C12" s="693" t="s">
        <v>631</v>
      </c>
      <c r="D12" s="694">
        <v>6.5</v>
      </c>
      <c r="E12" s="695">
        <v>4.25</v>
      </c>
    </row>
    <row r="13" spans="1:18">
      <c r="Q13" t="s">
        <v>632</v>
      </c>
      <c r="R13" t="s">
        <v>633</v>
      </c>
    </row>
    <row r="14" spans="1:18">
      <c r="B14" s="696" t="s">
        <v>634</v>
      </c>
      <c r="C14" s="696"/>
      <c r="D14" s="696"/>
      <c r="E14" s="696"/>
      <c r="G14" s="696" t="s">
        <v>668</v>
      </c>
      <c r="H14" s="696"/>
      <c r="I14" s="696"/>
      <c r="J14" s="696"/>
      <c r="L14" s="696" t="s">
        <v>635</v>
      </c>
      <c r="M14" s="696"/>
      <c r="N14" s="696"/>
      <c r="O14" s="696"/>
      <c r="Q14" t="s">
        <v>636</v>
      </c>
      <c r="R14" t="s">
        <v>636</v>
      </c>
    </row>
    <row r="15" spans="1:18">
      <c r="B15" s="536" t="s">
        <v>637</v>
      </c>
      <c r="C15" s="536" t="s">
        <v>638</v>
      </c>
      <c r="D15" s="536" t="s">
        <v>639</v>
      </c>
      <c r="E15" s="536" t="s">
        <v>640</v>
      </c>
      <c r="F15" s="641"/>
      <c r="G15" s="536" t="s">
        <v>637</v>
      </c>
      <c r="H15" s="536" t="s">
        <v>638</v>
      </c>
      <c r="I15" s="536" t="s">
        <v>639</v>
      </c>
      <c r="J15" s="536" t="s">
        <v>640</v>
      </c>
      <c r="K15" s="641"/>
      <c r="L15" s="536" t="s">
        <v>637</v>
      </c>
      <c r="M15" s="536" t="s">
        <v>638</v>
      </c>
      <c r="N15" s="536" t="s">
        <v>639</v>
      </c>
      <c r="O15" s="536" t="s">
        <v>640</v>
      </c>
    </row>
    <row r="16" spans="1:18">
      <c r="A16">
        <v>1</v>
      </c>
      <c r="B16" s="642">
        <f>+D3-D8</f>
        <v>75452.649999999994</v>
      </c>
      <c r="C16" s="639">
        <f t="shared" ref="C16:C27" si="0">-PMT($D$5,$D$6,$D$3-$D$8)</f>
        <v>10803.892486473009</v>
      </c>
      <c r="D16" s="639">
        <f t="shared" ref="D16:D27" si="1">+B16*$D$5</f>
        <v>7168.0017499999994</v>
      </c>
      <c r="E16" s="642">
        <f>+C16-D16</f>
        <v>3635.8907364730094</v>
      </c>
      <c r="F16">
        <v>1</v>
      </c>
      <c r="G16" s="642">
        <f>+D3-D8</f>
        <v>75452.649999999994</v>
      </c>
      <c r="H16" s="639">
        <f>+I16+J16</f>
        <v>10803.892486473009</v>
      </c>
      <c r="I16" s="639">
        <f t="shared" ref="I16:I22" si="2">+G16*$D$5</f>
        <v>7168.0017499999994</v>
      </c>
      <c r="J16" s="642">
        <f>+E16</f>
        <v>3635.8907364730094</v>
      </c>
      <c r="K16">
        <v>1</v>
      </c>
      <c r="L16" s="642">
        <f>+E3-E8</f>
        <v>116081</v>
      </c>
      <c r="M16" s="642">
        <f>+N16+O16</f>
        <v>8706.0749999999989</v>
      </c>
      <c r="N16" s="639">
        <f>+L16*$E$5</f>
        <v>8706.0749999999989</v>
      </c>
      <c r="O16" s="639">
        <v>0</v>
      </c>
      <c r="Q16" s="642">
        <f>+H16-M16</f>
        <v>2097.8174864730099</v>
      </c>
      <c r="R16" s="640">
        <f>+((Q16*1000)/(+$D$11*1000))/12</f>
        <v>0.76007879944674273</v>
      </c>
    </row>
    <row r="17" spans="1:18">
      <c r="A17">
        <f t="shared" ref="A17:A27" si="3">+A16+1</f>
        <v>2</v>
      </c>
      <c r="B17" s="642">
        <f>+B16-E16</f>
        <v>71816.759263526983</v>
      </c>
      <c r="C17" s="639">
        <f t="shared" si="0"/>
        <v>10803.892486473009</v>
      </c>
      <c r="D17" s="639">
        <f t="shared" si="1"/>
        <v>6822.5921300350637</v>
      </c>
      <c r="E17" s="642">
        <f t="shared" ref="E17:E27" si="4">+C17-D17</f>
        <v>3981.3003564379451</v>
      </c>
      <c r="F17">
        <v>2</v>
      </c>
      <c r="G17" s="642">
        <f t="shared" ref="G17:G22" si="5">+G16-J16</f>
        <v>71816.759263526983</v>
      </c>
      <c r="H17" s="639">
        <f t="shared" ref="H17:H22" si="6">+I17+J17</f>
        <v>10803.892486473009</v>
      </c>
      <c r="I17" s="639">
        <f t="shared" si="2"/>
        <v>6822.5921300350637</v>
      </c>
      <c r="J17" s="642">
        <f t="shared" ref="J17:J22" si="7">+E17</f>
        <v>3981.3003564379451</v>
      </c>
      <c r="K17">
        <v>2</v>
      </c>
      <c r="L17" s="642">
        <f>+L16-O16</f>
        <v>116081</v>
      </c>
      <c r="M17" s="642">
        <f>+N17+O17</f>
        <v>8706.0749999999989</v>
      </c>
      <c r="N17" s="639">
        <f>+L17*$E$5</f>
        <v>8706.0749999999989</v>
      </c>
      <c r="O17" s="639">
        <v>0</v>
      </c>
    </row>
    <row r="18" spans="1:18">
      <c r="A18">
        <f t="shared" si="3"/>
        <v>3</v>
      </c>
      <c r="B18" s="642">
        <f>+B17-E17</f>
        <v>67835.458907089036</v>
      </c>
      <c r="C18" s="639">
        <f t="shared" si="0"/>
        <v>10803.892486473009</v>
      </c>
      <c r="D18" s="639">
        <f t="shared" si="1"/>
        <v>6444.3685961734582</v>
      </c>
      <c r="E18" s="642">
        <f t="shared" si="4"/>
        <v>4359.5238902995507</v>
      </c>
      <c r="F18">
        <v>3</v>
      </c>
      <c r="G18" s="642">
        <f t="shared" si="5"/>
        <v>67835.458907089036</v>
      </c>
      <c r="H18" s="639">
        <f t="shared" si="6"/>
        <v>10803.892486473009</v>
      </c>
      <c r="I18" s="639">
        <f t="shared" si="2"/>
        <v>6444.3685961734582</v>
      </c>
      <c r="J18" s="642">
        <f t="shared" si="7"/>
        <v>4359.5238902995507</v>
      </c>
      <c r="K18">
        <v>3</v>
      </c>
      <c r="L18" s="642">
        <f>+L17-O17</f>
        <v>116081</v>
      </c>
      <c r="M18" s="642">
        <f>+N18+O18</f>
        <v>8706.0749999999989</v>
      </c>
      <c r="N18" s="639">
        <f>+L18*$E$5</f>
        <v>8706.0749999999989</v>
      </c>
      <c r="O18" s="639">
        <v>0</v>
      </c>
      <c r="Q18" s="639">
        <v>42000</v>
      </c>
    </row>
    <row r="19" spans="1:18">
      <c r="A19">
        <f t="shared" si="3"/>
        <v>4</v>
      </c>
      <c r="B19" s="642">
        <f t="shared" ref="B19:B27" si="8">+B18-E18</f>
        <v>63475.935016789488</v>
      </c>
      <c r="C19" s="639">
        <f t="shared" si="0"/>
        <v>10803.892486473009</v>
      </c>
      <c r="D19" s="639">
        <f t="shared" si="1"/>
        <v>6030.2138265950016</v>
      </c>
      <c r="E19" s="642">
        <f t="shared" si="4"/>
        <v>4773.6786598780072</v>
      </c>
      <c r="F19">
        <v>4</v>
      </c>
      <c r="G19" s="642">
        <f t="shared" si="5"/>
        <v>63475.935016789488</v>
      </c>
      <c r="H19" s="639">
        <f t="shared" si="6"/>
        <v>10803.892486473009</v>
      </c>
      <c r="I19" s="639">
        <f t="shared" si="2"/>
        <v>6030.2138265950016</v>
      </c>
      <c r="J19" s="642">
        <f t="shared" si="7"/>
        <v>4773.6786598780072</v>
      </c>
      <c r="K19">
        <v>4</v>
      </c>
      <c r="L19" s="642">
        <f>+L18-O18</f>
        <v>116081</v>
      </c>
      <c r="M19" s="642">
        <f>+N19+O19</f>
        <v>8706.0749999999989</v>
      </c>
      <c r="N19" s="639">
        <f>+L19*$E$5</f>
        <v>8706.0749999999989</v>
      </c>
      <c r="O19" s="639">
        <v>0</v>
      </c>
      <c r="Q19">
        <v>0.15</v>
      </c>
    </row>
    <row r="20" spans="1:18">
      <c r="A20">
        <f t="shared" si="3"/>
        <v>5</v>
      </c>
      <c r="B20" s="642">
        <f t="shared" si="8"/>
        <v>58702.256356911479</v>
      </c>
      <c r="C20" s="639">
        <f t="shared" si="0"/>
        <v>10803.892486473009</v>
      </c>
      <c r="D20" s="639">
        <f t="shared" si="1"/>
        <v>5576.714353906591</v>
      </c>
      <c r="E20" s="642">
        <f t="shared" si="4"/>
        <v>5227.1781325664178</v>
      </c>
      <c r="F20">
        <v>5</v>
      </c>
      <c r="G20" s="642">
        <f t="shared" si="5"/>
        <v>58702.256356911479</v>
      </c>
      <c r="H20" s="639">
        <f t="shared" si="6"/>
        <v>10803.892486473009</v>
      </c>
      <c r="I20" s="639">
        <f t="shared" si="2"/>
        <v>5576.714353906591</v>
      </c>
      <c r="J20" s="642">
        <f t="shared" si="7"/>
        <v>5227.1781325664178</v>
      </c>
      <c r="K20">
        <v>5</v>
      </c>
      <c r="L20" s="642">
        <f>+L19-O19</f>
        <v>116081</v>
      </c>
      <c r="M20" s="642">
        <f>+N20+O20</f>
        <v>8706.0749999999989</v>
      </c>
      <c r="N20" s="639">
        <f>+L20*$E$5</f>
        <v>8706.0749999999989</v>
      </c>
      <c r="O20" s="639">
        <v>0</v>
      </c>
      <c r="Q20" s="639">
        <f>+Q18*Q19</f>
        <v>6300</v>
      </c>
      <c r="R20" s="640">
        <f>+((Q20*1000)/(+$D$11*1000))/12</f>
        <v>2.2826086956521738</v>
      </c>
    </row>
    <row r="21" spans="1:18">
      <c r="A21">
        <f t="shared" si="3"/>
        <v>6</v>
      </c>
      <c r="B21" s="642">
        <f t="shared" si="8"/>
        <v>53475.078224345059</v>
      </c>
      <c r="C21" s="639">
        <f t="shared" si="0"/>
        <v>10803.892486473009</v>
      </c>
      <c r="D21" s="639">
        <f t="shared" si="1"/>
        <v>5080.1324313127807</v>
      </c>
      <c r="E21" s="642">
        <f t="shared" si="4"/>
        <v>5723.7600551602281</v>
      </c>
      <c r="F21">
        <v>6</v>
      </c>
      <c r="G21" s="642">
        <f t="shared" si="5"/>
        <v>53475.078224345059</v>
      </c>
      <c r="H21" s="639">
        <f t="shared" si="6"/>
        <v>10803.892486473009</v>
      </c>
      <c r="I21" s="639">
        <f t="shared" si="2"/>
        <v>5080.1324313127807</v>
      </c>
      <c r="J21" s="642">
        <f t="shared" si="7"/>
        <v>5723.7600551602281</v>
      </c>
    </row>
    <row r="22" spans="1:18">
      <c r="A22">
        <f t="shared" si="3"/>
        <v>7</v>
      </c>
      <c r="B22" s="642">
        <f t="shared" si="8"/>
        <v>47751.318169184829</v>
      </c>
      <c r="C22" s="639">
        <f t="shared" si="0"/>
        <v>10803.892486473009</v>
      </c>
      <c r="D22" s="639">
        <f t="shared" si="1"/>
        <v>4536.3752260725587</v>
      </c>
      <c r="E22" s="642">
        <f t="shared" si="4"/>
        <v>6267.5172604004501</v>
      </c>
      <c r="F22">
        <v>7</v>
      </c>
      <c r="G22" s="642">
        <f t="shared" si="5"/>
        <v>47751.318169184829</v>
      </c>
      <c r="H22" s="639">
        <f t="shared" si="6"/>
        <v>10803.892486473009</v>
      </c>
      <c r="I22" s="639">
        <f t="shared" si="2"/>
        <v>4536.3752260725587</v>
      </c>
      <c r="J22" s="642">
        <f t="shared" si="7"/>
        <v>6267.5172604004501</v>
      </c>
      <c r="R22" s="643">
        <f>+R20+R16</f>
        <v>3.0426874950989165</v>
      </c>
    </row>
    <row r="23" spans="1:18">
      <c r="A23">
        <f t="shared" si="3"/>
        <v>8</v>
      </c>
      <c r="B23" s="642">
        <f t="shared" si="8"/>
        <v>41483.800908784382</v>
      </c>
      <c r="C23" s="639">
        <f t="shared" si="0"/>
        <v>10803.892486473009</v>
      </c>
      <c r="D23" s="639">
        <f t="shared" si="1"/>
        <v>3940.9610863345165</v>
      </c>
      <c r="E23" s="642">
        <f t="shared" si="4"/>
        <v>6862.9314001384919</v>
      </c>
    </row>
    <row r="24" spans="1:18">
      <c r="A24">
        <f t="shared" si="3"/>
        <v>9</v>
      </c>
      <c r="B24" s="642">
        <f t="shared" si="8"/>
        <v>34620.86950864589</v>
      </c>
      <c r="C24" s="639">
        <f t="shared" si="0"/>
        <v>10803.892486473009</v>
      </c>
      <c r="D24" s="639">
        <f t="shared" si="1"/>
        <v>3288.9826033213594</v>
      </c>
      <c r="E24" s="642">
        <f t="shared" si="4"/>
        <v>7514.9098831516494</v>
      </c>
    </row>
    <row r="25" spans="1:18">
      <c r="A25">
        <f t="shared" si="3"/>
        <v>10</v>
      </c>
      <c r="B25" s="642">
        <f t="shared" si="8"/>
        <v>27105.959625494241</v>
      </c>
      <c r="C25" s="639">
        <f t="shared" si="0"/>
        <v>10803.892486473009</v>
      </c>
      <c r="D25" s="639">
        <f t="shared" si="1"/>
        <v>2575.0661644219531</v>
      </c>
      <c r="E25" s="642">
        <f t="shared" si="4"/>
        <v>8228.8263220510562</v>
      </c>
    </row>
    <row r="26" spans="1:18">
      <c r="A26">
        <f t="shared" si="3"/>
        <v>11</v>
      </c>
      <c r="B26" s="642">
        <f t="shared" si="8"/>
        <v>18877.133303443185</v>
      </c>
      <c r="C26" s="639">
        <f t="shared" si="0"/>
        <v>10803.892486473009</v>
      </c>
      <c r="D26" s="639">
        <f t="shared" si="1"/>
        <v>1793.3276638271025</v>
      </c>
      <c r="E26" s="642">
        <f t="shared" si="4"/>
        <v>9010.564822645907</v>
      </c>
    </row>
    <row r="27" spans="1:18">
      <c r="A27">
        <f t="shared" si="3"/>
        <v>12</v>
      </c>
      <c r="B27" s="642">
        <f t="shared" si="8"/>
        <v>9866.5684807972775</v>
      </c>
      <c r="C27" s="639">
        <f t="shared" si="0"/>
        <v>10803.892486473009</v>
      </c>
      <c r="D27" s="639">
        <f t="shared" si="1"/>
        <v>937.32400567574132</v>
      </c>
      <c r="E27" s="642">
        <f t="shared" si="4"/>
        <v>9866.5684807972684</v>
      </c>
    </row>
    <row r="28" spans="1:18">
      <c r="A28" s="629"/>
      <c r="B28" s="642"/>
    </row>
    <row r="29" spans="1:18">
      <c r="A29" s="629"/>
    </row>
    <row r="33" spans="1:16">
      <c r="B33" s="696" t="s">
        <v>642</v>
      </c>
      <c r="C33" s="696"/>
      <c r="D33" s="696"/>
      <c r="E33" s="696"/>
    </row>
    <row r="34" spans="1:16">
      <c r="B34" s="536" t="s">
        <v>637</v>
      </c>
      <c r="C34" s="536" t="s">
        <v>638</v>
      </c>
      <c r="D34" s="536" t="s">
        <v>639</v>
      </c>
      <c r="E34" s="536" t="s">
        <v>640</v>
      </c>
    </row>
    <row r="35" spans="1:16">
      <c r="A35">
        <v>1</v>
      </c>
      <c r="B35" s="642">
        <f>+D3-D8</f>
        <v>75452.649999999994</v>
      </c>
      <c r="C35" s="639">
        <f>-PMT(+$D$5,10,$D$3-$D$8)</f>
        <v>12017.053198327936</v>
      </c>
      <c r="D35" s="639">
        <f t="shared" ref="D35:D44" si="9">+B35*$D$5</f>
        <v>7168.0017499999994</v>
      </c>
      <c r="E35" s="639">
        <f t="shared" ref="E35:E44" si="10">+C35-D35</f>
        <v>4849.0514483279367</v>
      </c>
    </row>
    <row r="36" spans="1:16">
      <c r="A36">
        <f t="shared" ref="A36:A44" si="11">+A35+1</f>
        <v>2</v>
      </c>
      <c r="B36" s="642">
        <f t="shared" ref="B36:B44" si="12">+B35-E35</f>
        <v>70603.598551672054</v>
      </c>
      <c r="C36" s="639">
        <f t="shared" ref="C36:C44" si="13">-PMT(+$D$5,10,$D$3-$D$8)</f>
        <v>12017.053198327936</v>
      </c>
      <c r="D36" s="639">
        <f t="shared" si="9"/>
        <v>6707.3418624088454</v>
      </c>
      <c r="E36" s="639">
        <f t="shared" si="10"/>
        <v>5309.7113359190907</v>
      </c>
    </row>
    <row r="37" spans="1:16">
      <c r="A37">
        <f t="shared" si="11"/>
        <v>3</v>
      </c>
      <c r="B37" s="642">
        <f t="shared" si="12"/>
        <v>65293.887215752962</v>
      </c>
      <c r="C37" s="639">
        <f t="shared" si="13"/>
        <v>12017.053198327936</v>
      </c>
      <c r="D37" s="639">
        <f t="shared" si="9"/>
        <v>6202.9192854965313</v>
      </c>
      <c r="E37" s="639">
        <f t="shared" si="10"/>
        <v>5814.1339128314048</v>
      </c>
    </row>
    <row r="38" spans="1:16">
      <c r="A38">
        <f t="shared" si="11"/>
        <v>4</v>
      </c>
      <c r="B38" s="642">
        <f t="shared" si="12"/>
        <v>59479.753302921556</v>
      </c>
      <c r="C38" s="639">
        <f t="shared" si="13"/>
        <v>12017.053198327936</v>
      </c>
      <c r="D38" s="639">
        <f t="shared" si="9"/>
        <v>5650.5765637775476</v>
      </c>
      <c r="E38" s="639">
        <f t="shared" si="10"/>
        <v>6366.4766345503886</v>
      </c>
    </row>
    <row r="39" spans="1:16">
      <c r="A39">
        <f t="shared" si="11"/>
        <v>5</v>
      </c>
      <c r="B39" s="642">
        <f t="shared" si="12"/>
        <v>53113.276668371167</v>
      </c>
      <c r="C39" s="639">
        <f t="shared" si="13"/>
        <v>12017.053198327936</v>
      </c>
      <c r="D39" s="639">
        <f t="shared" si="9"/>
        <v>5045.7612834952606</v>
      </c>
      <c r="E39" s="639">
        <f t="shared" si="10"/>
        <v>6971.2919148326755</v>
      </c>
    </row>
    <row r="40" spans="1:16">
      <c r="A40">
        <f t="shared" si="11"/>
        <v>6</v>
      </c>
      <c r="B40" s="642">
        <f t="shared" si="12"/>
        <v>46141.984753538491</v>
      </c>
      <c r="C40" s="639">
        <f t="shared" si="13"/>
        <v>12017.053198327936</v>
      </c>
      <c r="D40" s="639">
        <f t="shared" si="9"/>
        <v>4383.488551586157</v>
      </c>
      <c r="E40" s="639">
        <f t="shared" si="10"/>
        <v>7633.5646467417791</v>
      </c>
    </row>
    <row r="41" spans="1:16">
      <c r="A41">
        <f t="shared" si="11"/>
        <v>7</v>
      </c>
      <c r="B41" s="642">
        <f t="shared" si="12"/>
        <v>38508.420106796708</v>
      </c>
      <c r="C41" s="639">
        <f t="shared" si="13"/>
        <v>12017.053198327936</v>
      </c>
      <c r="D41" s="639">
        <f t="shared" si="9"/>
        <v>3658.2999101456871</v>
      </c>
      <c r="E41" s="639">
        <f t="shared" si="10"/>
        <v>8358.7532881822481</v>
      </c>
    </row>
    <row r="42" spans="1:16">
      <c r="A42">
        <f t="shared" si="11"/>
        <v>8</v>
      </c>
      <c r="B42" s="642">
        <f t="shared" si="12"/>
        <v>30149.66681861446</v>
      </c>
      <c r="C42" s="639">
        <f t="shared" si="13"/>
        <v>12017.053198327936</v>
      </c>
      <c r="D42" s="639">
        <f t="shared" si="9"/>
        <v>2864.2183477683739</v>
      </c>
      <c r="E42" s="639">
        <f t="shared" si="10"/>
        <v>9152.8348505595623</v>
      </c>
    </row>
    <row r="43" spans="1:16">
      <c r="A43">
        <f t="shared" si="11"/>
        <v>9</v>
      </c>
      <c r="B43" s="642">
        <f t="shared" si="12"/>
        <v>20996.831968054896</v>
      </c>
      <c r="C43" s="639">
        <f t="shared" si="13"/>
        <v>12017.053198327936</v>
      </c>
      <c r="D43" s="639">
        <f t="shared" si="9"/>
        <v>1994.6990369652151</v>
      </c>
      <c r="E43" s="639">
        <f t="shared" si="10"/>
        <v>10022.35416136272</v>
      </c>
    </row>
    <row r="44" spans="1:16">
      <c r="A44">
        <f t="shared" si="11"/>
        <v>10</v>
      </c>
      <c r="B44" s="642">
        <f t="shared" si="12"/>
        <v>10974.477806692175</v>
      </c>
      <c r="C44" s="639">
        <f t="shared" si="13"/>
        <v>12017.053198327936</v>
      </c>
      <c r="D44" s="639">
        <f t="shared" si="9"/>
        <v>1042.5753916357567</v>
      </c>
      <c r="E44" s="639">
        <f t="shared" si="10"/>
        <v>10974.477806692179</v>
      </c>
    </row>
    <row r="45" spans="1:16">
      <c r="B45" s="642"/>
      <c r="C45" s="639"/>
      <c r="D45" s="639"/>
      <c r="E45" s="639"/>
    </row>
    <row r="46" spans="1:16" ht="13.8" thickBot="1">
      <c r="B46" s="642"/>
      <c r="C46" s="639"/>
      <c r="D46" s="639"/>
      <c r="E46" s="639"/>
    </row>
    <row r="47" spans="1:16">
      <c r="B47" s="642"/>
      <c r="C47" s="639"/>
      <c r="D47" s="639"/>
      <c r="E47" s="639"/>
      <c r="G47" s="644"/>
      <c r="H47" s="411"/>
      <c r="I47" s="411"/>
      <c r="J47" s="411"/>
      <c r="K47" s="411"/>
      <c r="L47" s="411"/>
      <c r="M47" s="411"/>
      <c r="N47" s="411"/>
      <c r="O47" s="411"/>
      <c r="P47" s="645"/>
    </row>
    <row r="48" spans="1:16">
      <c r="B48" s="642"/>
      <c r="C48" s="639"/>
      <c r="D48" s="639"/>
      <c r="E48" s="639"/>
      <c r="G48" s="521"/>
      <c r="H48" s="179"/>
      <c r="I48" s="179"/>
      <c r="J48" s="646" t="s">
        <v>643</v>
      </c>
      <c r="K48" s="646"/>
      <c r="L48" s="646"/>
      <c r="M48" s="646" t="s">
        <v>635</v>
      </c>
      <c r="N48" s="179"/>
      <c r="O48" s="179"/>
      <c r="P48" s="329"/>
    </row>
    <row r="49" spans="2:16">
      <c r="B49" s="642"/>
      <c r="C49" s="639"/>
      <c r="D49" s="639"/>
      <c r="E49" s="639"/>
      <c r="G49" s="521"/>
      <c r="H49" s="179"/>
      <c r="I49" s="179"/>
      <c r="J49" s="179"/>
      <c r="K49" s="179"/>
      <c r="L49" s="179"/>
      <c r="M49" s="179"/>
      <c r="N49" s="179"/>
      <c r="O49" s="179"/>
      <c r="P49" s="329"/>
    </row>
    <row r="50" spans="2:16">
      <c r="B50" s="642"/>
      <c r="C50" s="639"/>
      <c r="D50" s="639"/>
      <c r="E50" s="639"/>
      <c r="G50" s="647"/>
      <c r="H50" s="179" t="s">
        <v>644</v>
      </c>
      <c r="I50" s="179"/>
      <c r="J50" s="648">
        <v>120000</v>
      </c>
      <c r="K50" s="648"/>
      <c r="L50" s="648"/>
      <c r="M50" s="648">
        <v>120000</v>
      </c>
      <c r="N50" s="179"/>
      <c r="O50" s="179"/>
      <c r="P50" s="329"/>
    </row>
    <row r="51" spans="2:16">
      <c r="B51" s="642"/>
      <c r="C51" s="639"/>
      <c r="D51" s="639"/>
      <c r="E51" s="639"/>
      <c r="G51" s="647"/>
      <c r="H51" s="179" t="s">
        <v>315</v>
      </c>
      <c r="I51" s="649">
        <v>0.65</v>
      </c>
      <c r="J51" s="648">
        <f>+I51*J50</f>
        <v>78000</v>
      </c>
      <c r="K51" s="648"/>
      <c r="L51" s="650">
        <v>1</v>
      </c>
      <c r="M51" s="648">
        <f>+M50*L51</f>
        <v>120000</v>
      </c>
      <c r="N51" s="179"/>
      <c r="O51" s="179"/>
      <c r="P51" s="329"/>
    </row>
    <row r="52" spans="2:16">
      <c r="B52" s="642"/>
      <c r="C52" s="639"/>
      <c r="D52" s="639"/>
      <c r="E52" s="639"/>
      <c r="G52" s="647"/>
      <c r="H52" s="651" t="s">
        <v>641</v>
      </c>
      <c r="I52" s="179"/>
      <c r="J52" s="648">
        <f>+J50-J51</f>
        <v>42000</v>
      </c>
      <c r="K52" s="648"/>
      <c r="L52" s="652"/>
      <c r="M52" s="648">
        <f>+M50-M51</f>
        <v>0</v>
      </c>
      <c r="N52" s="179"/>
      <c r="O52" s="179"/>
      <c r="P52" s="329"/>
    </row>
    <row r="53" spans="2:16">
      <c r="B53" s="642"/>
      <c r="C53" s="639"/>
      <c r="D53" s="639"/>
      <c r="E53" s="639"/>
      <c r="G53" s="521"/>
      <c r="H53" s="179" t="s">
        <v>645</v>
      </c>
      <c r="I53" s="649">
        <v>0</v>
      </c>
      <c r="J53" s="648">
        <v>0</v>
      </c>
      <c r="K53" s="648"/>
      <c r="L53" s="650">
        <v>0.2</v>
      </c>
      <c r="M53" s="648">
        <f>+L53*M50</f>
        <v>24000</v>
      </c>
      <c r="N53" s="179"/>
      <c r="O53" s="179"/>
      <c r="P53" s="329"/>
    </row>
    <row r="54" spans="2:16">
      <c r="B54" s="642"/>
      <c r="C54" s="639"/>
      <c r="D54" s="639"/>
      <c r="E54" s="639"/>
      <c r="G54" s="521"/>
      <c r="H54" s="179" t="s">
        <v>646</v>
      </c>
      <c r="I54" s="179"/>
      <c r="J54" s="648">
        <f>+G21+D8</f>
        <v>94103.428224345058</v>
      </c>
      <c r="K54" s="648"/>
      <c r="L54" s="652"/>
      <c r="M54" s="648">
        <f>+L20</f>
        <v>116081</v>
      </c>
      <c r="N54" s="179"/>
      <c r="O54" s="179"/>
      <c r="P54" s="329"/>
    </row>
    <row r="55" spans="2:16">
      <c r="B55" s="642"/>
      <c r="G55" s="521"/>
      <c r="H55" s="179"/>
      <c r="I55" s="179"/>
      <c r="J55" s="179"/>
      <c r="K55" s="179"/>
      <c r="L55" s="653"/>
      <c r="M55" s="179"/>
      <c r="N55" s="179"/>
      <c r="O55" s="179"/>
      <c r="P55" s="329"/>
    </row>
    <row r="56" spans="2:16">
      <c r="G56" s="521"/>
      <c r="H56" s="179"/>
      <c r="I56" s="179"/>
      <c r="J56" s="179"/>
      <c r="K56" s="179"/>
      <c r="L56" s="653"/>
      <c r="M56" s="179"/>
      <c r="N56" s="654" t="s">
        <v>647</v>
      </c>
      <c r="O56" s="421" t="s">
        <v>648</v>
      </c>
      <c r="P56" s="329"/>
    </row>
    <row r="57" spans="2:16">
      <c r="G57" s="521"/>
      <c r="H57" s="653" t="s">
        <v>649</v>
      </c>
      <c r="I57" s="649"/>
      <c r="J57" s="648">
        <f>+H16</f>
        <v>10803.892486473009</v>
      </c>
      <c r="K57" s="179"/>
      <c r="L57" s="653"/>
      <c r="M57" s="648">
        <f>+M16</f>
        <v>8706.0749999999989</v>
      </c>
      <c r="N57" s="648">
        <f>+M57-J57</f>
        <v>-2097.8174864730099</v>
      </c>
      <c r="O57" s="655">
        <f>+((N57*1000)/(230000))/12</f>
        <v>-0.76007879944674273</v>
      </c>
      <c r="P57" s="329"/>
    </row>
    <row r="58" spans="2:16">
      <c r="G58" s="521"/>
      <c r="H58" s="653" t="s">
        <v>650</v>
      </c>
      <c r="I58" s="656">
        <v>0.15</v>
      </c>
      <c r="J58" s="648">
        <f>+D8*I58</f>
        <v>6094.2524999999996</v>
      </c>
      <c r="K58" s="179"/>
      <c r="L58" s="657">
        <v>0.15</v>
      </c>
      <c r="M58" s="648">
        <f>+L58*M52</f>
        <v>0</v>
      </c>
      <c r="N58" s="648">
        <f>+M58-J58</f>
        <v>-6094.2524999999996</v>
      </c>
      <c r="O58" s="655">
        <f>+((N58*1000)/(230000))/12</f>
        <v>-2.2080625</v>
      </c>
      <c r="P58" s="329"/>
    </row>
    <row r="59" spans="2:16">
      <c r="G59" s="521"/>
      <c r="H59" s="653" t="s">
        <v>651</v>
      </c>
      <c r="I59" s="656">
        <v>0.03</v>
      </c>
      <c r="J59" s="648">
        <f>+J53*I59</f>
        <v>0</v>
      </c>
      <c r="K59" s="179"/>
      <c r="L59" s="657">
        <v>0.03</v>
      </c>
      <c r="M59" s="648">
        <f>+L59*M53</f>
        <v>720</v>
      </c>
      <c r="N59" s="648">
        <f>+M59-J59</f>
        <v>720</v>
      </c>
      <c r="O59" s="655">
        <f>+((N59*1000)/(230000))/12</f>
        <v>0.2608695652173913</v>
      </c>
      <c r="P59" s="329"/>
    </row>
    <row r="60" spans="2:16">
      <c r="G60" s="521"/>
      <c r="H60" s="653" t="s">
        <v>652</v>
      </c>
      <c r="I60" s="656">
        <v>0.1</v>
      </c>
      <c r="J60" s="648">
        <f>-PMT(I60,5,,J54)</f>
        <v>15413.904477296846</v>
      </c>
      <c r="K60" s="179"/>
      <c r="L60" s="657">
        <f>+I60</f>
        <v>0.1</v>
      </c>
      <c r="M60" s="648">
        <f>-PMT(L60,5,,M54)</f>
        <v>19013.775368134822</v>
      </c>
      <c r="N60" s="648">
        <f>+M60-J60</f>
        <v>3599.8708908379758</v>
      </c>
      <c r="O60" s="655">
        <f>+((N60*1000)/(230000))/12</f>
        <v>1.3043010474050638</v>
      </c>
      <c r="P60" s="329"/>
    </row>
    <row r="61" spans="2:16">
      <c r="G61" s="521"/>
      <c r="H61" s="179"/>
      <c r="I61" s="658"/>
      <c r="J61" s="179"/>
      <c r="K61" s="179"/>
      <c r="L61" s="653"/>
      <c r="M61" s="648"/>
      <c r="N61" s="179"/>
      <c r="O61" s="179"/>
      <c r="P61" s="329"/>
    </row>
    <row r="62" spans="2:16">
      <c r="G62" s="521"/>
      <c r="H62" s="421" t="s">
        <v>653</v>
      </c>
      <c r="I62" s="179"/>
      <c r="J62" s="179"/>
      <c r="K62" s="179"/>
      <c r="L62" s="653"/>
      <c r="M62" s="648"/>
      <c r="N62" s="179"/>
      <c r="O62" s="659">
        <f>SUM(O57:O61)</f>
        <v>-1.4029706868242877</v>
      </c>
      <c r="P62" s="329"/>
    </row>
    <row r="63" spans="2:16">
      <c r="G63" s="521"/>
      <c r="H63" s="179"/>
      <c r="I63" s="179"/>
      <c r="J63" s="179"/>
      <c r="K63" s="179"/>
      <c r="L63" s="179"/>
      <c r="M63" s="648"/>
      <c r="N63" s="179"/>
      <c r="O63" s="659"/>
      <c r="P63" s="329"/>
    </row>
    <row r="64" spans="2:16" ht="13.8" thickBot="1">
      <c r="G64" s="660"/>
      <c r="H64" s="416"/>
      <c r="I64" s="416"/>
      <c r="J64" s="416"/>
      <c r="K64" s="416"/>
      <c r="L64" s="416"/>
      <c r="M64" s="661"/>
      <c r="N64" s="416"/>
      <c r="O64" s="416"/>
      <c r="P64" s="662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ColWidth="9.109375" defaultRowHeight="13.2"/>
  <cols>
    <col min="1" max="1" width="5" style="541" customWidth="1"/>
    <col min="2" max="2" width="44.88671875" style="541" customWidth="1"/>
    <col min="3" max="3" width="9.109375" style="541"/>
    <col min="4" max="4" width="9.5546875" style="541" customWidth="1"/>
    <col min="5" max="5" width="9.109375" style="541"/>
    <col min="6" max="6" width="4.33203125" style="541" customWidth="1"/>
    <col min="7" max="9" width="9.109375" style="541"/>
    <col min="10" max="10" width="4.33203125" style="541" customWidth="1"/>
    <col min="11" max="16384" width="9.10937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4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5.6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5.6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5.6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ColWidth="9.109375" defaultRowHeight="13.2"/>
  <cols>
    <col min="1" max="1" width="58.88671875" style="541" customWidth="1"/>
    <col min="2" max="2" width="19.88671875" style="541" customWidth="1"/>
    <col min="3" max="3" width="23.6640625" style="541" customWidth="1"/>
    <col min="4" max="4" width="24.33203125" style="541" customWidth="1"/>
    <col min="5" max="16384" width="9.10937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5.6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5.6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5.6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5.6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5.6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5.6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0.199999999999999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21" zoomScale="75" zoomScaleNormal="75" workbookViewId="0">
      <selection activeCell="B49" sqref="B4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8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97" t="s">
        <v>322</v>
      </c>
      <c r="C61" s="698"/>
      <c r="D61" s="698"/>
      <c r="E61" s="69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7.399999999999999">
      <c r="A38" s="61" t="s">
        <v>224</v>
      </c>
      <c r="B38" s="283"/>
      <c r="F38"/>
      <c r="G38"/>
      <c r="H38"/>
      <c r="I38"/>
      <c r="J38"/>
      <c r="K38"/>
      <c r="L38"/>
    </row>
    <row r="39" spans="1:13" ht="13.8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8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8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8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8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8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8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8" thickBot="1">
      <c r="A58" s="172" t="s">
        <v>225</v>
      </c>
      <c r="B58" s="42"/>
      <c r="C58" s="42"/>
      <c r="D58" s="286">
        <v>20.833333333333314</v>
      </c>
      <c r="E58" s="66"/>
    </row>
    <row r="59" spans="1:13" ht="13.8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70" t="s">
        <v>120</v>
      </c>
    </row>
    <row r="6" spans="1:4" ht="13.8" thickBot="1"/>
    <row r="7" spans="1:4" ht="13.8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8" thickBot="1">
      <c r="A9" s="481" t="s">
        <v>119</v>
      </c>
      <c r="B9" s="482">
        <f>'Returns Analysis'!C39</f>
        <v>0.11534275412559511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8" thickBot="1"/>
    <row r="12" spans="1:4">
      <c r="A12" s="486" t="s">
        <v>370</v>
      </c>
      <c r="B12" s="487">
        <f>B9</f>
        <v>0.11534275412559511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4" zoomScale="75" zoomScaleNormal="75" workbookViewId="0">
      <selection activeCell="C11" sqref="C11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29" width="14.109375" style="12" customWidth="1"/>
    <col min="30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  <c r="AC8" s="664" t="s">
        <v>655</v>
      </c>
      <c r="AD8" s="664" t="s">
        <v>659</v>
      </c>
    </row>
    <row r="9" spans="1:38" ht="15.6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  <c r="AC9" s="667" t="s">
        <v>656</v>
      </c>
      <c r="AD9" s="667" t="s">
        <v>660</v>
      </c>
    </row>
    <row r="10" spans="1:38" ht="15.6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  <c r="AC10" s="668" t="s">
        <v>657</v>
      </c>
      <c r="AD10" s="668" t="s">
        <v>655</v>
      </c>
    </row>
    <row r="11" spans="1:38" ht="15.6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  <c r="AC11" s="668" t="s">
        <v>621</v>
      </c>
      <c r="AD11" s="665"/>
    </row>
    <row r="12" spans="1:38" ht="15.6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  <c r="AC12" s="666"/>
      <c r="AD12" s="666"/>
    </row>
    <row r="13" spans="1:38" ht="15.6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  <c r="AC13" s="667">
        <v>3</v>
      </c>
      <c r="AD13" s="667">
        <v>1</v>
      </c>
    </row>
    <row r="14" spans="1:38" ht="15.6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  <c r="AC14" s="328" t="str">
        <f>CHOOSE(AC13,AC9,AC10,AC11,AC12)</f>
        <v>Lease</v>
      </c>
      <c r="AD14" s="328">
        <v>1</v>
      </c>
    </row>
    <row r="15" spans="1:38" ht="15.6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6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6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6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6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6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6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6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6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6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2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2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6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3"/>
      <c r="J28" s="40"/>
      <c r="L28" s="118" t="s">
        <v>88</v>
      </c>
      <c r="M28" s="13"/>
      <c r="N28" s="161"/>
      <c r="O28" s="224"/>
      <c r="P28" s="40"/>
      <c r="R28" s="3"/>
    </row>
    <row r="29" spans="1:23" ht="15.6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654" t="s">
        <v>666</v>
      </c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6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6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6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646" t="s">
        <v>654</v>
      </c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2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2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J34" s="329"/>
      <c r="N34" s="200"/>
      <c r="R34" s="3"/>
    </row>
    <row r="35" spans="1:18" ht="15.6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6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6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6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6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6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6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6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6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6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6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2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36678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2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2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2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6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6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6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6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6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2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6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6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6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6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8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2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2" thickBot="1">
      <c r="A63" s="94" t="s">
        <v>32</v>
      </c>
      <c r="B63" s="119"/>
      <c r="C63" s="203"/>
      <c r="D63" s="120"/>
      <c r="E63" s="13"/>
    </row>
    <row r="64" spans="1:16" ht="15.6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6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6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6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6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6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6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6">
      <c r="A71" s="101" t="s">
        <v>435</v>
      </c>
      <c r="B71" s="97"/>
      <c r="C71" s="146">
        <f>'Returns Analysis'!C39</f>
        <v>0.11534275412559511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2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0.12024084925651551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6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0.12208576798439025</v>
      </c>
      <c r="D73" s="538">
        <v>0.12</v>
      </c>
    </row>
    <row r="74" spans="1:10" ht="15.6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0.12776338458061215</v>
      </c>
      <c r="D74" s="102"/>
      <c r="E74" s="97"/>
    </row>
    <row r="75" spans="1:10" ht="15.6">
      <c r="A75" s="41"/>
      <c r="B75" s="13"/>
      <c r="C75" s="13"/>
      <c r="D75" s="40"/>
      <c r="E75" s="97"/>
    </row>
    <row r="76" spans="1:10" ht="15.6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6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6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6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2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9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9"/>
    </row>
    <row r="119" spans="9:9" ht="15.6">
      <c r="I119" s="159"/>
    </row>
    <row r="120" spans="9:9" ht="15.6">
      <c r="I120" s="159"/>
    </row>
    <row r="121" spans="9:9" ht="15.6">
      <c r="I121" s="159"/>
    </row>
    <row r="122" spans="9:9" ht="15.6">
      <c r="I122" s="159"/>
    </row>
    <row r="123" spans="9:9" ht="15.6">
      <c r="I123" s="159"/>
    </row>
    <row r="124" spans="9:9" ht="15.6">
      <c r="I124" s="159"/>
    </row>
    <row r="125" spans="9:9" ht="15.6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4"/>
    </row>
    <row r="151" spans="10:10" ht="15.6">
      <c r="J151" s="156"/>
    </row>
    <row r="152" spans="10:10" ht="15.6">
      <c r="J152" s="157"/>
    </row>
    <row r="153" spans="10:10" ht="15.6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198120</xdr:rowOff>
                  </from>
                  <to>
                    <xdr:col>9</xdr:col>
                    <xdr:colOff>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1249680</xdr:colOff>
                    <xdr:row>29</xdr:row>
                    <xdr:rowOff>0</xdr:rowOff>
                  </from>
                  <to>
                    <xdr:col>8</xdr:col>
                    <xdr:colOff>1219200</xdr:colOff>
                    <xdr:row>30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2" sqref="C32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ColWidth="9.109375" defaultRowHeight="13.2" outlineLevelCol="1"/>
  <cols>
    <col min="1" max="1" width="4.6640625" style="541" customWidth="1"/>
    <col min="2" max="2" width="41.44140625" style="541" customWidth="1"/>
    <col min="3" max="3" width="18.5546875" style="541" customWidth="1"/>
    <col min="4" max="4" width="11.88671875" style="541" customWidth="1"/>
    <col min="5" max="5" width="13.44140625" style="541" customWidth="1"/>
    <col min="6" max="6" width="12.109375" style="541" hidden="1" customWidth="1" outlineLevel="1"/>
    <col min="7" max="7" width="9.109375" style="541" hidden="1" customWidth="1" outlineLevel="1"/>
    <col min="8" max="8" width="13.6640625" style="541" customWidth="1" collapsed="1"/>
    <col min="9" max="11" width="9.109375" style="541"/>
    <col min="12" max="12" width="13.109375" style="541" customWidth="1"/>
    <col min="13" max="16384" width="9.10937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546875" defaultRowHeight="13.2"/>
  <cols>
    <col min="1" max="1" width="39.6640625" customWidth="1"/>
    <col min="3" max="3" width="16.109375" customWidth="1"/>
    <col min="8" max="8" width="17.332031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zoomScale="75" zoomScaleNormal="75" workbookViewId="0">
      <selection activeCell="B36" sqref="B36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0.11534275412559511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0.12024084925651551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0.12208576798439025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0.12776338458061215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0" sqref="D30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2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2000-04-13T21:53:12Z</cp:lastPrinted>
  <dcterms:created xsi:type="dcterms:W3CDTF">1999-04-02T01:38:38Z</dcterms:created>
  <dcterms:modified xsi:type="dcterms:W3CDTF">2023-09-10T11:56:10Z</dcterms:modified>
</cp:coreProperties>
</file>