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8832" windowHeight="4680" tabRatio="892" firstSheet="3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OandM!$C$9:$V$40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Value'!$A$1:$X$29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OandM!$A$1:$V$37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I44" i="31"/>
  <c r="K44" i="31"/>
  <c r="M44" i="31"/>
  <c r="O44" i="31"/>
  <c r="Q44" i="31"/>
  <c r="S44" i="31"/>
  <c r="U44" i="31"/>
  <c r="E45" i="31"/>
  <c r="F45" i="31"/>
  <c r="G45" i="31"/>
  <c r="H45" i="31"/>
  <c r="I45" i="31"/>
  <c r="J45" i="31"/>
  <c r="K45" i="31"/>
  <c r="L45" i="31"/>
  <c r="M45" i="31"/>
  <c r="N45" i="31"/>
  <c r="O45" i="31"/>
  <c r="R45" i="31"/>
  <c r="S45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B3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C5" i="25"/>
  <c r="D5" i="25"/>
  <c r="C6" i="25"/>
  <c r="D6" i="25"/>
  <c r="C7" i="25"/>
  <c r="D7" i="25"/>
  <c r="E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<sst xmlns="http://schemas.openxmlformats.org/spreadsheetml/2006/main" count="917" uniqueCount="482">
  <si>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</si>
  <si>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</si>
  <si>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</si>
  <si>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</si>
  <si>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</si>
  <si>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</si>
  <si>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</si>
  <si>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</si>
  <si>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</si>
  <si>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</si>
  <si>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</si>
  <si>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</si>
  <si>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</si>
  <si>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</si>
  <si>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</si>
  <si>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</si>
  <si>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</si>
  <si>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</si>
  <si>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</si>
  <si>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</si>
  <si>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</si>
  <si>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</si>
  <si>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</si>
  <si>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</si>
  <si>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</si>
  <si>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</si>
  <si>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</si>
  <si>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</si>
  <si>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</si>
  <si>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</si>
  <si>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</si>
  <si>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</si>
  <si>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</si>
  <si>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</si>
  <si>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</si>
  <si>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</si>
  <si>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</si>
  <si>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</si>
  <si>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</si>
  <si>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</si>
  <si>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</si>
  <si>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</si>
  <si>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</si>
  <si>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</si>
  <si>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</si>
  <si>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</si>
  <si>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</si>
  <si>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</si>
  <si>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</si>
  <si>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</si>
  <si>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</si>
  <si>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</si>
  <si>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</si>
  <si>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</si>
  <si>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</si>
  <si>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</si>
  <si>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</si>
  <si>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</si>
  <si>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</si>
  <si>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</si>
  <si>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</si>
  <si>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</si>
  <si>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</si>
  <si>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</si>
  <si>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</si>
  <si>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</si>
  <si>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</si>
  <si>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</si>
  <si>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</si>
  <si>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</si>
  <si>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</si>
  <si>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</si>
  <si>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</si>
  <si>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</si>
  <si>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</si>
  <si>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</si>
  <si>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</si>
  <si>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</si>
  <si>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</si>
  <si>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</si>
  <si>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</si>
  <si>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</si>
  <si>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</si>
  <si>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</si>
  <si>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</si>
  <si>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</si>
  <si>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</si>
  <si>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</si>
  <si>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</si>
  <si>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</si>
  <si>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</si>
  <si>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</si>
  <si>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</si>
  <si>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</si>
  <si>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</si>
  <si>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</si>
  <si>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</si>
  <si>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</si>
  <si>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</si>
  <si>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</si>
  <si>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</si>
  <si>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</si>
  <si>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</si>
  <si>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</si>
  <si>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</si>
  <si>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</si>
  <si>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</si>
  <si>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</si>
  <si>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</si>
  <si>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</si>
  <si>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</si>
  <si>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</si>
  <si>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</si>
  <si>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</si>
  <si>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</si>
  <si>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</si>
  <si>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</si>
  <si>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</si>
  <si>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</si>
  <si>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</si>
  <si>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</si>
  <si>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</si>
  <si>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</si>
  <si>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</si>
  <si>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</si>
  <si>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</si>
  <si>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</si>
  <si>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</si>
  <si>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</si>
  <si>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</si>
  <si>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</si>
  <si>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</si>
  <si>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</si>
  <si>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</si>
  <si>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</si>
  <si>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</si>
  <si>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</si>
  <si>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</si>
  <si>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</si>
  <si>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</si>
  <si>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</si>
  <si>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</si>
  <si>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</si>
  <si>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</si>
  <si>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</si>
  <si>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</si>
  <si>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</si>
  <si>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</si>
  <si>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</si>
  <si>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</si>
  <si>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</si>
  <si>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</si>
  <si>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</si>
  <si>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</si>
  <si>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</si>
  <si>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</si>
  <si>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</si>
  <si>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</si>
  <si>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</si>
  <si>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</si>
  <si>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</si>
  <si>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</si>
  <si>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</si>
  <si>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</si>
  <si>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</si>
  <si>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</si>
  <si>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</si>
  <si>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</si>
  <si>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</si>
  <si>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</si>
  <si>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</si>
  <si>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</si>
  <si>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</si>
  <si>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</si>
  <si>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</si>
  <si>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</si>
  <si>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</si>
  <si>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</si>
  <si>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</si>
  <si>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</si>
  <si>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</si>
  <si>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</si>
  <si>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</si>
  <si>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</si>
  <si>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</si>
  <si>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</si>
  <si>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</si>
  <si>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</si>
  <si>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</si>
  <si>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</si>
  <si>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</si>
  <si>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</si>
  <si>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</si>
  <si>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</si>
  <si>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</si>
  <si>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</si>
  <si>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</si>
  <si>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</si>
  <si>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</si>
  <si>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</si>
  <si>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</si>
  <si>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</si>
  <si>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</si>
  <si>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</si>
  <si>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</si>
  <si>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</si>
  <si>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</si>
  <si>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</si>
  <si>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</si>
  <si>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</si>
  <si>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</si>
  <si>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</si>
  <si>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</si>
  <si>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</si>
  <si>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</si>
  <si>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</si>
  <si>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</si>
  <si>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</si>
  <si>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</si>
  <si>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</si>
  <si>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</si>
  <si>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</si>
  <si>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</si>
  <si>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</si>
  <si>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</si>
  <si>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</si>
  <si>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</si>
  <si>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</si>
  <si>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</si>
  <si>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</si>
  <si>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</si>
  <si>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</si>
  <si>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</si>
  <si>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</si>
  <si>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</si>
  <si>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</si>
  <si>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</si>
  <si>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</si>
  <si>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</si>
  <si>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</si>
  <si>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</si>
  <si>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</si>
  <si>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</si>
  <si>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</si>
  <si>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</si>
  <si>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</si>
  <si>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</si>
  <si>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</si>
  <si>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</si>
  <si>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</si>
  <si>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</si>
  <si>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</si>
  <si>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</si>
  <si>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</si>
  <si>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</si>
  <si>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</si>
  <si>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</si>
  <si>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</si>
  <si>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</si>
  <si>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</si>
  <si>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</si>
  <si>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</si>
  <si>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</si>
  <si>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</si>
  <si>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</si>
  <si>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</si>
  <si>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</si>
  <si>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</si>
  <si>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</si>
  <si>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</si>
  <si>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</si>
  <si>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</si>
  <si>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</si>
  <si>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</si>
  <si>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</si>
  <si>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</si>
  <si>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</si>
  <si>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</si>
  <si>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</si>
  <si>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</si>
  <si>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</si>
  <si>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</si>
  <si>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</si>
  <si>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</si>
  <si>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</si>
  <si>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</si>
  <si>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</si>
  <si>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</si>
  <si>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</si>
  <si>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</si>
  <si>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</si>
  <si>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</si>
  <si>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</si>
  <si>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</si>
  <si>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</si>
  <si>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</si>
  <si>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</si>
  <si>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</si>
  <si>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</si>
  <si>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</si>
  <si>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</si>
  <si>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</si>
  <si>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</si>
  <si>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</si>
  <si>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</si>
  <si>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</si>
  <si>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</si>
  <si>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</si>
  <si>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</si>
  <si>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</si>
  <si>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</si>
  <si>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</si>
  <si>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</si>
  <si>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</si>
  <si>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</si>
  <si>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</si>
  <si>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</si>
  <si>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</si>
  <si>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</si>
  <si>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</si>
  <si>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</si>
  <si>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</si>
  <si>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</si>
  <si>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</si>
  <si>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</si>
  <si>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</si>
  <si>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</si>
  <si>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</si>
  <si>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</si>
  <si>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</si>
  <si>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</si>
  <si>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</si>
  <si>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</si>
  <si>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</si>
  <si>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</si>
  <si>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</si>
  <si>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</si>
  <si>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</si>
  <si>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</si>
  <si>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</si>
  <si>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</si>
  <si>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</si>
  <si>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</si>
  <si>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</si>
  <si>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</si>
  <si>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</si>
  <si>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</si>
  <si>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</si>
  <si>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</si>
  <si>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</si>
  <si>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</si>
  <si>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</si>
  <si>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</si>
  <si>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</si>
  <si>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</si>
  <si>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</si>
  <si>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</si>
  <si>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</si>
  <si>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</si>
  <si>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</si>
  <si>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</si>
  <si>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</si>
  <si>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</si>
  <si>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</si>
  <si>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</si>
  <si>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</si>
  <si>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</si>
  <si>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</si>
  <si>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</si>
  <si>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</si>
  <si>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</si>
  <si>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</si>
  <si>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</si>
  <si>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</si>
  <si>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</si>
  <si>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</si>
  <si>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</si>
  <si>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</si>
  <si>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</si>
  <si>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</si>
  <si>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</si>
  <si>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</si>
  <si>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</si>
  <si>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</si>
  <si>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</si>
  <si>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</si>
  <si>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</si>
  <si>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</si>
  <si>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</si>
  <si>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</si>
  <si>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</si>
  <si>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</si>
  <si>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</si>
  <si>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</si>
  <si>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</si>
  <si>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</si>
  <si>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</si>
  <si>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</si>
  <si>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</si>
  <si>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</si>
  <si>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</si>
  <si>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</si>
  <si>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</si>
  <si>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</si>
  <si>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</si>
  <si>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</si>
  <si>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</si>
  <si>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</si>
  <si>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</si>
  <si>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</si>
  <si>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</si>
  <si>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</si>
  <si>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</si>
  <si>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</si>
  <si>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</si>
  <si>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</si>
  <si>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</si>
  <si>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</si>
  <si>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</si>
  <si>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</si>
  <si>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</si>
  <si>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</si>
  <si>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</si>
  <si>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</si>
  <si>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</si>
  <si>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</si>
  <si>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</si>
  <si>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</si>
  <si>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</si>
  <si>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</si>
  <si>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</si>
  <si>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</si>
  <si>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</si>
  <si>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</si>
  <si>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</si>
  <si>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</si>
  <si>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</si>
  <si>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</si>
  <si>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</si>
  <si>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</si>
  <si>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</si>
  <si>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</si>
  <si>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</si>
  <si>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</si>
  <si>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</si>
  <si>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</si>
  <si>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</si>
  <si>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</si>
  <si>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</si>
  <si>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</si>
  <si>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</si>
  <si>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</si>
  <si>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</si>
  <si>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</si>
  <si>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</si>
  <si>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</si>
  <si>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</si>
  <si>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</si>
  <si>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</si>
  <si>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</si>
  <si>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</si>
  <si>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</si>
  <si>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</si>
  <si>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</si>
  <si>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</si>
  <si>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</si>
  <si>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</si>
  <si>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</si>
  <si>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</si>
  <si>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</si>
  <si>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</si>
  <si>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</si>
  <si>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</si>
  <si>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</si>
  <si>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</si>
  <si>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</si>
  <si>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</si>
  <si>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</si>
  <si>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</si>
  <si>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</si>
  <si>
    <t>Tot Op. EXPS w/o Mgmt &amp; Mkt. Fee</t>
  </si>
  <si>
    <t>Fixed O&amp;M (Yvan's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</si>
</sst>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6" formatCode="_(&quot;$&quot;* #,##0.0_);_(&quot;$&quot;* \(#,##0.0\);_(&quot;$&quot;* &quot;-&quot;??_);_(@_)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9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  <xf numFmtId="0" fontId="22" fillId="0" borderId="0" xfId="10" applyNumberFormat="1" applyFont="1" applyAlignment="1" applyProtection="1">
      <protection locked="0"/>
    </xf>
    <xf numFmtId="170" fontId="22" fillId="0" borderId="0" xfId="10" applyNumberFormat="1" applyFont="1" applyAlignment="1" applyProtection="1">
      <protection locked="0"/>
    </xf>
    <xf numFmtId="186" fontId="29" fillId="0" borderId="0" xfId="2" applyNumberFormat="1" applyFont="1"/>
    <xf numFmtId="186" fontId="29" fillId="0" borderId="0" xfId="0" applyNumberFormat="1" applyFont="1"/>
    <xf numFmtId="170" fontId="3" fillId="5" borderId="0" xfId="10" applyFont="1" applyFill="1" applyAlignment="1"/>
    <xf numFmtId="166" fontId="22" fillId="0" borderId="0" xfId="10" applyNumberFormat="1" applyFont="1" applyAlignment="1" applyProtection="1">
      <protection locked="0"/>
    </xf>
    <xf numFmtId="170" fontId="3" fillId="0" borderId="0" xfId="10" applyFont="1" applyFill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6943620178041542"/>
          <c:y val="3.95480907859858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62314540059348"/>
          <c:y val="0.22033936295049283"/>
          <c:w val="0.59347181008902083"/>
          <c:h val="0.519774907472957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2-45A3-A77C-173FAAFE107D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2-45A3-A77C-173FAAFE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6720"/>
        <c:axId val="1"/>
      </c:lineChart>
      <c:catAx>
        <c:axId val="1928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169139465875369"/>
              <c:y val="0.86158340640897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189910979228489E-2"/>
              <c:y val="0.2203393629504928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82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38278931750749"/>
          <c:y val="0.40678036237014054"/>
          <c:w val="0.20178041543026706"/>
          <c:h val="0.149717772261232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05296511492869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7396964445725"/>
          <c:y val="0.23463791159274164"/>
          <c:w val="0.63376307127078801"/>
          <c:h val="0.46368920624279891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8-4ACC-A84A-B129D0033BDC}"/>
            </c:ext>
          </c:extLst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8-4ACC-A84A-B129D0033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67656"/>
        <c:axId val="1"/>
      </c:lineChart>
      <c:catAx>
        <c:axId val="19306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340519887262114"/>
              <c:y val="0.8519590837593594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181711860372399E-2"/>
              <c:y val="0.2122914438220043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067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03505429339474"/>
          <c:y val="0.4022364198732713"/>
          <c:w val="0.16165965474853058"/>
          <c:h val="0.13128549815308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76200</xdr:rowOff>
    </xdr:from>
    <xdr:to>
      <xdr:col>18</xdr:col>
      <xdr:colOff>289560</xdr:colOff>
      <xdr:row>23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29</xdr:row>
      <xdr:rowOff>160020</xdr:rowOff>
    </xdr:from>
    <xdr:to>
      <xdr:col>18</xdr:col>
      <xdr:colOff>495300</xdr:colOff>
      <xdr:row>46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B21" zoomScale="75" zoomScaleNormal="75" workbookViewId="0">
      <selection activeCell="H31" sqref="H31"/>
    </sheetView>
  </sheetViews>
  <sheetFormatPr defaultColWidth="12.81640625" defaultRowHeight="15"/>
  <cols>
    <col min="1" max="1" width="21.81640625" style="8" customWidth="1"/>
    <col min="2" max="2" width="8.1796875" style="8" customWidth="1"/>
    <col min="3" max="3" width="10.1796875" style="8" customWidth="1"/>
    <col min="4" max="4" width="14.1796875" style="8" customWidth="1"/>
    <col min="5" max="5" width="2.81640625" style="8" customWidth="1"/>
    <col min="6" max="6" width="18.81640625" style="8" customWidth="1"/>
    <col min="7" max="8" width="9.81640625" style="8" customWidth="1"/>
    <col min="9" max="9" width="10.81640625" style="8" customWidth="1"/>
    <col min="10" max="10" width="2.81640625" style="8" customWidth="1"/>
    <col min="11" max="11" width="20.81640625" style="8" customWidth="1"/>
    <col min="12" max="12" width="13.81640625" style="8" customWidth="1"/>
    <col min="13" max="13" width="10.81640625" style="8" customWidth="1"/>
    <col min="14" max="14" width="8.81640625" style="8" customWidth="1"/>
    <col min="15" max="15" width="2.81640625" style="8" customWidth="1"/>
    <col min="16" max="16" width="19.81640625" style="8" customWidth="1"/>
    <col min="17" max="17" width="9.453125" style="8" customWidth="1"/>
    <col min="18" max="18" width="10.1796875" style="8" customWidth="1"/>
    <col min="19" max="19" width="16.08984375" style="8" customWidth="1"/>
    <col min="20" max="20" width="6.1796875" style="8" customWidth="1"/>
    <col min="21" max="226" width="12.81640625" style="8" customWidth="1"/>
    <col min="227" max="16384" width="12.81640625" style="8"/>
  </cols>
  <sheetData>
    <row r="1" spans="1:214" ht="22.2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6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2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2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2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2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6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6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6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6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6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6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2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6.8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2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6.2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6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6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6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6.2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6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2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6.8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6.8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6.8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6.8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6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2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6.8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6.8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2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6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6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2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2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6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2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OandM!C39*100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6.8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2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6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6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6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6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2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6.8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6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6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6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2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2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6">
      <c r="A52" s="701"/>
      <c r="B52" s="707"/>
      <c r="C52" s="707"/>
      <c r="D52" s="707"/>
      <c r="E52" s="702"/>
      <c r="J52" s="6"/>
      <c r="O52"/>
    </row>
    <row r="53" spans="1:17" ht="15.6">
      <c r="A53" s="642"/>
      <c r="B53" s="642"/>
      <c r="C53" s="642"/>
      <c r="D53" s="642"/>
      <c r="E53" s="6"/>
      <c r="O53"/>
    </row>
    <row r="54" spans="1:17" ht="15.6">
      <c r="A54" s="703"/>
      <c r="B54" s="703"/>
      <c r="C54" s="703"/>
      <c r="D54" s="704"/>
      <c r="E54" s="702"/>
      <c r="O54"/>
      <c r="P54"/>
      <c r="Q54"/>
    </row>
    <row r="55" spans="1:17" ht="15.6">
      <c r="A55" s="705"/>
      <c r="B55" s="704"/>
      <c r="C55" s="704"/>
      <c r="D55" s="704"/>
      <c r="E55" s="702"/>
      <c r="O55"/>
      <c r="P55"/>
      <c r="Q55"/>
    </row>
    <row r="56" spans="1:17" ht="15.6">
      <c r="A56" s="705"/>
      <c r="B56" s="706"/>
      <c r="C56" s="706"/>
      <c r="D56" s="706"/>
      <c r="E56" s="702"/>
      <c r="O56"/>
      <c r="P56"/>
      <c r="Q56"/>
    </row>
    <row r="57" spans="1:17" ht="15.6">
      <c r="A57" s="705"/>
      <c r="B57" s="706"/>
      <c r="C57" s="706"/>
      <c r="D57" s="706"/>
      <c r="E57" s="701"/>
      <c r="O57"/>
      <c r="P57"/>
      <c r="Q57"/>
    </row>
    <row r="58" spans="1:17" ht="15.6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6">
      <c r="A59" s="642"/>
      <c r="B59" s="642"/>
      <c r="C59" s="642"/>
      <c r="D59" s="642"/>
      <c r="E59" s="7"/>
      <c r="O59"/>
      <c r="P59"/>
      <c r="Q59"/>
    </row>
    <row r="60" spans="1:17" ht="15.6">
      <c r="E60" s="16"/>
      <c r="K60"/>
      <c r="L60"/>
      <c r="M60"/>
      <c r="N60"/>
      <c r="O60"/>
      <c r="P60"/>
      <c r="Q60"/>
    </row>
    <row r="61" spans="1:17" ht="15.6">
      <c r="E61" s="16"/>
      <c r="K61"/>
      <c r="L61"/>
      <c r="M61"/>
      <c r="N61"/>
      <c r="O61"/>
      <c r="P61"/>
      <c r="Q61"/>
    </row>
    <row r="62" spans="1:17" ht="15.6">
      <c r="E62" s="16"/>
      <c r="J62" s="6"/>
      <c r="K62"/>
      <c r="L62"/>
      <c r="M62"/>
      <c r="N62"/>
      <c r="O62"/>
      <c r="P62"/>
      <c r="Q62"/>
    </row>
    <row r="63" spans="1:17" ht="15.6">
      <c r="E63" s="16"/>
      <c r="J63" s="6"/>
      <c r="K63"/>
      <c r="L63"/>
      <c r="M63"/>
      <c r="N63"/>
      <c r="O63"/>
      <c r="P63"/>
      <c r="Q63"/>
    </row>
    <row r="64" spans="1:17" ht="15.6">
      <c r="E64" s="16"/>
      <c r="J64" s="6"/>
      <c r="K64"/>
      <c r="L64"/>
      <c r="M64"/>
      <c r="N64"/>
      <c r="O64"/>
      <c r="P64"/>
      <c r="Q64"/>
    </row>
    <row r="65" spans="1:17" ht="15.6">
      <c r="E65"/>
      <c r="J65" s="6"/>
      <c r="K65"/>
      <c r="L65"/>
      <c r="M65"/>
      <c r="N65"/>
      <c r="O65"/>
      <c r="P65"/>
      <c r="Q65"/>
    </row>
    <row r="66" spans="1:17" ht="15.6">
      <c r="E66"/>
      <c r="J66" s="6"/>
      <c r="K66"/>
      <c r="L66"/>
      <c r="M66"/>
      <c r="N66"/>
      <c r="O66"/>
      <c r="P66"/>
      <c r="Q66"/>
    </row>
    <row r="67" spans="1:17" ht="15.6">
      <c r="E67"/>
      <c r="J67" s="6"/>
      <c r="K67"/>
      <c r="L67"/>
      <c r="M67"/>
      <c r="N67"/>
      <c r="O67"/>
      <c r="P67"/>
      <c r="Q67"/>
    </row>
    <row r="68" spans="1:17" ht="15.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6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6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6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6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6">
      <c r="A134"/>
      <c r="B134"/>
      <c r="C134"/>
      <c r="D134"/>
      <c r="E134"/>
      <c r="F134"/>
      <c r="G134"/>
      <c r="H134"/>
      <c r="I134"/>
    </row>
    <row r="135" spans="1:17" ht="15.6">
      <c r="A135"/>
      <c r="B135"/>
      <c r="C135"/>
      <c r="D135"/>
      <c r="E135"/>
      <c r="F135"/>
      <c r="G135"/>
      <c r="H135"/>
      <c r="I135"/>
    </row>
    <row r="136" spans="1:17" ht="15.6">
      <c r="A136"/>
      <c r="B136"/>
      <c r="C136"/>
      <c r="D136"/>
      <c r="E136"/>
      <c r="F136"/>
      <c r="G136"/>
      <c r="H136"/>
      <c r="I136"/>
    </row>
    <row r="137" spans="1:17" ht="15.6">
      <c r="A137"/>
      <c r="B137"/>
      <c r="C137"/>
      <c r="D137"/>
      <c r="E137"/>
      <c r="F137"/>
      <c r="G137"/>
      <c r="H137"/>
      <c r="I137"/>
    </row>
    <row r="138" spans="1:17" ht="15.6">
      <c r="A138"/>
      <c r="B138"/>
      <c r="C138"/>
      <c r="D138"/>
      <c r="E138"/>
      <c r="F138"/>
      <c r="G138"/>
      <c r="H138"/>
      <c r="I138"/>
    </row>
    <row r="139" spans="1:17" ht="15.6">
      <c r="A139"/>
      <c r="B139"/>
      <c r="C139"/>
      <c r="D139"/>
      <c r="E139"/>
      <c r="F139"/>
      <c r="G139"/>
      <c r="H139"/>
      <c r="I139"/>
    </row>
    <row r="140" spans="1:17" ht="15.6">
      <c r="A140"/>
      <c r="B140"/>
      <c r="C140"/>
      <c r="D140"/>
      <c r="E140"/>
      <c r="F140"/>
      <c r="G140"/>
      <c r="H140"/>
      <c r="I140"/>
    </row>
    <row r="141" spans="1:17" ht="15.6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6"/>
  <cols>
    <col min="1" max="1" width="9.81640625" customWidth="1"/>
    <col min="3" max="3" width="10.6328125" bestFit="1" customWidth="1"/>
    <col min="4" max="4" width="11.81640625" customWidth="1"/>
  </cols>
  <sheetData>
    <row r="1" spans="1:7">
      <c r="A1" t="s">
        <v>479</v>
      </c>
    </row>
    <row r="2" spans="1:7" ht="46.8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H25" workbookViewId="0">
      <selection activeCell="J34" sqref="J34"/>
    </sheetView>
  </sheetViews>
  <sheetFormatPr defaultColWidth="7.08984375" defaultRowHeight="13.2"/>
  <cols>
    <col min="1" max="1" width="26.90625" style="830" customWidth="1"/>
    <col min="2" max="2" width="4.81640625" style="830" customWidth="1"/>
    <col min="3" max="3" width="8.6328125" style="830" customWidth="1"/>
    <col min="4" max="4" width="10.90625" style="830" customWidth="1"/>
    <col min="5" max="5" width="8.6328125" style="830" customWidth="1"/>
    <col min="6" max="7" width="11.81640625" style="830" customWidth="1"/>
    <col min="8" max="8" width="10.08984375" style="830" customWidth="1"/>
    <col min="9" max="9" width="13.54296875" style="830" customWidth="1"/>
    <col min="10" max="10" width="14.54296875" style="830" customWidth="1"/>
    <col min="11" max="11" width="8.6328125" style="830" customWidth="1"/>
    <col min="12" max="12" width="8.54296875" style="830" customWidth="1"/>
    <col min="13" max="13" width="8.36328125" style="830" customWidth="1"/>
    <col min="14" max="16384" width="7.08984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6"/>
  <cols>
    <col min="1" max="1" width="15.08984375" bestFit="1" customWidth="1"/>
    <col min="8" max="8" width="6.63281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2" thickBot="1"/>
    <row r="9" spans="1:12" ht="16.2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2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2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2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C17" sqref="C17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5" zoomScaleNormal="100" workbookViewId="0">
      <selection activeCell="D16" sqref="D16"/>
    </sheetView>
  </sheetViews>
  <sheetFormatPr defaultColWidth="8.90625" defaultRowHeight="15.6"/>
  <cols>
    <col min="1" max="1" width="8.90625" style="782"/>
    <col min="2" max="2" width="4.08984375" style="782" customWidth="1"/>
    <col min="3" max="3" width="8.90625" style="782"/>
    <col min="4" max="4" width="12.08984375" style="782" bestFit="1" customWidth="1"/>
    <col min="5" max="6" width="13.36328125" style="782" customWidth="1"/>
    <col min="7" max="7" width="13.90625" style="782" customWidth="1"/>
    <col min="8" max="8" width="12.81640625" style="782" customWidth="1"/>
    <col min="9" max="13" width="10" style="782" bestFit="1" customWidth="1"/>
    <col min="14" max="24" width="9" style="782" bestFit="1" customWidth="1"/>
    <col min="25" max="25" width="8.54296875" style="782" bestFit="1" customWidth="1"/>
    <col min="26" max="26" width="7.54296875" style="782" bestFit="1" customWidth="1"/>
    <col min="27" max="27" width="4.453125" style="782" customWidth="1"/>
    <col min="28" max="16384" width="8.9062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2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6.8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844">
        <f ca="1">OandM!C34-OandM!C21-OandM!C13-OandM!C11-OandM!C14-OandM!C16+OandM!C44</f>
        <v>986.97383617792377</v>
      </c>
      <c r="E16" s="844">
        <f ca="1">OandM!D34-OandM!D21-OandM!D13-OandM!D11-OandM!D16-OandM!D14+OandM!D44</f>
        <v>2791.3941350267269</v>
      </c>
      <c r="F16" s="844">
        <f ca="1">OandM!E34-OandM!E21-OandM!E13-OandM!E11-OandM!E16-OandM!E14+OandM!E44</f>
        <v>2842.4641539090062</v>
      </c>
      <c r="G16" s="798">
        <f ca="1">OandM!F34-OandM!F21-OandM!F13-OandM!F11-OandM!F16-OandM!F14+OandM!F44</f>
        <v>2658.1199210448749</v>
      </c>
      <c r="H16" s="798">
        <f ca="1">OandM!G34-OandM!G21-OandM!G13-OandM!G11-OandM!G16-OandM!G14+OandM!G44</f>
        <v>2714.9257780988901</v>
      </c>
      <c r="I16" s="798">
        <f ca="1">OandM!H34-OandM!H21-OandM!H13-OandM!H11-OandM!H16-OandM!H14+OandM!H44</f>
        <v>2719.4629941428752</v>
      </c>
      <c r="J16" s="798">
        <f ca="1">OandM!I34-OandM!I21-OandM!I13-OandM!I11-OandM!I16-OandM!I14+OandM!I44</f>
        <v>2822.9413915242176</v>
      </c>
      <c r="K16" s="798">
        <f ca="1">OandM!J34-OandM!J21-OandM!J13-OandM!J11-OandM!J16-OandM!J14+OandM!J44</f>
        <v>2932.7786202568104</v>
      </c>
      <c r="L16" s="798">
        <f ca="1">OandM!K34-OandM!K21-OandM!K13-OandM!K11-OandM!K16-OandM!K14+OandM!K44</f>
        <v>2998.3721567959601</v>
      </c>
      <c r="M16" s="798">
        <f ca="1">OandM!L34-OandM!L21-OandM!L13-OandM!L11-OandM!L16-OandM!L14+OandM!L44</f>
        <v>3049.1216947464745</v>
      </c>
      <c r="N16" s="798">
        <f ca="1">OandM!M34-OandM!M21-OandM!M13-OandM!M11-OandM!M16-OandM!M14+OandM!M44</f>
        <v>3119.2453620212746</v>
      </c>
      <c r="O16" s="798">
        <f ca="1">OandM!N34-OandM!N21-OandM!N13-OandM!N11-OandM!N16-OandM!N14+OandM!N44</f>
        <v>3175.829937050657</v>
      </c>
      <c r="P16" s="798">
        <f ca="1">OandM!O34-OandM!O21-OandM!O13-OandM!O11-OandM!O16-OandM!O14+OandM!O44</f>
        <v>23797.085157009093</v>
      </c>
      <c r="Q16" s="798">
        <f ca="1">OandM!P34-OandM!P21-OandM!P13-OandM!P11-OandM!P16-OandM!P14+OandM!P44</f>
        <v>3299.1815009428901</v>
      </c>
      <c r="R16" s="798">
        <f ca="1">OandM!Q34-OandM!Q21-OandM!Q13-OandM!Q11-OandM!Q16-OandM!Q14+OandM!Q44</f>
        <v>3406.7113985489277</v>
      </c>
      <c r="S16" s="798">
        <f ca="1">OandM!R34-OandM!R21-OandM!R13-OandM!R11-OandM!R16-OandM!R14+OandM!R44</f>
        <v>3516.4582074322207</v>
      </c>
      <c r="T16" s="798">
        <f ca="1">OandM!S34-OandM!S21-OandM!S13-OandM!S11-OandM!S16-OandM!S14+OandM!S44</f>
        <v>3628.649794694184</v>
      </c>
      <c r="U16" s="798">
        <f ca="1">OandM!T34-OandM!T21-OandM!T13-OandM!T11-OandM!T16-OandM!T14+OandM!T44</f>
        <v>3711.8920862405503</v>
      </c>
      <c r="V16" s="798">
        <f ca="1">OandM!U34-OandM!U21-OandM!U13-OandM!U11-OandM!U16-OandM!U14+OandM!U44</f>
        <v>3806.5145864687788</v>
      </c>
      <c r="W16" s="798">
        <f ca="1">OandM!V34-OandM!V21-OandM!V13-OandM!V11-OandM!V16-OandM!V14+OandM!V44</f>
        <v>3838.9581367304399</v>
      </c>
      <c r="X16" s="798">
        <f>OandM!W34-OandM!W21-OandM!W13-OandM!W11-OandM!W16-OandM!W14+OandM!W44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18" spans="1:24">
      <c r="C18" s="799"/>
      <c r="D18" s="800"/>
      <c r="E18" s="800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800"/>
      <c r="Q18" s="800"/>
      <c r="R18" s="800"/>
      <c r="S18" s="800"/>
      <c r="T18" s="800"/>
      <c r="U18" s="800"/>
      <c r="V18" s="800"/>
      <c r="W18" s="800"/>
      <c r="X18" s="800"/>
    </row>
    <row r="19" spans="1:24">
      <c r="D19" s="845">
        <f ca="1">D16</f>
        <v>986.97383617792377</v>
      </c>
      <c r="E19" s="823">
        <f ca="1">E16/2</f>
        <v>1395.6970675133634</v>
      </c>
      <c r="F19" s="823">
        <f ca="1">F16/2</f>
        <v>1421.2320769545031</v>
      </c>
      <c r="G19" s="823">
        <f t="shared" ref="G19:X19" ca="1" si="1">G16/2</f>
        <v>1329.0599605224374</v>
      </c>
      <c r="H19" s="823">
        <f t="shared" ca="1" si="1"/>
        <v>1357.462889049445</v>
      </c>
      <c r="I19" s="823">
        <f t="shared" ca="1" si="1"/>
        <v>1359.7314970714376</v>
      </c>
      <c r="J19" s="823">
        <f t="shared" ca="1" si="1"/>
        <v>1411.4706957621088</v>
      </c>
      <c r="K19" s="823">
        <f t="shared" ca="1" si="1"/>
        <v>1466.3893101284052</v>
      </c>
      <c r="L19" s="823">
        <f t="shared" ca="1" si="1"/>
        <v>1499.1860783979801</v>
      </c>
      <c r="M19" s="823">
        <f t="shared" ca="1" si="1"/>
        <v>1524.5608473732373</v>
      </c>
      <c r="N19" s="823">
        <f t="shared" ca="1" si="1"/>
        <v>1559.6226810106373</v>
      </c>
      <c r="O19" s="823">
        <f t="shared" ca="1" si="1"/>
        <v>1587.9149685253285</v>
      </c>
      <c r="P19" s="823">
        <f t="shared" ca="1" si="1"/>
        <v>11898.542578504546</v>
      </c>
      <c r="Q19" s="823">
        <f t="shared" ca="1" si="1"/>
        <v>1649.5907504714451</v>
      </c>
      <c r="R19" s="823">
        <f t="shared" ca="1" si="1"/>
        <v>1703.3556992744639</v>
      </c>
      <c r="S19" s="823">
        <f t="shared" ca="1" si="1"/>
        <v>1758.2291037161103</v>
      </c>
      <c r="T19" s="823">
        <f t="shared" ca="1" si="1"/>
        <v>1814.324897347092</v>
      </c>
      <c r="U19" s="823">
        <f t="shared" ca="1" si="1"/>
        <v>1855.9460431202751</v>
      </c>
      <c r="V19" s="823">
        <f t="shared" ca="1" si="1"/>
        <v>1903.2572932343894</v>
      </c>
      <c r="W19" s="823">
        <f t="shared" ca="1" si="1"/>
        <v>1919.47906836522</v>
      </c>
      <c r="X19" s="823">
        <f t="shared" si="1"/>
        <v>0</v>
      </c>
    </row>
    <row r="21" spans="1:24">
      <c r="A21" s="782" t="s">
        <v>435</v>
      </c>
      <c r="D21" s="798">
        <f>D13+E13</f>
        <v>177498.08799999999</v>
      </c>
      <c r="E21" s="798">
        <f>E13</f>
        <v>173868.51499999998</v>
      </c>
      <c r="F21" s="798">
        <f t="shared" ref="F21:W21" si="2">F13</f>
        <v>158402.66899999999</v>
      </c>
      <c r="G21" s="798">
        <f t="shared" si="2"/>
        <v>145413.53899999999</v>
      </c>
      <c r="H21" s="798">
        <f t="shared" si="2"/>
        <v>133452.22099999999</v>
      </c>
      <c r="I21" s="798">
        <f t="shared" si="2"/>
        <v>122155.982</v>
      </c>
      <c r="J21" s="798">
        <f t="shared" si="2"/>
        <v>111060.765</v>
      </c>
      <c r="K21" s="798">
        <f t="shared" si="2"/>
        <v>100253.368</v>
      </c>
      <c r="L21" s="798">
        <f t="shared" si="2"/>
        <v>89726.133000000002</v>
      </c>
      <c r="M21" s="798">
        <f t="shared" si="2"/>
        <v>79821.683999999994</v>
      </c>
      <c r="N21" s="798">
        <f t="shared" si="2"/>
        <v>70177.642000000007</v>
      </c>
      <c r="O21" s="798">
        <f t="shared" si="2"/>
        <v>61159.364999999998</v>
      </c>
      <c r="P21" s="798">
        <f t="shared" si="2"/>
        <v>52623.319000000003</v>
      </c>
      <c r="Q21" s="798">
        <f t="shared" si="2"/>
        <v>44512.258000000002</v>
      </c>
      <c r="R21" s="798">
        <f t="shared" si="2"/>
        <v>36909.182999999997</v>
      </c>
      <c r="S21" s="798">
        <f t="shared" si="2"/>
        <v>29822.007000000001</v>
      </c>
      <c r="T21" s="798">
        <f t="shared" si="2"/>
        <v>23003.49</v>
      </c>
      <c r="U21" s="798">
        <f t="shared" si="2"/>
        <v>16699.155999999999</v>
      </c>
      <c r="V21" s="798">
        <f t="shared" si="2"/>
        <v>10779.319</v>
      </c>
      <c r="W21" s="798">
        <f t="shared" si="2"/>
        <v>5259.3959999999997</v>
      </c>
      <c r="X21" s="798">
        <v>0</v>
      </c>
    </row>
    <row r="22" spans="1:24">
      <c r="A22" s="782" t="s">
        <v>436</v>
      </c>
      <c r="D22" s="800">
        <f ca="1">-D17</f>
        <v>-36323.556323857578</v>
      </c>
      <c r="E22" s="800">
        <f ca="1">-E17</f>
        <v>-35461.495151547417</v>
      </c>
      <c r="F22" s="800">
        <f t="shared" ref="F22:X22" ca="1" si="3">-F17</f>
        <v>-33182.88604555952</v>
      </c>
      <c r="G22" s="800">
        <f t="shared" ca="1" si="3"/>
        <v>-31014.383752125621</v>
      </c>
      <c r="H22" s="800">
        <f t="shared" ca="1" si="3"/>
        <v>-29119.180985010404</v>
      </c>
      <c r="I22" s="800">
        <f t="shared" ca="1" si="3"/>
        <v>-27310.111304535218</v>
      </c>
      <c r="J22" s="800">
        <f t="shared" ca="1" si="3"/>
        <v>-25616.566426868045</v>
      </c>
      <c r="K22" s="800">
        <f t="shared" ca="1" si="3"/>
        <v>-23973.588835347455</v>
      </c>
      <c r="L22" s="800">
        <f t="shared" ca="1" si="3"/>
        <v>-22378.351584260392</v>
      </c>
      <c r="M22" s="800">
        <f t="shared" ca="1" si="3"/>
        <v>-20854.131220796724</v>
      </c>
      <c r="N22" s="800">
        <f t="shared" ca="1" si="3"/>
        <v>-19405.515468313559</v>
      </c>
      <c r="O22" s="800">
        <f t="shared" ca="1" si="3"/>
        <v>-18020.533223769922</v>
      </c>
      <c r="P22" s="800">
        <f t="shared" ca="1" si="3"/>
        <v>-16702.676707353807</v>
      </c>
      <c r="Q22" s="800">
        <f t="shared" ca="1" si="3"/>
        <v>-7473.7567975082093</v>
      </c>
      <c r="R22" s="800">
        <f t="shared" ca="1" si="3"/>
        <v>-6277.9815944137508</v>
      </c>
      <c r="S22" s="800">
        <f t="shared" ca="1" si="3"/>
        <v>-5124.0105790171965</v>
      </c>
      <c r="T22" s="800">
        <f t="shared" ca="1" si="3"/>
        <v>-4010.7899654068237</v>
      </c>
      <c r="U22" s="800">
        <f t="shared" ca="1" si="3"/>
        <v>-2937.203426189039</v>
      </c>
      <c r="V22" s="800">
        <f t="shared" ca="1" si="3"/>
        <v>-1910.8343331065369</v>
      </c>
      <c r="W22" s="800">
        <f t="shared" ca="1" si="3"/>
        <v>-927.15862947482958</v>
      </c>
      <c r="X22" s="800">
        <f t="shared" si="3"/>
        <v>0</v>
      </c>
    </row>
    <row r="23" spans="1:24">
      <c r="A23" s="782" t="s">
        <v>437</v>
      </c>
      <c r="D23" s="801">
        <f ca="1">SUM(D21:D22)</f>
        <v>141174.53167614242</v>
      </c>
      <c r="E23" s="801">
        <f ca="1">SUM(E21:E22)</f>
        <v>138407.01984845256</v>
      </c>
      <c r="F23" s="801">
        <f t="shared" ref="F23:X23" ca="1" si="4">SUM(F21:F22)</f>
        <v>125219.78295444048</v>
      </c>
      <c r="G23" s="801">
        <f t="shared" ca="1" si="4"/>
        <v>114399.15524787437</v>
      </c>
      <c r="H23" s="801">
        <f t="shared" ca="1" si="4"/>
        <v>104333.04001498959</v>
      </c>
      <c r="I23" s="801">
        <f t="shared" ca="1" si="4"/>
        <v>94845.870695464779</v>
      </c>
      <c r="J23" s="801">
        <f t="shared" ca="1" si="4"/>
        <v>85444.198573131958</v>
      </c>
      <c r="K23" s="801">
        <f t="shared" ca="1" si="4"/>
        <v>76279.779164652544</v>
      </c>
      <c r="L23" s="801">
        <f t="shared" ca="1" si="4"/>
        <v>67347.781415739606</v>
      </c>
      <c r="M23" s="801">
        <f t="shared" ca="1" si="4"/>
        <v>58967.552779203266</v>
      </c>
      <c r="N23" s="801">
        <f t="shared" ca="1" si="4"/>
        <v>50772.126531686445</v>
      </c>
      <c r="O23" s="801">
        <f t="shared" ca="1" si="4"/>
        <v>43138.831776230072</v>
      </c>
      <c r="P23" s="801">
        <f t="shared" ca="1" si="4"/>
        <v>35920.642292646196</v>
      </c>
      <c r="Q23" s="801">
        <f t="shared" ca="1" si="4"/>
        <v>37038.501202491796</v>
      </c>
      <c r="R23" s="801">
        <f t="shared" ca="1" si="4"/>
        <v>30631.201405586246</v>
      </c>
      <c r="S23" s="801">
        <f t="shared" ca="1" si="4"/>
        <v>24697.996420982803</v>
      </c>
      <c r="T23" s="801">
        <f t="shared" ca="1" si="4"/>
        <v>18992.700034593177</v>
      </c>
      <c r="U23" s="801">
        <f t="shared" ca="1" si="4"/>
        <v>13761.952573810961</v>
      </c>
      <c r="V23" s="801">
        <f t="shared" ca="1" si="4"/>
        <v>8868.4846668934624</v>
      </c>
      <c r="W23" s="801">
        <f t="shared" ca="1" si="4"/>
        <v>4332.2373705251703</v>
      </c>
      <c r="X23" s="801">
        <f t="shared" si="4"/>
        <v>0</v>
      </c>
    </row>
    <row r="24" spans="1:24">
      <c r="A24" s="782" t="s">
        <v>438</v>
      </c>
      <c r="D24" s="802">
        <f ca="1">D23/315</f>
        <v>448.17311643219813</v>
      </c>
      <c r="E24" s="802">
        <f t="shared" ref="E24:X24" ca="1" si="5">E23/315</f>
        <v>439.38736459826208</v>
      </c>
      <c r="F24" s="802">
        <f t="shared" ca="1" si="5"/>
        <v>397.52312049028723</v>
      </c>
      <c r="G24" s="802">
        <f t="shared" ca="1" si="5"/>
        <v>363.17192142182341</v>
      </c>
      <c r="H24" s="802">
        <f t="shared" ca="1" si="5"/>
        <v>331.21600004758596</v>
      </c>
      <c r="I24" s="802">
        <f t="shared" ca="1" si="5"/>
        <v>301.09800220782472</v>
      </c>
      <c r="J24" s="802">
        <f t="shared" ca="1" si="5"/>
        <v>271.25142404168878</v>
      </c>
      <c r="K24" s="802">
        <f t="shared" ca="1" si="5"/>
        <v>242.15802909413506</v>
      </c>
      <c r="L24" s="802">
        <f t="shared" ca="1" si="5"/>
        <v>213.80248068488763</v>
      </c>
      <c r="M24" s="802">
        <f t="shared" ca="1" si="5"/>
        <v>187.19858025143893</v>
      </c>
      <c r="N24" s="802">
        <f t="shared" ca="1" si="5"/>
        <v>161.18135406884585</v>
      </c>
      <c r="O24" s="802">
        <f t="shared" ca="1" si="5"/>
        <v>136.94867230549229</v>
      </c>
      <c r="P24" s="802">
        <f t="shared" ca="1" si="5"/>
        <v>114.03378505601967</v>
      </c>
      <c r="Q24" s="802">
        <f t="shared" ca="1" si="5"/>
        <v>117.58254349997395</v>
      </c>
      <c r="R24" s="802">
        <f t="shared" ca="1" si="5"/>
        <v>97.241909224083315</v>
      </c>
      <c r="S24" s="802">
        <f t="shared" ca="1" si="5"/>
        <v>78.406337844389853</v>
      </c>
      <c r="T24" s="802">
        <f t="shared" ca="1" si="5"/>
        <v>60.294285824105323</v>
      </c>
      <c r="U24" s="802">
        <f t="shared" ca="1" si="5"/>
        <v>43.688738329558603</v>
      </c>
      <c r="V24" s="802">
        <f t="shared" ca="1" si="5"/>
        <v>28.153919577439563</v>
      </c>
      <c r="W24" s="802">
        <f t="shared" ca="1" si="5"/>
        <v>13.753134509603715</v>
      </c>
      <c r="X24" s="802">
        <f t="shared" si="5"/>
        <v>0</v>
      </c>
    </row>
    <row r="26" spans="1:24">
      <c r="A26" s="782" t="s">
        <v>439</v>
      </c>
      <c r="D26" s="798">
        <f>'ENA Debt'!C20</f>
        <v>118125</v>
      </c>
      <c r="E26" s="798">
        <f ca="1">'ENA Debt'!D20</f>
        <v>118125</v>
      </c>
      <c r="F26" s="798">
        <f ca="1">'ENA Debt'!E20</f>
        <v>116139.18709601989</v>
      </c>
      <c r="G26" s="798">
        <f ca="1">'ENA Debt'!F20</f>
        <v>113919.29186216624</v>
      </c>
      <c r="H26" s="798">
        <f ca="1">'ENA Debt'!G20</f>
        <v>111159.92158167947</v>
      </c>
      <c r="I26" s="798">
        <f ca="1">'ENA Debt'!H20</f>
        <v>107862.97055031684</v>
      </c>
      <c r="J26" s="798">
        <f ca="1">'ENA Debt'!I20</f>
        <v>104566.0195189542</v>
      </c>
      <c r="K26" s="798">
        <f ca="1">'ENA Debt'!J20</f>
        <v>100056.57736831481</v>
      </c>
      <c r="L26" s="798">
        <f ca="1">'ENA Debt'!K20</f>
        <v>95547.135217675401</v>
      </c>
      <c r="M26" s="798">
        <f ca="1">'ENA Debt'!L20</f>
        <v>89633.161382558668</v>
      </c>
      <c r="N26" s="798">
        <f ca="1">'ENA Debt'!M20</f>
        <v>83719.187547441936</v>
      </c>
      <c r="O26" s="798">
        <f ca="1">'ENA Debt'!N20</f>
        <v>76240.861017735515</v>
      </c>
      <c r="P26" s="798">
        <f ca="1">'ENA Debt'!O20</f>
        <v>68762.53448802908</v>
      </c>
      <c r="Q26" s="798">
        <f ca="1">'ENA Debt'!P20</f>
        <v>61084.40948802908</v>
      </c>
      <c r="R26" s="798">
        <f ca="1">'ENA Debt'!Q20</f>
        <v>53406.28448802908</v>
      </c>
      <c r="S26" s="798">
        <f ca="1">'ENA Debt'!R20</f>
        <v>44519.01724702007</v>
      </c>
      <c r="T26" s="798">
        <f ca="1">'ENA Debt'!S20</f>
        <v>35631.750006011047</v>
      </c>
      <c r="U26" s="798">
        <f ca="1">'ENA Debt'!T20</f>
        <v>26772.375006011047</v>
      </c>
      <c r="V26" s="798">
        <f ca="1">'ENA Debt'!U20</f>
        <v>17913.000006011047</v>
      </c>
      <c r="W26" s="798">
        <f ca="1">'ENA Debt'!V20</f>
        <v>12006.750006011047</v>
      </c>
      <c r="X26" s="798">
        <f ca="1">'ENA Debt'!W20</f>
        <v>6100.5000060110469</v>
      </c>
    </row>
    <row r="27" spans="1:24">
      <c r="A27" s="782" t="s">
        <v>438</v>
      </c>
      <c r="D27" s="802">
        <f>D26/315</f>
        <v>375</v>
      </c>
      <c r="E27" s="802">
        <f t="shared" ref="E27:X27" ca="1" si="6">E26/315</f>
        <v>375</v>
      </c>
      <c r="F27" s="802">
        <f t="shared" ca="1" si="6"/>
        <v>368.69583205085678</v>
      </c>
      <c r="G27" s="802">
        <f t="shared" ca="1" si="6"/>
        <v>361.64854559417853</v>
      </c>
      <c r="H27" s="802">
        <f t="shared" ca="1" si="6"/>
        <v>352.88863994183959</v>
      </c>
      <c r="I27" s="802">
        <f t="shared" ca="1" si="6"/>
        <v>342.42212873116455</v>
      </c>
      <c r="J27" s="802">
        <f t="shared" ca="1" si="6"/>
        <v>331.95561752048951</v>
      </c>
      <c r="K27" s="802">
        <f t="shared" ca="1" si="6"/>
        <v>317.63992815338037</v>
      </c>
      <c r="L27" s="802">
        <f t="shared" ca="1" si="6"/>
        <v>303.32423878627111</v>
      </c>
      <c r="M27" s="802">
        <f t="shared" ca="1" si="6"/>
        <v>284.5497186747894</v>
      </c>
      <c r="N27" s="802">
        <f t="shared" ca="1" si="6"/>
        <v>265.77519856330775</v>
      </c>
      <c r="O27" s="802">
        <f t="shared" ca="1" si="6"/>
        <v>242.0344794213826</v>
      </c>
      <c r="P27" s="802">
        <f t="shared" ca="1" si="6"/>
        <v>218.29376027945739</v>
      </c>
      <c r="Q27" s="802">
        <f t="shared" ca="1" si="6"/>
        <v>193.91876027945739</v>
      </c>
      <c r="R27" s="802">
        <f t="shared" ca="1" si="6"/>
        <v>169.54376027945739</v>
      </c>
      <c r="S27" s="802">
        <f t="shared" ca="1" si="6"/>
        <v>141.3302134826034</v>
      </c>
      <c r="T27" s="802">
        <f t="shared" ca="1" si="6"/>
        <v>113.11666668574935</v>
      </c>
      <c r="U27" s="802">
        <f t="shared" ca="1" si="6"/>
        <v>84.991666685749351</v>
      </c>
      <c r="V27" s="802">
        <f t="shared" ca="1" si="6"/>
        <v>56.866666685749358</v>
      </c>
      <c r="W27" s="802">
        <f t="shared" ca="1" si="6"/>
        <v>38.116666685749358</v>
      </c>
      <c r="X27" s="802">
        <f t="shared" ca="1" si="6"/>
        <v>19.366666685749355</v>
      </c>
    </row>
    <row r="29" spans="1:24">
      <c r="A29" s="782" t="s">
        <v>440</v>
      </c>
      <c r="D29" s="803">
        <f ca="1">D24-D27</f>
        <v>73.173116432198128</v>
      </c>
      <c r="E29" s="803">
        <f t="shared" ref="E29:X29" ca="1" si="7">E24-E27</f>
        <v>64.387364598262081</v>
      </c>
      <c r="F29" s="803">
        <f t="shared" ca="1" si="7"/>
        <v>28.827288439430447</v>
      </c>
      <c r="G29" s="803">
        <f t="shared" ca="1" si="7"/>
        <v>1.5233758276448839</v>
      </c>
      <c r="H29" s="803">
        <f t="shared" ca="1" si="7"/>
        <v>-21.672639894253621</v>
      </c>
      <c r="I29" s="803">
        <f t="shared" ca="1" si="7"/>
        <v>-41.324126523339828</v>
      </c>
      <c r="J29" s="803">
        <f t="shared" ca="1" si="7"/>
        <v>-60.704193478800732</v>
      </c>
      <c r="K29" s="803">
        <f t="shared" ca="1" si="7"/>
        <v>-75.481899059245308</v>
      </c>
      <c r="L29" s="803">
        <f t="shared" ca="1" si="7"/>
        <v>-89.521758101383483</v>
      </c>
      <c r="M29" s="803">
        <f t="shared" ca="1" si="7"/>
        <v>-97.351138423350477</v>
      </c>
      <c r="N29" s="803">
        <f t="shared" ca="1" si="7"/>
        <v>-104.59384449446191</v>
      </c>
      <c r="O29" s="803">
        <f t="shared" ca="1" si="7"/>
        <v>-105.0858071158903</v>
      </c>
      <c r="P29" s="803">
        <f t="shared" ca="1" si="7"/>
        <v>-104.25997522343772</v>
      </c>
      <c r="Q29" s="803">
        <f t="shared" ca="1" si="7"/>
        <v>-76.336216779483436</v>
      </c>
      <c r="R29" s="803">
        <f t="shared" ca="1" si="7"/>
        <v>-72.301851055374073</v>
      </c>
      <c r="S29" s="803">
        <f t="shared" ca="1" si="7"/>
        <v>-62.923875638213545</v>
      </c>
      <c r="T29" s="803">
        <f t="shared" ca="1" si="7"/>
        <v>-52.822380861644028</v>
      </c>
      <c r="U29" s="803">
        <f t="shared" ca="1" si="7"/>
        <v>-41.302928356190748</v>
      </c>
      <c r="V29" s="803">
        <f t="shared" ca="1" si="7"/>
        <v>-28.712747108309795</v>
      </c>
      <c r="W29" s="803">
        <f t="shared" ca="1" si="7"/>
        <v>-24.363532176145643</v>
      </c>
      <c r="X29" s="803">
        <f t="shared" ca="1" si="7"/>
        <v>-19.366666685749355</v>
      </c>
    </row>
    <row r="31" spans="1:24">
      <c r="D31" s="820">
        <v>99985999.839548931</v>
      </c>
      <c r="E31" s="782">
        <v>93551390.07684584</v>
      </c>
      <c r="F31" s="782">
        <v>87491484.602945432</v>
      </c>
      <c r="G31" s="782">
        <v>81828522.704920158</v>
      </c>
      <c r="H31" s="782">
        <v>76306112.916078985</v>
      </c>
      <c r="I31" s="782">
        <v>71014178.633394286</v>
      </c>
      <c r="J31" s="782">
        <v>65831615.613365315</v>
      </c>
      <c r="K31" s="782">
        <v>60732075.875586517</v>
      </c>
      <c r="L31" s="782">
        <v>55537158.461356468</v>
      </c>
      <c r="M31" s="782">
        <v>50579096.256008282</v>
      </c>
      <c r="N31" s="782">
        <v>45666421.137754805</v>
      </c>
      <c r="O31" s="782">
        <v>40888400.348361887</v>
      </c>
      <c r="P31" s="782">
        <v>36299226.474739678</v>
      </c>
      <c r="Q31" s="782">
        <v>31788400.242337156</v>
      </c>
      <c r="R31" s="782">
        <v>27459753.715427317</v>
      </c>
      <c r="S31" s="782">
        <v>23364865.931039035</v>
      </c>
      <c r="T31" s="782">
        <v>19414286.08395062</v>
      </c>
      <c r="U31" s="782">
        <v>15825613.038721051</v>
      </c>
      <c r="V31" s="782">
        <v>12518393.295802344</v>
      </c>
      <c r="W31" s="782">
        <v>9411917.5974087473</v>
      </c>
      <c r="X31" s="782">
        <v>6549851.1193869784</v>
      </c>
    </row>
    <row r="32" spans="1:24">
      <c r="D32" s="823">
        <f>D31-$X$31/2</f>
        <v>96711074.279855445</v>
      </c>
      <c r="E32" s="823">
        <f t="shared" ref="E32:X32" si="8">E31-$X$31/2</f>
        <v>90276464.517152354</v>
      </c>
      <c r="F32" s="823">
        <f t="shared" si="8"/>
        <v>84216559.043251947</v>
      </c>
      <c r="G32" s="823">
        <f t="shared" si="8"/>
        <v>78553597.145226672</v>
      </c>
      <c r="H32" s="823">
        <f t="shared" si="8"/>
        <v>73031187.356385499</v>
      </c>
      <c r="I32" s="823">
        <f t="shared" si="8"/>
        <v>67739253.073700801</v>
      </c>
      <c r="J32" s="823">
        <f t="shared" si="8"/>
        <v>62556690.053671822</v>
      </c>
      <c r="K32" s="823">
        <f t="shared" si="8"/>
        <v>57457150.315893024</v>
      </c>
      <c r="L32" s="823">
        <f t="shared" si="8"/>
        <v>52262232.901662976</v>
      </c>
      <c r="M32" s="823">
        <f t="shared" si="8"/>
        <v>47304170.696314797</v>
      </c>
      <c r="N32" s="823">
        <f t="shared" si="8"/>
        <v>42391495.578061312</v>
      </c>
      <c r="O32" s="823">
        <f t="shared" si="8"/>
        <v>37613474.788668394</v>
      </c>
      <c r="P32" s="823">
        <f t="shared" si="8"/>
        <v>33024300.915046189</v>
      </c>
      <c r="Q32" s="823">
        <f t="shared" si="8"/>
        <v>28513474.682643667</v>
      </c>
      <c r="R32" s="823">
        <f t="shared" si="8"/>
        <v>24184828.155733828</v>
      </c>
      <c r="S32" s="823">
        <f t="shared" si="8"/>
        <v>20089940.371345546</v>
      </c>
      <c r="T32" s="823">
        <f t="shared" si="8"/>
        <v>16139360.524257131</v>
      </c>
      <c r="U32" s="823">
        <f t="shared" si="8"/>
        <v>12550687.479027562</v>
      </c>
      <c r="V32" s="823">
        <f t="shared" si="8"/>
        <v>9243467.7361088544</v>
      </c>
      <c r="W32" s="823">
        <f t="shared" si="8"/>
        <v>6136992.0377152581</v>
      </c>
      <c r="X32" s="823">
        <f t="shared" si="8"/>
        <v>3274925.5596934892</v>
      </c>
    </row>
    <row r="34" spans="4:25">
      <c r="D34" s="782">
        <f>D32*118125000/$E$32</f>
        <v>126544561.86792059</v>
      </c>
      <c r="E34" s="782">
        <f t="shared" ref="E34:X34" si="9">E32*118125000/$E$32</f>
        <v>118125000</v>
      </c>
      <c r="F34" s="782">
        <f t="shared" si="9"/>
        <v>110195731.41451524</v>
      </c>
      <c r="G34" s="782">
        <f t="shared" si="9"/>
        <v>102785855.7865531</v>
      </c>
      <c r="H34" s="782">
        <f t="shared" si="9"/>
        <v>95559889.862921685</v>
      </c>
      <c r="I34" s="782">
        <f t="shared" si="9"/>
        <v>88635496.661597773</v>
      </c>
      <c r="J34" s="782">
        <f t="shared" si="9"/>
        <v>81854213.632679328</v>
      </c>
      <c r="K34" s="782">
        <f t="shared" si="9"/>
        <v>75181564.95567371</v>
      </c>
      <c r="L34" s="782">
        <f t="shared" si="9"/>
        <v>68384116.441954702</v>
      </c>
      <c r="M34" s="782">
        <f t="shared" si="9"/>
        <v>61896588.367619477</v>
      </c>
      <c r="N34" s="782">
        <f t="shared" si="9"/>
        <v>55468448.415002763</v>
      </c>
      <c r="O34" s="782">
        <f t="shared" si="9"/>
        <v>49216501.035740882</v>
      </c>
      <c r="P34" s="782">
        <f t="shared" si="9"/>
        <v>43211656.176994495</v>
      </c>
      <c r="Q34" s="782">
        <f t="shared" si="9"/>
        <v>37309327.684707239</v>
      </c>
      <c r="R34" s="782">
        <f t="shared" si="9"/>
        <v>31645377.79781203</v>
      </c>
      <c r="S34" s="782">
        <f t="shared" si="9"/>
        <v>26287296.684223864</v>
      </c>
      <c r="T34" s="782">
        <f t="shared" si="9"/>
        <v>21118039.703090604</v>
      </c>
      <c r="U34" s="782">
        <f t="shared" si="9"/>
        <v>16422330.741346756</v>
      </c>
      <c r="V34" s="782">
        <f t="shared" si="9"/>
        <v>12094897.95782158</v>
      </c>
      <c r="W34" s="782">
        <f t="shared" si="9"/>
        <v>8030134.8566588936</v>
      </c>
      <c r="X34" s="782">
        <f t="shared" si="9"/>
        <v>4285176.4721611645</v>
      </c>
    </row>
    <row r="36" spans="4:25">
      <c r="E36" s="822">
        <f>(E34-F34)/$E$34</f>
        <v>6.7126083263363029E-2</v>
      </c>
      <c r="F36" s="822">
        <f t="shared" ref="F36:X36" si="10">(F34-G34)/$E$34</f>
        <v>6.2729105845182154E-2</v>
      </c>
      <c r="G36" s="822">
        <f t="shared" si="10"/>
        <v>6.1172198295292399E-2</v>
      </c>
      <c r="H36" s="822">
        <f t="shared" si="10"/>
        <v>5.861920170432941E-2</v>
      </c>
      <c r="I36" s="822">
        <f t="shared" si="10"/>
        <v>5.7407687017299008E-2</v>
      </c>
      <c r="J36" s="822">
        <f t="shared" si="10"/>
        <v>5.6488031128089894E-2</v>
      </c>
      <c r="K36" s="822">
        <f t="shared" si="10"/>
        <v>5.7544537682277311E-2</v>
      </c>
      <c r="L36" s="822">
        <f t="shared" si="10"/>
        <v>5.4920872586964868E-2</v>
      </c>
      <c r="M36" s="822">
        <f t="shared" si="10"/>
        <v>5.4418116000988052E-2</v>
      </c>
      <c r="N36" s="822">
        <f t="shared" si="10"/>
        <v>5.2926538660418042E-2</v>
      </c>
      <c r="O36" s="822">
        <f t="shared" si="10"/>
        <v>5.0834665470868887E-2</v>
      </c>
      <c r="P36" s="822">
        <f t="shared" si="10"/>
        <v>4.9966802051109045E-2</v>
      </c>
      <c r="Q36" s="822">
        <f t="shared" si="10"/>
        <v>4.7948782111282194E-2</v>
      </c>
      <c r="R36" s="822">
        <f t="shared" si="10"/>
        <v>4.5359416834608805E-2</v>
      </c>
      <c r="S36" s="822">
        <f t="shared" si="10"/>
        <v>4.3760905660387386E-2</v>
      </c>
      <c r="T36" s="822">
        <f t="shared" si="10"/>
        <v>3.9752033538572262E-2</v>
      </c>
      <c r="U36" s="822">
        <f t="shared" si="10"/>
        <v>3.6634351606562338E-2</v>
      </c>
      <c r="V36" s="822">
        <f t="shared" si="10"/>
        <v>3.4410692919895756E-2</v>
      </c>
      <c r="W36" s="822">
        <f t="shared" si="10"/>
        <v>3.1703351403155382E-2</v>
      </c>
      <c r="X36" s="822">
        <f t="shared" si="10"/>
        <v>3.6276626219353771E-2</v>
      </c>
    </row>
    <row r="38" spans="4:25">
      <c r="D38" s="821">
        <f>D32*102375000/$E$32</f>
        <v>109671953.61886452</v>
      </c>
      <c r="E38" s="821">
        <f t="shared" ref="E38:X38" si="11">E32*102375000/$E$32</f>
        <v>102375000</v>
      </c>
      <c r="F38" s="821">
        <f t="shared" si="11"/>
        <v>95502967.225913212</v>
      </c>
      <c r="G38" s="821">
        <f t="shared" si="11"/>
        <v>89081075.015012696</v>
      </c>
      <c r="H38" s="821">
        <f t="shared" si="11"/>
        <v>82818571.214532122</v>
      </c>
      <c r="I38" s="821">
        <f t="shared" si="11"/>
        <v>76817430.440051392</v>
      </c>
      <c r="J38" s="821">
        <f t="shared" si="11"/>
        <v>70940318.481655419</v>
      </c>
      <c r="K38" s="821">
        <f t="shared" si="11"/>
        <v>65157356.294917218</v>
      </c>
      <c r="L38" s="821">
        <f t="shared" si="11"/>
        <v>59266234.249694079</v>
      </c>
      <c r="M38" s="821">
        <f t="shared" si="11"/>
        <v>53643709.918603547</v>
      </c>
      <c r="N38" s="821">
        <f t="shared" si="11"/>
        <v>48072655.293002397</v>
      </c>
      <c r="O38" s="821">
        <f t="shared" si="11"/>
        <v>42654300.897642098</v>
      </c>
      <c r="P38" s="821">
        <f t="shared" si="11"/>
        <v>37450102.020061895</v>
      </c>
      <c r="Q38" s="821">
        <f t="shared" si="11"/>
        <v>32334750.66007961</v>
      </c>
      <c r="R38" s="821">
        <f t="shared" si="11"/>
        <v>27425994.09143709</v>
      </c>
      <c r="S38" s="821">
        <f t="shared" si="11"/>
        <v>22782323.792994019</v>
      </c>
      <c r="T38" s="821">
        <f t="shared" si="11"/>
        <v>18302301.076011855</v>
      </c>
      <c r="U38" s="821">
        <f t="shared" si="11"/>
        <v>14232686.642500523</v>
      </c>
      <c r="V38" s="821">
        <f t="shared" si="11"/>
        <v>10482244.896778705</v>
      </c>
      <c r="W38" s="821">
        <f t="shared" si="11"/>
        <v>6959450.2091043731</v>
      </c>
      <c r="X38" s="821">
        <f t="shared" si="11"/>
        <v>3713819.6092063417</v>
      </c>
    </row>
    <row r="40" spans="4:25">
      <c r="E40" s="822">
        <f>(E38-F38)/$E38</f>
        <v>6.7126083263363015E-2</v>
      </c>
      <c r="F40" s="822">
        <f t="shared" ref="F40:X40" si="12">(F38-G38)/$E$38</f>
        <v>6.2729105845182084E-2</v>
      </c>
      <c r="G40" s="822">
        <f t="shared" si="12"/>
        <v>6.1172198295292544E-2</v>
      </c>
      <c r="H40" s="822">
        <f t="shared" si="12"/>
        <v>5.8619201704329479E-2</v>
      </c>
      <c r="I40" s="822">
        <f t="shared" si="12"/>
        <v>5.7407687017298883E-2</v>
      </c>
      <c r="J40" s="822">
        <f t="shared" si="12"/>
        <v>5.6488031128089873E-2</v>
      </c>
      <c r="K40" s="822">
        <f t="shared" si="12"/>
        <v>5.7544537682277304E-2</v>
      </c>
      <c r="L40" s="822">
        <f t="shared" si="12"/>
        <v>5.4920872586964903E-2</v>
      </c>
      <c r="M40" s="822">
        <f t="shared" si="12"/>
        <v>5.4418116000988039E-2</v>
      </c>
      <c r="N40" s="822">
        <f t="shared" si="12"/>
        <v>5.2926538660418056E-2</v>
      </c>
      <c r="O40" s="822">
        <f t="shared" si="12"/>
        <v>5.0834665470868894E-2</v>
      </c>
      <c r="P40" s="822">
        <f t="shared" si="12"/>
        <v>4.9966802051109017E-2</v>
      </c>
      <c r="Q40" s="822">
        <f t="shared" si="12"/>
        <v>4.7948782111282243E-2</v>
      </c>
      <c r="R40" s="822">
        <f t="shared" si="12"/>
        <v>4.5359416834608757E-2</v>
      </c>
      <c r="S40" s="822">
        <f t="shared" si="12"/>
        <v>4.3760905660387435E-2</v>
      </c>
      <c r="T40" s="822">
        <f t="shared" si="12"/>
        <v>3.9752033538572228E-2</v>
      </c>
      <c r="U40" s="822">
        <f t="shared" si="12"/>
        <v>3.6634351606562331E-2</v>
      </c>
      <c r="V40" s="822">
        <f t="shared" si="12"/>
        <v>3.4410692919895791E-2</v>
      </c>
      <c r="W40" s="822">
        <f t="shared" si="12"/>
        <v>3.1703351403155375E-2</v>
      </c>
      <c r="X40" s="822">
        <f t="shared" si="12"/>
        <v>3.6276626219353764E-2</v>
      </c>
    </row>
    <row r="43" spans="4:25">
      <c r="D43" s="825">
        <v>36617</v>
      </c>
      <c r="E43" s="825">
        <v>36982</v>
      </c>
      <c r="F43" s="825">
        <v>37347</v>
      </c>
      <c r="G43" s="825">
        <v>37712</v>
      </c>
      <c r="H43" s="825">
        <v>38078</v>
      </c>
      <c r="I43" s="825">
        <v>38444</v>
      </c>
      <c r="J43" s="825">
        <v>38808</v>
      </c>
      <c r="K43" s="825">
        <v>37347</v>
      </c>
      <c r="L43" s="825">
        <v>39539</v>
      </c>
      <c r="M43" s="825">
        <v>39904</v>
      </c>
      <c r="N43" s="825">
        <v>40269</v>
      </c>
      <c r="O43" s="825">
        <v>40634</v>
      </c>
      <c r="P43" s="825">
        <v>41000</v>
      </c>
      <c r="Q43" s="825">
        <v>41365</v>
      </c>
      <c r="R43" s="825">
        <v>41730</v>
      </c>
      <c r="S43" s="825">
        <v>42095</v>
      </c>
      <c r="T43" s="825">
        <v>42461</v>
      </c>
      <c r="U43" s="825">
        <v>42826</v>
      </c>
      <c r="V43" s="825">
        <v>43191</v>
      </c>
      <c r="W43" s="825">
        <v>43556</v>
      </c>
      <c r="X43" s="825">
        <v>43922</v>
      </c>
      <c r="Y43" s="825">
        <v>44105</v>
      </c>
    </row>
    <row r="44" spans="4:25">
      <c r="D44" s="782">
        <v>134921749.54653946</v>
      </c>
      <c r="E44" s="782">
        <v>131743725.11320361</v>
      </c>
      <c r="F44" s="782">
        <v>129528966.26157856</v>
      </c>
      <c r="G44" s="782">
        <v>127053137.54226491</v>
      </c>
      <c r="H44" s="782">
        <v>123975637.26952</v>
      </c>
      <c r="I44" s="782">
        <f>AVERAGE(H44,J44)</f>
        <v>120298578.13396417</v>
      </c>
      <c r="J44" s="782">
        <v>116621518.99840833</v>
      </c>
      <c r="K44" s="782">
        <f>AVERAGE(J44,L44)</f>
        <v>111592179.67897782</v>
      </c>
      <c r="L44" s="782">
        <v>106562840.35954729</v>
      </c>
      <c r="M44" s="782">
        <f>AVERAGE(L44,N44)</f>
        <v>99967039.781682327</v>
      </c>
      <c r="N44" s="782">
        <v>93371239.203817368</v>
      </c>
      <c r="O44" s="782">
        <f>AVERAGE(N44,P44)</f>
        <v>85030730.466154546</v>
      </c>
      <c r="P44" s="782">
        <v>76690221.728491709</v>
      </c>
      <c r="Q44" s="782">
        <f>AVERAGE(P44,R44)</f>
        <v>78366953.325643212</v>
      </c>
      <c r="R44" s="782">
        <v>80043684.922794715</v>
      </c>
      <c r="S44" s="782">
        <f>AVERAGE(R44,T44)</f>
        <v>70131797.579666078</v>
      </c>
      <c r="T44" s="782">
        <v>60219910.236537427</v>
      </c>
      <c r="U44" s="782">
        <f>AVERAGE(T44,V44)</f>
        <v>54365549.56701088</v>
      </c>
      <c r="V44" s="782">
        <v>48511188.897484325</v>
      </c>
      <c r="W44" s="782">
        <v>36519301.376975343</v>
      </c>
      <c r="X44" s="782">
        <v>24062331.709243521</v>
      </c>
      <c r="Y44" s="782">
        <v>6767554.5</v>
      </c>
    </row>
    <row r="45" spans="4:25">
      <c r="E45" s="822">
        <f>(E44-F44)/$E44</f>
        <v>1.6811114531048641E-2</v>
      </c>
      <c r="F45" s="822">
        <f t="shared" ref="F45:S45" si="13">(F44-G44)/$E44</f>
        <v>1.8792763884475275E-2</v>
      </c>
      <c r="G45" s="822">
        <f t="shared" si="13"/>
        <v>2.3359748406237193E-2</v>
      </c>
      <c r="H45" s="822">
        <f t="shared" si="13"/>
        <v>2.7910696561800129E-2</v>
      </c>
      <c r="I45" s="822">
        <f t="shared" si="13"/>
        <v>2.7910696561800129E-2</v>
      </c>
      <c r="J45" s="822">
        <f t="shared" si="13"/>
        <v>3.8175171645624471E-2</v>
      </c>
      <c r="K45" s="822">
        <f t="shared" si="13"/>
        <v>3.8175171645624582E-2</v>
      </c>
      <c r="L45" s="822">
        <f t="shared" si="13"/>
        <v>5.0065386963951242E-2</v>
      </c>
      <c r="M45" s="822">
        <f t="shared" si="13"/>
        <v>5.0065386963951242E-2</v>
      </c>
      <c r="N45" s="822">
        <f t="shared" si="13"/>
        <v>6.3308584378467064E-2</v>
      </c>
      <c r="O45" s="822">
        <f t="shared" si="13"/>
        <v>6.3308584378467175E-2</v>
      </c>
      <c r="P45" s="822">
        <v>6.5000000000000002E-2</v>
      </c>
      <c r="Q45" s="822">
        <v>6.5000000000000002E-2</v>
      </c>
      <c r="R45" s="822">
        <f t="shared" si="13"/>
        <v>7.523612479161064E-2</v>
      </c>
      <c r="S45" s="822">
        <f t="shared" si="13"/>
        <v>7.5236124791610764E-2</v>
      </c>
      <c r="T45" s="822">
        <v>7.4999999999999997E-2</v>
      </c>
      <c r="U45" s="822">
        <v>7.4999999999999997E-2</v>
      </c>
      <c r="V45" s="822">
        <v>0.05</v>
      </c>
      <c r="W45" s="822">
        <v>0.05</v>
      </c>
      <c r="X45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10" sqref="C10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2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OandM!C65</f>
        <v>0</v>
      </c>
      <c r="D22" s="327">
        <f ca="1">OandM!D65</f>
        <v>0</v>
      </c>
      <c r="E22" s="327">
        <f ca="1">OandM!E65</f>
        <v>121.9483600178628</v>
      </c>
      <c r="F22" s="327">
        <f ca="1">OandM!F65</f>
        <v>53.162309015630854</v>
      </c>
      <c r="G22" s="327">
        <f ca="1">OandM!G65</f>
        <v>-16.772231534086586</v>
      </c>
      <c r="H22" s="327">
        <f ca="1">OandM!H65</f>
        <v>-21.133578182123301</v>
      </c>
      <c r="I22" s="327">
        <f ca="1">OandM!I65</f>
        <v>78.019829363568761</v>
      </c>
      <c r="J22" s="327">
        <f ca="1">OandM!J65</f>
        <v>75.50591909434047</v>
      </c>
      <c r="K22" s="327">
        <f ca="1">OandM!K65</f>
        <v>34.348806641033889</v>
      </c>
      <c r="L22" s="327">
        <f ca="1">OandM!L65</f>
        <v>22.737100934786213</v>
      </c>
      <c r="M22" s="327">
        <f ca="1">OandM!M65</f>
        <v>35.190459134901175</v>
      </c>
      <c r="N22" s="327">
        <f ca="1">OandM!N65</f>
        <v>26.625169956970012</v>
      </c>
      <c r="O22" s="327">
        <f ca="1">OandM!O65</f>
        <v>84.428349727989144</v>
      </c>
      <c r="P22" s="327">
        <f ca="1">OandM!P65</f>
        <v>22.874214608067632</v>
      </c>
      <c r="Q22" s="327">
        <f ca="1">OandM!Q65</f>
        <v>69.458941910391786</v>
      </c>
      <c r="R22" s="327">
        <f ca="1">OandM!R65</f>
        <v>49.737230696203369</v>
      </c>
      <c r="S22" s="327">
        <f ca="1">OandM!S65</f>
        <v>69.317092471398155</v>
      </c>
      <c r="T22" s="327">
        <f ca="1">OandM!T65</f>
        <v>45.435789634695084</v>
      </c>
      <c r="U22" s="327">
        <f ca="1">OandM!U65</f>
        <v>59.95317207325752</v>
      </c>
      <c r="V22" s="327">
        <f ca="1">OandM!V65</f>
        <v>-2225.083763750702</v>
      </c>
      <c r="W22" s="326"/>
    </row>
    <row r="23" spans="1:23">
      <c r="A23" s="331" t="s">
        <v>306</v>
      </c>
      <c r="C23" s="328">
        <f ca="1">IF(C6='ASSUM 1'!$D$36,-OandM!C45,0)</f>
        <v>0</v>
      </c>
      <c r="D23" s="328">
        <f ca="1">IF(D6='ASSUM 1'!$D$36,-OandM!D45,0)</f>
        <v>0</v>
      </c>
      <c r="E23" s="328">
        <f ca="1">IF(E6='ASSUM 1'!$D$36,-OandM!E45,0)</f>
        <v>0</v>
      </c>
      <c r="F23" s="328">
        <f ca="1">IF(F6='ASSUM 1'!$D$36,-OandM!F45,0)</f>
        <v>0</v>
      </c>
      <c r="G23" s="328">
        <f ca="1">IF(G6='ASSUM 1'!$D$36,-OandM!G45,0)</f>
        <v>0</v>
      </c>
      <c r="H23" s="328">
        <f ca="1">IF(H6='ASSUM 1'!$D$36,-OandM!H45,0)</f>
        <v>0</v>
      </c>
      <c r="I23" s="328">
        <f ca="1">IF(I6='ASSUM 1'!$D$36,-OandM!I45,0)</f>
        <v>0</v>
      </c>
      <c r="J23" s="328">
        <f ca="1">IF(J6='ASSUM 1'!$D$36,-OandM!J45,0)</f>
        <v>0</v>
      </c>
      <c r="K23" s="328">
        <f ca="1">IF(K6='ASSUM 1'!$D$36,-OandM!K45,0)</f>
        <v>0</v>
      </c>
      <c r="L23" s="328">
        <f ca="1">IF(L6='ASSUM 1'!$D$36,-OandM!L45,0)</f>
        <v>0</v>
      </c>
      <c r="M23" s="328">
        <f ca="1">IF(M6='ASSUM 1'!$D$36,-OandM!M45,0)</f>
        <v>0</v>
      </c>
      <c r="N23" s="328">
        <f ca="1">IF(N6='ASSUM 1'!$D$36,-OandM!N45,0)</f>
        <v>0</v>
      </c>
      <c r="O23" s="328">
        <f ca="1">IF(O6='ASSUM 1'!$D$36,-OandM!O45,0)</f>
        <v>0</v>
      </c>
      <c r="P23" s="328">
        <f ca="1">IF(P6='ASSUM 1'!$D$36,-OandM!P45,0)</f>
        <v>0</v>
      </c>
      <c r="Q23" s="328">
        <f ca="1">IF(Q6='ASSUM 1'!$D$36,-OandM!Q45,0)</f>
        <v>0</v>
      </c>
      <c r="R23" s="328">
        <f ca="1">IF(R6='ASSUM 1'!$D$36,-OandM!R45,0)</f>
        <v>0</v>
      </c>
      <c r="S23" s="328">
        <f ca="1">IF(S6='ASSUM 1'!$D$36,-OandM!S45,0)</f>
        <v>0</v>
      </c>
      <c r="T23" s="328">
        <f ca="1">IF(T6='ASSUM 1'!$D$36,-OandM!T45,0)</f>
        <v>0</v>
      </c>
      <c r="U23" s="328">
        <f ca="1">IF(U6='ASSUM 1'!$D$36,-OandM!U45,0)</f>
        <v>0</v>
      </c>
      <c r="V23" s="328">
        <f ca="1">IF(V6='ASSUM 1'!$D$36,-OandM!V45,0)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6.8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2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K43" zoomScale="75" zoomScaleNormal="75" workbookViewId="0">
      <selection activeCell="E56" sqref="E56"/>
    </sheetView>
  </sheetViews>
  <sheetFormatPr defaultColWidth="9.81640625" defaultRowHeight="15.6"/>
  <cols>
    <col min="1" max="1" width="31.81640625" style="2" customWidth="1"/>
    <col min="2" max="2" width="9.81640625" style="2" customWidth="1"/>
    <col min="3" max="3" width="25.81640625" style="2" customWidth="1"/>
    <col min="4" max="4" width="10.81640625" style="2" customWidth="1"/>
    <col min="5" max="5" width="11.08984375" style="7" customWidth="1"/>
    <col min="6" max="6" width="3.453125" customWidth="1"/>
    <col min="7" max="11" width="9.81640625" customWidth="1"/>
    <col min="12" max="12" width="25.81640625" customWidth="1"/>
    <col min="13" max="14" width="9.81640625" style="97" customWidth="1"/>
    <col min="15" max="15" width="2.81640625" customWidth="1"/>
    <col min="16" max="17" width="9.81640625" style="97" customWidth="1"/>
    <col min="18" max="16384" width="9.8164062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2.2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2" thickBot="1">
      <c r="A4" s="102"/>
      <c r="B4" s="102"/>
      <c r="C4" s="51"/>
      <c r="D4" s="51"/>
      <c r="T4" s="101"/>
    </row>
    <row r="5" spans="1:21" ht="16.8" thickTop="1" thickBot="1">
      <c r="A5" s="17"/>
      <c r="B5" s="93"/>
      <c r="C5" s="103"/>
      <c r="D5" s="103"/>
      <c r="E5" s="104"/>
      <c r="F5" s="27"/>
      <c r="T5" s="101"/>
    </row>
    <row r="6" spans="1:21" ht="16.2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 ht="16.2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2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2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2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2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3" ht="22.2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2" thickBot="1">
      <c r="A16" s="347"/>
      <c r="B16" s="354"/>
      <c r="C16" s="347"/>
      <c r="D16" s="347"/>
    </row>
    <row r="17" spans="1:24" ht="16.2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2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2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4" ht="22.2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5204.7089220295165</v>
      </c>
      <c r="E23" s="351">
        <f ca="1">IF(E7&lt;12,0,IF(E20&gt;1,PMT('ASSUM 1'!$S$42/2,'ASSUM 1'!$S$32*IF('ASSUM 1'!$S$34="semi",2,1),-(($C$20))),0))</f>
        <v>5204.7089220295165</v>
      </c>
      <c r="F23" s="351">
        <f ca="1">IF(F7&lt;12,0,IF(F20&gt;1,PMT('ASSUM 1'!$S$42/2,'ASSUM 1'!$S$32*IF('ASSUM 1'!$S$34="semi",2,1),-(($C$20))),0))</f>
        <v>5204.7089220295165</v>
      </c>
      <c r="G23" s="351">
        <f ca="1">IF(G7&lt;12,0,IF(G20&gt;1,PMT('ASSUM 1'!$S$42/2,'ASSUM 1'!$S$32*IF('ASSUM 1'!$S$34="semi",2,1),-(($C$20))),0))</f>
        <v>5204.7089220295165</v>
      </c>
      <c r="H23" s="351">
        <f ca="1">IF(H7&lt;12,0,IF(H20&gt;1,PMT('ASSUM 1'!$S$42/2,'ASSUM 1'!$S$32*IF('ASSUM 1'!$S$34="semi",2,1),-(($C$20))),0))</f>
        <v>5204.7089220295165</v>
      </c>
      <c r="I23" s="351">
        <f ca="1">IF(I7&lt;12,0,IF(I20&gt;1,PMT('ASSUM 1'!$S$42/2,'ASSUM 1'!$S$32*IF('ASSUM 1'!$S$34="semi",2,1),-(($C$20))),0))</f>
        <v>5204.7089220295165</v>
      </c>
      <c r="J23" s="351">
        <f ca="1">IF(J7&lt;12,0,IF(J20&gt;1,PMT('ASSUM 1'!$S$42/2,'ASSUM 1'!$S$32*IF('ASSUM 1'!$S$34="semi",2,1),-(($C$20))),0))</f>
        <v>5204.7089220295165</v>
      </c>
      <c r="K23" s="351">
        <f ca="1">IF(K7&lt;12,0,IF(K20&gt;1,PMT('ASSUM 1'!$S$42/2,'ASSUM 1'!$S$32*IF('ASSUM 1'!$S$34="semi",2,1),-(($C$20))),0))</f>
        <v>5204.7089220295165</v>
      </c>
      <c r="L23" s="351">
        <f ca="1">IF(L7&lt;12,0,IF(L20&gt;1,PMT('ASSUM 1'!$S$42/2,'ASSUM 1'!$S$32*IF('ASSUM 1'!$S$34="semi",2,1),-(($C$20))),0))</f>
        <v>5204.7089220295165</v>
      </c>
      <c r="M23" s="351">
        <f ca="1">IF(M7&lt;12,0,IF(M20&gt;1,PMT('ASSUM 1'!$S$42/2,'ASSUM 1'!$S$32*IF('ASSUM 1'!$S$34="semi",2,1),-(($C$20))),0))</f>
        <v>5204.7089220295165</v>
      </c>
      <c r="N23" s="351">
        <f ca="1">IF(N7&lt;12,0,IF(N20&gt;1,PMT('ASSUM 1'!$S$42/2,'ASSUM 1'!$S$32*IF('ASSUM 1'!$S$34="semi",2,1),-(($C$20))),0))</f>
        <v>5204.7089220295165</v>
      </c>
      <c r="O23" s="351">
        <f ca="1">IF(O7&lt;12,0,IF(O20&gt;1,PMT('ASSUM 1'!$S$42/2,'ASSUM 1'!$S$32*IF('ASSUM 1'!$S$34="semi",2,1),-(($C$20))),0))</f>
        <v>5204.7089220295165</v>
      </c>
      <c r="P23" s="351">
        <f ca="1">IF(P7&lt;12,0,IF(P20&gt;1,PMT('ASSUM 1'!$S$42/2,'ASSUM 1'!$S$32*IF('ASSUM 1'!$S$34="semi",2,1),-(($C$20))),0))</f>
        <v>5204.7089220295165</v>
      </c>
      <c r="Q23" s="351">
        <f ca="1">IF(Q7&lt;12,0,IF(Q20&gt;1,PMT('ASSUM 1'!$S$42/2,'ASSUM 1'!$S$32*IF('ASSUM 1'!$S$34="semi",2,1),-(($C$20))),0))</f>
        <v>5204.7089220295165</v>
      </c>
      <c r="R23" s="351">
        <f ca="1">IF(R7&lt;12,0,IF(R20&gt;1,PMT('ASSUM 1'!$S$42/2,'ASSUM 1'!$S$32*IF('ASSUM 1'!$S$34="semi",2,1),-(($C$20))),0))</f>
        <v>5204.7089220295165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5204.7089220295165</v>
      </c>
      <c r="D30" s="351">
        <f ca="1">IF(D27&gt;1,PMT('ASSUM 1'!$S$42/2,'ASSUM 1'!$S$32*IF('ASSUM 1'!$S$34="semi",2,1),-(($C$20))),0)</f>
        <v>5204.7089220295165</v>
      </c>
      <c r="E30" s="351">
        <f ca="1">IF(E27&gt;1,PMT('ASSUM 1'!$S$42/2,'ASSUM 1'!$S$32*IF('ASSUM 1'!$S$34="semi",2,1),-(($C$20))),0)</f>
        <v>5204.7089220295165</v>
      </c>
      <c r="F30" s="351">
        <f ca="1">IF(F27&gt;1,PMT('ASSUM 1'!$S$42/2,'ASSUM 1'!$S$32*IF('ASSUM 1'!$S$34="semi",2,1),-(($C$20))),0)</f>
        <v>5204.7089220295165</v>
      </c>
      <c r="G30" s="351">
        <f ca="1">IF(G27&gt;1,PMT('ASSUM 1'!$S$42/2,'ASSUM 1'!$S$32*IF('ASSUM 1'!$S$34="semi",2,1),-(($C$20))),0)</f>
        <v>5204.7089220295165</v>
      </c>
      <c r="H30" s="351">
        <f ca="1">IF(H27&gt;1,PMT('ASSUM 1'!$S$42/2,'ASSUM 1'!$S$32*IF('ASSUM 1'!$S$34="semi",2,1),-(($C$20))),0)</f>
        <v>5204.7089220295165</v>
      </c>
      <c r="I30" s="351">
        <f ca="1">IF(I27&gt;1,PMT('ASSUM 1'!$S$42/2,'ASSUM 1'!$S$32*IF('ASSUM 1'!$S$34="semi",2,1),-(($C$20))),0)</f>
        <v>5204.7089220295165</v>
      </c>
      <c r="J30" s="351">
        <f ca="1">IF(J27&gt;1,PMT('ASSUM 1'!$S$42/2,'ASSUM 1'!$S$32*IF('ASSUM 1'!$S$34="semi",2,1),-(($C$20))),0)</f>
        <v>5204.7089220295165</v>
      </c>
      <c r="K30" s="351">
        <f ca="1">IF(K27&gt;1,PMT('ASSUM 1'!$S$42/2,'ASSUM 1'!$S$32*IF('ASSUM 1'!$S$34="semi",2,1),-(($C$20))),0)</f>
        <v>5204.7089220295165</v>
      </c>
      <c r="L30" s="351">
        <f ca="1">IF(L27&gt;1,PMT('ASSUM 1'!$S$42/2,'ASSUM 1'!$S$32*IF('ASSUM 1'!$S$34="semi",2,1),-(($C$20))),0)</f>
        <v>5204.7089220295165</v>
      </c>
      <c r="M30" s="351">
        <f ca="1">IF(M27&gt;1,PMT('ASSUM 1'!$S$42/2,'ASSUM 1'!$S$32*IF('ASSUM 1'!$S$34="semi",2,1),-(($C$20))),0)</f>
        <v>5204.7089220295165</v>
      </c>
      <c r="N30" s="351">
        <f ca="1">IF(N27&gt;1,PMT('ASSUM 1'!$S$42/2,'ASSUM 1'!$S$32*IF('ASSUM 1'!$S$34="semi",2,1),-(($C$20))),0)</f>
        <v>5204.7089220295165</v>
      </c>
      <c r="O30" s="351">
        <f ca="1">IF(O27&gt;1,PMT('ASSUM 1'!$S$42/2,'ASSUM 1'!$S$32*IF('ASSUM 1'!$S$34="semi",2,1),-(($C$20))),0)</f>
        <v>5204.7089220295165</v>
      </c>
      <c r="P30" s="351">
        <f ca="1">IF(P27&gt;1,PMT('ASSUM 1'!$S$42/2,'ASSUM 1'!$S$32*IF('ASSUM 1'!$S$34="semi",2,1),-(($C$20))),0)</f>
        <v>5204.7089220295165</v>
      </c>
      <c r="Q30" s="351">
        <f ca="1">IF(Q27&gt;1,PMT('ASSUM 1'!$S$42/2,'ASSUM 1'!$S$32*IF('ASSUM 1'!$S$34="semi",2,1),-(($C$20))),0)</f>
        <v>5204.7089220295165</v>
      </c>
      <c r="R30" s="351">
        <f ca="1">IF(R27&gt;1,PMT('ASSUM 1'!$S$42/2,'ASSUM 1'!$S$32*IF('ASSUM 1'!$S$34="semi",2,1),-(($C$20))),0)</f>
        <v>5204.7089220295165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81640625" defaultRowHeight="15.6"/>
  <cols>
    <col min="1" max="1" width="28.81640625" style="369" customWidth="1"/>
    <col min="2" max="16384" width="9.81640625" style="369"/>
  </cols>
  <sheetData>
    <row r="1" spans="1:26" ht="22.2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 ht="16.2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 ht="16.2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 ht="16.2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 ht="16.2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 ht="16.2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 ht="16.2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 ht="16.2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 ht="16.2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 ht="16.2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 ht="16.2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 ht="16.2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 ht="16.2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 ht="16.2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 ht="16.2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 ht="16.2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 ht="16.2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 ht="16.2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 ht="16.2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 ht="16.2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 ht="16.2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 ht="16.2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 ht="16.2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 ht="16.2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 ht="16.2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 ht="16.2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 ht="16.2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 ht="16.2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 ht="16.2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 ht="16.2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 ht="16.2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 ht="16.2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 ht="16.2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 ht="16.2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 ht="16.2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 ht="16.2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 ht="16.2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 ht="16.2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 ht="16.2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 ht="16.2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 ht="16.2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 ht="16.2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 ht="16.2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 ht="16.2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 ht="16.2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 ht="16.2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 ht="16.2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 ht="16.2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 ht="16.2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 ht="16.2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 ht="16.2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 ht="16.2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 ht="16.2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 ht="16.2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81640625" defaultRowHeight="15.6"/>
  <cols>
    <col min="1" max="1" width="25.81640625" style="473" customWidth="1"/>
    <col min="2" max="4" width="9.81640625" style="501" customWidth="1"/>
    <col min="5" max="16384" width="9.81640625" style="473"/>
  </cols>
  <sheetData>
    <row r="1" spans="1:27" ht="22.2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 ht="16.2">
      <c r="A11" s="490"/>
      <c r="B11" s="491" t="s">
        <v>366</v>
      </c>
      <c r="C11" s="491" t="s">
        <v>367</v>
      </c>
      <c r="D11" s="488"/>
      <c r="E11" s="491"/>
      <c r="AA11" s="484"/>
    </row>
    <row r="12" spans="1:27" ht="16.2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 ht="16.2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 ht="16.2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 ht="16.2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 ht="16.2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 ht="16.2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 ht="16.2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 ht="16.2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 ht="16.2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 ht="16.2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 ht="16.2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 ht="16.2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 ht="16.2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 ht="16.2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 ht="16.2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 ht="16.2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 ht="16.2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 ht="16.2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 ht="16.2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 ht="16.2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 ht="16.2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 ht="16.2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 ht="16.2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 ht="16.2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 ht="16.2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 ht="16.2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 ht="16.2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 ht="16.2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 ht="16.2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 ht="16.2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 ht="16.2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 ht="16.2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 ht="16.2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 ht="16.2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 ht="16.2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 ht="16.2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 ht="16.2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 ht="16.2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 ht="16.2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 ht="16.2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 ht="16.2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 ht="16.2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 ht="16.2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 ht="16.2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 ht="16.2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 ht="16.2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 ht="16.2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 ht="16.2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 ht="16.2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 ht="16.2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 ht="16.2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 ht="16.2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 ht="16.2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 ht="16.2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 ht="16.2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 ht="16.2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 ht="16.2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 ht="16.2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81640625" defaultRowHeight="15.6"/>
  <cols>
    <col min="1" max="1" width="21.81640625" style="503" customWidth="1"/>
    <col min="2" max="16384" width="9.81640625" style="503"/>
  </cols>
  <sheetData>
    <row r="1" spans="1:28" ht="22.8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 ht="16.2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 ht="16.2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 ht="16.2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 ht="16.2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 ht="16.2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 ht="16.2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81640625" defaultRowHeight="15.6"/>
  <cols>
    <col min="1" max="1" width="17.81640625" style="147" customWidth="1"/>
    <col min="2" max="19" width="9.81640625" style="147" customWidth="1"/>
    <col min="20" max="20" width="10.81640625" style="147" customWidth="1"/>
    <col min="21" max="21" width="11.81640625" style="147" customWidth="1"/>
    <col min="22" max="16384" width="9.8164062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zoomScaleNormal="75" workbookViewId="0">
      <selection activeCell="C18" sqref="C18"/>
    </sheetView>
  </sheetViews>
  <sheetFormatPr defaultColWidth="8.81640625" defaultRowHeight="15"/>
  <cols>
    <col min="1" max="1" width="23.81640625" style="191" customWidth="1"/>
    <col min="2" max="2" width="5.81640625" style="191" customWidth="1"/>
    <col min="3" max="22" width="10.08984375" style="580" customWidth="1"/>
    <col min="23" max="23" width="4.08984375" style="580" customWidth="1"/>
    <col min="24" max="51" width="10.81640625" style="580" customWidth="1"/>
    <col min="52" max="252" width="10.81640625" style="191" customWidth="1"/>
    <col min="253" max="16384" width="8.81640625" style="191"/>
  </cols>
  <sheetData>
    <row r="1" spans="1:41" ht="22.2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6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6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6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6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6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6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6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6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6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6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6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6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6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6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6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6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6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6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6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6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6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6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6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6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6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6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6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6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6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6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6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6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6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6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6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6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6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6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6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6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6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6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6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6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6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6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6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6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6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6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6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6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6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6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6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6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6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6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6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6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6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6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6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6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6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6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6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6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6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6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6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6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6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6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6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6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6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6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6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6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6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6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6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6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6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6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6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6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6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6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6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6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6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6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6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6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6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6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6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6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6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6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6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6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6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6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6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6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6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6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6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6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6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6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6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6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6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6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6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6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6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81640625" defaultRowHeight="15.6"/>
  <cols>
    <col min="1" max="1" width="18.1796875" style="214" customWidth="1"/>
    <col min="2" max="16384" width="9.81640625" style="214"/>
  </cols>
  <sheetData>
    <row r="1" spans="1:22" ht="22.2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81640625" defaultRowHeight="15"/>
  <cols>
    <col min="1" max="1" width="22.81640625" style="238" customWidth="1"/>
    <col min="2" max="2" width="4.81640625" style="238" customWidth="1"/>
    <col min="3" max="3" width="11.36328125" style="238" customWidth="1"/>
    <col min="4" max="4" width="11.81640625" style="238" customWidth="1"/>
    <col min="5" max="11" width="11.453125" style="238" customWidth="1"/>
    <col min="12" max="12" width="10.81640625" style="238" customWidth="1"/>
    <col min="13" max="22" width="11.1796875" style="238" customWidth="1"/>
    <col min="23" max="16384" width="9.81640625" style="238"/>
  </cols>
  <sheetData>
    <row r="1" spans="1:256" ht="22.2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6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6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6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6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6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6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6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6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6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6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6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6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6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6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6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6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6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6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6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6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6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6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6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6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6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6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6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6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6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6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6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6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6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6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6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6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6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6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6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6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6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6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6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6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6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6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6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6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6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6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6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6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6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6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6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6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6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6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6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6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6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6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6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6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6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6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6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6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6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6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6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6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6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6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6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6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6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6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6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6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6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6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6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6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6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6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6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6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6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6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80"/>
  <sheetViews>
    <sheetView tabSelected="1" showOutlineSymbols="0" view="pageBreakPreview" zoomScaleNormal="75" workbookViewId="0">
      <selection activeCell="O37" sqref="O37"/>
    </sheetView>
  </sheetViews>
  <sheetFormatPr defaultColWidth="9.81640625" defaultRowHeight="15"/>
  <cols>
    <col min="1" max="1" width="21.81640625" style="255" customWidth="1"/>
    <col min="2" max="2" width="9.90625" style="255" customWidth="1"/>
    <col min="3" max="14" width="9.81640625" style="255" customWidth="1"/>
    <col min="15" max="15" width="10.90625" style="255" customWidth="1"/>
    <col min="16" max="16384" width="9.81640625" style="255"/>
  </cols>
  <sheetData>
    <row r="1" spans="1:22" ht="22.2">
      <c r="A1" s="254" t="str">
        <f ca="1">OandM!A1</f>
        <v>DELMARVA, VA</v>
      </c>
      <c r="Q1" s="256"/>
      <c r="R1" s="256"/>
    </row>
    <row r="2" spans="1:22" ht="15.6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6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6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6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6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6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6">
      <c r="A11" s="267" t="str">
        <f>'ASSUM 1'!F31</f>
        <v xml:space="preserve">   Management Fee </v>
      </c>
      <c r="B11" s="267"/>
      <c r="C11" s="846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6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6">
      <c r="A13" s="267" t="str">
        <f>'ASSUM 1'!F33</f>
        <v xml:space="preserve">   Variable Costs mills/kw</v>
      </c>
      <c r="B13" s="267"/>
      <c r="C13" s="846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6">
      <c r="A14" s="267" t="str">
        <f>'ASSUM 1'!F34</f>
        <v xml:space="preserve">   Maintenance Reserve</v>
      </c>
      <c r="B14" s="267"/>
      <c r="C14" s="846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6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6">
      <c r="A16" s="267" t="str">
        <f>'ASSUM 1'!F36</f>
        <v xml:space="preserve">   TPS Parts Co. </v>
      </c>
      <c r="B16" s="267"/>
      <c r="C16" s="846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6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6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6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6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6">
      <c r="A21" s="267" t="str">
        <f>'ASSUM 1'!F40</f>
        <v xml:space="preserve">   Marketing Fee</v>
      </c>
      <c r="B21" s="267"/>
      <c r="C21" s="84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6">
      <c r="A22" s="267" t="str">
        <f>'ASSUM 1'!F41</f>
        <v xml:space="preserve">   Property Tax</v>
      </c>
      <c r="B22" s="267"/>
      <c r="C22" s="268">
        <f t="shared" ref="C22:V22" ca="1" si="3">C59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6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6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6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6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6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6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6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6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6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6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6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6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5" spans="1:255" s="842" customFormat="1" ht="28.5" hidden="1" customHeight="1">
      <c r="A35" s="842" t="s">
        <v>480</v>
      </c>
      <c r="C35" s="843">
        <f t="shared" ref="C35:H35" ca="1" si="6">(C34-C21-C11)/2</f>
        <v>896.15219202013247</v>
      </c>
      <c r="D35" s="843">
        <f t="shared" ca="1" si="6"/>
        <v>2604.0690545800526</v>
      </c>
      <c r="E35" s="843">
        <f t="shared" ca="1" si="6"/>
        <v>2672.9082433819171</v>
      </c>
      <c r="F35" s="843">
        <f t="shared" ca="1" si="6"/>
        <v>2614.4239465813762</v>
      </c>
      <c r="G35" s="843">
        <f t="shared" ca="1" si="6"/>
        <v>2657.7764335909255</v>
      </c>
      <c r="H35" s="843">
        <f t="shared" ca="1" si="6"/>
        <v>2675.4548545909615</v>
      </c>
      <c r="I35" s="843">
        <f t="shared" ref="I35:V35" ca="1" si="7">(I34-I21-I11)/2</f>
        <v>2762.707539988131</v>
      </c>
      <c r="J35" s="843">
        <f t="shared" ca="1" si="7"/>
        <v>2853.0273113162348</v>
      </c>
      <c r="K35" s="843">
        <f t="shared" ca="1" si="7"/>
        <v>2913.6754885935011</v>
      </c>
      <c r="L35" s="843">
        <f t="shared" ca="1" si="7"/>
        <v>2965.3126796465453</v>
      </c>
      <c r="M35" s="843">
        <f t="shared" ca="1" si="7"/>
        <v>3029.5747188351825</v>
      </c>
      <c r="N35" s="843">
        <f t="shared" ca="1" si="7"/>
        <v>3086.088486809364</v>
      </c>
      <c r="O35" s="843">
        <f t="shared" ca="1" si="7"/>
        <v>3162.7468193064628</v>
      </c>
      <c r="P35" s="843">
        <f t="shared" ca="1" si="7"/>
        <v>3217.5360151437958</v>
      </c>
      <c r="Q35" s="843">
        <f t="shared" ca="1" si="7"/>
        <v>3309.7457445774976</v>
      </c>
      <c r="R35" s="843">
        <f t="shared" ca="1" si="7"/>
        <v>3391.7065777068037</v>
      </c>
      <c r="S35" s="843">
        <f t="shared" ca="1" si="7"/>
        <v>3487.2894638444359</v>
      </c>
      <c r="T35" s="843">
        <f t="shared" ca="1" si="7"/>
        <v>3564.6049050252632</v>
      </c>
      <c r="U35" s="843">
        <f t="shared" ca="1" si="7"/>
        <v>3651.1962436541385</v>
      </c>
      <c r="V35" s="843">
        <f t="shared" ca="1" si="7"/>
        <v>3695.7796263758682</v>
      </c>
    </row>
    <row r="36" spans="1:255" s="842" customFormat="1" ht="28.5" customHeight="1"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3"/>
      <c r="P36" s="843"/>
      <c r="Q36" s="843"/>
      <c r="R36" s="843"/>
      <c r="S36" s="843"/>
      <c r="T36" s="843"/>
      <c r="U36" s="843"/>
      <c r="V36" s="843"/>
    </row>
    <row r="37" spans="1:255" s="842" customFormat="1" ht="15.75" customHeight="1">
      <c r="A37" s="842" t="s">
        <v>481</v>
      </c>
      <c r="C37" s="847">
        <f ca="1">C34-C13-C11-C16-C14+C44</f>
        <v>1076.8363361779241</v>
      </c>
      <c r="D37" s="847">
        <f ca="1">(D34-D13-D11-D16-D14+D44)/2</f>
        <v>1474.801742513363</v>
      </c>
      <c r="E37" s="847">
        <f t="shared" ref="E37:V37" ca="1" si="8">(E34-E13-E11-E16-E14+E44)/2</f>
        <v>1502.4725781795032</v>
      </c>
      <c r="F37" s="847">
        <f t="shared" ca="1" si="8"/>
        <v>1412.4939552805122</v>
      </c>
      <c r="G37" s="847">
        <f t="shared" ca="1" si="8"/>
        <v>1443.149601665988</v>
      </c>
      <c r="H37" s="847">
        <f t="shared" ca="1" si="8"/>
        <v>1447.7317509286274</v>
      </c>
      <c r="I37" s="847">
        <f t="shared" ca="1" si="8"/>
        <v>1501.8469564734423</v>
      </c>
      <c r="J37" s="847">
        <f t="shared" ca="1" si="8"/>
        <v>1559.205729878945</v>
      </c>
      <c r="K37" s="847">
        <f t="shared" ca="1" si="8"/>
        <v>1594.5085414817845</v>
      </c>
      <c r="L37" s="847">
        <f t="shared" ca="1" si="8"/>
        <v>1622.4570169603044</v>
      </c>
      <c r="M37" s="847">
        <f t="shared" ca="1" si="8"/>
        <v>1660.162047176555</v>
      </c>
      <c r="N37" s="847">
        <f t="shared" ca="1" si="8"/>
        <v>1691.1688975777263</v>
      </c>
      <c r="O37" s="847">
        <f t="shared" ca="1" si="8"/>
        <v>12004.584363641359</v>
      </c>
      <c r="P37" s="847">
        <f t="shared" ca="1" si="8"/>
        <v>1758.4956638069511</v>
      </c>
      <c r="Q37" s="847">
        <f t="shared" ca="1" si="8"/>
        <v>1815.2010452700283</v>
      </c>
      <c r="R37" s="847">
        <f t="shared" ca="1" si="8"/>
        <v>1873.0942740535556</v>
      </c>
      <c r="S37" s="847">
        <f t="shared" ca="1" si="8"/>
        <v>1932.2914272836481</v>
      </c>
      <c r="T37" s="847">
        <f t="shared" ca="1" si="8"/>
        <v>1977.0976693651182</v>
      </c>
      <c r="U37" s="847">
        <f t="shared" ca="1" si="8"/>
        <v>2027.6800133878435</v>
      </c>
      <c r="V37" s="847">
        <f t="shared" ca="1" si="8"/>
        <v>2047.2612019628168</v>
      </c>
    </row>
    <row r="38" spans="1:255" s="842" customFormat="1" ht="15.75" customHeight="1"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</row>
    <row r="39" spans="1:255" ht="15.6">
      <c r="A39" s="263" t="s">
        <v>263</v>
      </c>
      <c r="B39" s="263"/>
      <c r="C39" s="273">
        <f ca="1">C18/Tariff!C17</f>
        <v>3.5204405968705887E-2</v>
      </c>
      <c r="D39" s="273">
        <f ca="1">D18/Tariff!D17</f>
        <v>2.5531131306806322E-2</v>
      </c>
      <c r="E39" s="273">
        <f ca="1">E18/Tariff!E17</f>
        <v>2.424021149885075E-2</v>
      </c>
      <c r="F39" s="273">
        <f ca="1">F18/Tariff!F17</f>
        <v>2.4133042380569632E-2</v>
      </c>
      <c r="G39" s="273">
        <f ca="1">G18/Tariff!G17</f>
        <v>2.5869929365397667E-2</v>
      </c>
      <c r="H39" s="273">
        <f ca="1">H18/Tariff!H17</f>
        <v>2.776354290902255E-2</v>
      </c>
      <c r="I39" s="273">
        <f ca="1">I18/Tariff!I17</f>
        <v>2.7639044733087047E-2</v>
      </c>
      <c r="J39" s="273">
        <f ca="1">J18/Tariff!J17</f>
        <v>2.7666467371993134E-2</v>
      </c>
      <c r="K39" s="273">
        <f ca="1">K18/Tariff!K17</f>
        <v>2.8542230311872138E-2</v>
      </c>
      <c r="L39" s="273">
        <f ca="1">L18/Tariff!L17</f>
        <v>2.9679586078268764E-2</v>
      </c>
      <c r="M39" s="273">
        <f ca="1">M18/Tariff!M17</f>
        <v>3.062825611613243E-2</v>
      </c>
      <c r="N39" s="273">
        <f ca="1">N18/Tariff!N17</f>
        <v>3.1790521004949758E-2</v>
      </c>
      <c r="O39" s="273">
        <f ca="1">O18/Tariff!O17</f>
        <v>3.1739778504643254E-2</v>
      </c>
      <c r="P39" s="273">
        <f ca="1">P18/Tariff!P17</f>
        <v>3.3059360920835328E-2</v>
      </c>
      <c r="Q39" s="273">
        <f ca="1">Q18/Tariff!Q17</f>
        <v>3.3506978603307744E-2</v>
      </c>
      <c r="R39" s="273">
        <f ca="1">R18/Tariff!R17</f>
        <v>3.5238673582092886E-2</v>
      </c>
      <c r="S39" s="273">
        <f ca="1">S18/Tariff!S17</f>
        <v>3.5808463775921215E-2</v>
      </c>
      <c r="T39" s="273">
        <f ca="1">T18/Tariff!T17</f>
        <v>3.6901996181664169E-2</v>
      </c>
      <c r="U39" s="273">
        <f ca="1">U18/Tariff!U17</f>
        <v>3.7751440141833209E-2</v>
      </c>
      <c r="V39" s="273">
        <f ca="1">V18/Tariff!V17</f>
        <v>3.9908973770186817E-2</v>
      </c>
    </row>
    <row r="40" spans="1:255" ht="15.6">
      <c r="A40" s="263" t="s">
        <v>264</v>
      </c>
      <c r="B40" s="263"/>
      <c r="C40" s="273">
        <f ca="1">C34/Tariff!C17</f>
        <v>3.8287649370032678E-2</v>
      </c>
      <c r="D40" s="273">
        <f ca="1">D34/Tariff!D17</f>
        <v>3.0757854125255935E-2</v>
      </c>
      <c r="E40" s="273">
        <f ca="1">E34/Tariff!E17</f>
        <v>2.9067334434387689E-2</v>
      </c>
      <c r="F40" s="273">
        <f ca="1">F34/Tariff!F17</f>
        <v>2.7744304730452078E-2</v>
      </c>
      <c r="G40" s="273">
        <f ca="1">G34/Tariff!G17</f>
        <v>2.9697551530008588E-2</v>
      </c>
      <c r="H40" s="273">
        <f ca="1">H34/Tariff!H17</f>
        <v>3.1552633066579412E-2</v>
      </c>
      <c r="I40" s="273">
        <f ca="1">I34/Tariff!I17</f>
        <v>3.1558678122293543E-2</v>
      </c>
      <c r="J40" s="273">
        <f ca="1">J34/Tariff!J17</f>
        <v>3.1752358686471936E-2</v>
      </c>
      <c r="K40" s="273">
        <f ca="1">K34/Tariff!K17</f>
        <v>3.2705559855421298E-2</v>
      </c>
      <c r="L40" s="273">
        <f ca="1">L34/Tariff!L17</f>
        <v>3.3877776352137214E-2</v>
      </c>
      <c r="M40" s="273">
        <f ca="1">M34/Tariff!M17</f>
        <v>3.491389126859943E-2</v>
      </c>
      <c r="N40" s="273">
        <f ca="1">N34/Tariff!N17</f>
        <v>3.6116340873619437E-2</v>
      </c>
      <c r="O40" s="273">
        <f ca="1">O34/Tariff!O17</f>
        <v>3.5987139904169671E-2</v>
      </c>
      <c r="P40" s="273">
        <f ca="1">P34/Tariff!P17</f>
        <v>3.7324031318431691E-2</v>
      </c>
      <c r="Q40" s="273">
        <f ca="1">Q34/Tariff!Q17</f>
        <v>3.792474623357045E-2</v>
      </c>
      <c r="R40" s="273">
        <f ca="1">R34/Tariff!R17</f>
        <v>3.9995991423173352E-2</v>
      </c>
      <c r="S40" s="273">
        <f ca="1">S34/Tariff!S17</f>
        <v>4.0735091803315429E-2</v>
      </c>
      <c r="T40" s="273">
        <f ca="1">T34/Tariff!T17</f>
        <v>4.1918144359658821E-2</v>
      </c>
      <c r="U40" s="273">
        <f ca="1">U34/Tariff!U17</f>
        <v>4.2864320679854066E-2</v>
      </c>
      <c r="V40" s="273">
        <f ca="1">V34/Tariff!V17</f>
        <v>4.4975649972272755E-2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6">
      <c r="A41" s="263"/>
      <c r="B41" s="26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6">
      <c r="A42" s="274" t="s">
        <v>265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6">
      <c r="A43" s="263" t="s">
        <v>266</v>
      </c>
      <c r="B43" s="263"/>
      <c r="C43" s="275">
        <f ca="1">C14</f>
        <v>359.45</v>
      </c>
      <c r="D43" s="275">
        <f t="shared" ref="D43:V43" ca="1" si="9">C45+D14</f>
        <v>1806.5381879999998</v>
      </c>
      <c r="E43" s="275">
        <f t="shared" ca="1" si="9"/>
        <v>3292.6977570759996</v>
      </c>
      <c r="F43" s="275">
        <f t="shared" ca="1" si="9"/>
        <v>4818.9836345170506</v>
      </c>
      <c r="G43" s="275">
        <f t="shared" ca="1" si="9"/>
        <v>6386.4792306490099</v>
      </c>
      <c r="H43" s="275">
        <f t="shared" ca="1" si="9"/>
        <v>7996.2972078765324</v>
      </c>
      <c r="I43" s="275">
        <f t="shared" ca="1" si="9"/>
        <v>9649.5802704891976</v>
      </c>
      <c r="J43" s="275">
        <f t="shared" ca="1" si="9"/>
        <v>11347.501975792404</v>
      </c>
      <c r="K43" s="275">
        <f t="shared" ca="1" si="9"/>
        <v>13091.267567138797</v>
      </c>
      <c r="L43" s="275">
        <f t="shared" ca="1" si="9"/>
        <v>14882.114829451542</v>
      </c>
      <c r="M43" s="275">
        <f t="shared" ca="1" si="9"/>
        <v>16721.314967846731</v>
      </c>
      <c r="N43" s="275">
        <f t="shared" ca="1" si="9"/>
        <v>18610.173509978591</v>
      </c>
      <c r="O43" s="275">
        <f t="shared" ca="1" si="9"/>
        <v>20550.03123274801</v>
      </c>
      <c r="P43" s="275">
        <f t="shared" ca="1" si="9"/>
        <v>1992.2338812841938</v>
      </c>
      <c r="Q43" s="275">
        <f t="shared" ca="1" si="9"/>
        <v>4038.2580773630607</v>
      </c>
      <c r="R43" s="275">
        <f t="shared" ca="1" si="9"/>
        <v>6139.5249267360568</v>
      </c>
      <c r="S43" s="275">
        <f t="shared" ca="1" si="9"/>
        <v>8297.525981042123</v>
      </c>
      <c r="T43" s="275">
        <f t="shared" ca="1" si="9"/>
        <v>10513.793063814453</v>
      </c>
      <c r="U43" s="275">
        <f t="shared" ca="1" si="9"/>
        <v>12789.899357821636</v>
      </c>
      <c r="V43" s="275">
        <f t="shared" ca="1" si="9"/>
        <v>15127.460521767012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6">
      <c r="A44" s="263" t="s">
        <v>267</v>
      </c>
      <c r="B44" s="263"/>
      <c r="C44" s="275">
        <v>0</v>
      </c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>
        <f ca="1">O43</f>
        <v>20550.03123274801</v>
      </c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6">
      <c r="A45" s="263" t="s">
        <v>268</v>
      </c>
      <c r="B45" s="263"/>
      <c r="C45" s="275">
        <f t="shared" ref="C45:V45" ca="1" si="10">C43-C44</f>
        <v>359.45</v>
      </c>
      <c r="D45" s="275">
        <f t="shared" ca="1" si="10"/>
        <v>1806.5381879999998</v>
      </c>
      <c r="E45" s="275">
        <f t="shared" ca="1" si="10"/>
        <v>3292.6977570759996</v>
      </c>
      <c r="F45" s="275">
        <f t="shared" ca="1" si="10"/>
        <v>4818.9836345170506</v>
      </c>
      <c r="G45" s="275">
        <f t="shared" ca="1" si="10"/>
        <v>6386.4792306490099</v>
      </c>
      <c r="H45" s="275">
        <f t="shared" ca="1" si="10"/>
        <v>7996.2972078765324</v>
      </c>
      <c r="I45" s="275">
        <f t="shared" ca="1" si="10"/>
        <v>9649.5802704891976</v>
      </c>
      <c r="J45" s="275">
        <f t="shared" ca="1" si="10"/>
        <v>11347.501975792404</v>
      </c>
      <c r="K45" s="275">
        <f t="shared" ca="1" si="10"/>
        <v>13091.267567138797</v>
      </c>
      <c r="L45" s="275">
        <f t="shared" ca="1" si="10"/>
        <v>14882.114829451542</v>
      </c>
      <c r="M45" s="275">
        <f t="shared" ca="1" si="10"/>
        <v>16721.314967846731</v>
      </c>
      <c r="N45" s="275">
        <f t="shared" ca="1" si="10"/>
        <v>18610.173509978591</v>
      </c>
      <c r="O45" s="275">
        <f t="shared" ca="1" si="10"/>
        <v>0</v>
      </c>
      <c r="P45" s="275">
        <f t="shared" ca="1" si="10"/>
        <v>1992.2338812841938</v>
      </c>
      <c r="Q45" s="275">
        <f t="shared" ca="1" si="10"/>
        <v>4038.2580773630607</v>
      </c>
      <c r="R45" s="275">
        <f t="shared" ca="1" si="10"/>
        <v>6139.5249267360568</v>
      </c>
      <c r="S45" s="275">
        <f t="shared" ca="1" si="10"/>
        <v>8297.525981042123</v>
      </c>
      <c r="T45" s="275">
        <f t="shared" ca="1" si="10"/>
        <v>10513.793063814453</v>
      </c>
      <c r="U45" s="275">
        <f t="shared" ca="1" si="10"/>
        <v>12789.899357821636</v>
      </c>
      <c r="V45" s="275">
        <f t="shared" ca="1" si="10"/>
        <v>15127.460521767012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6">
      <c r="A46" s="263" t="s">
        <v>269</v>
      </c>
      <c r="B46" s="263"/>
      <c r="C46" s="275">
        <f ca="1">C45*'ASSUM 1'!$S$43</f>
        <v>17.9725</v>
      </c>
      <c r="D46" s="275">
        <f ca="1">D45*'ASSUM 1'!$S$43</f>
        <v>90.326909399999991</v>
      </c>
      <c r="E46" s="275">
        <f ca="1">E45*'ASSUM 1'!$S$43</f>
        <v>164.6348878538</v>
      </c>
      <c r="F46" s="275">
        <f ca="1">F45*'ASSUM 1'!$S$43</f>
        <v>240.94918172585255</v>
      </c>
      <c r="G46" s="275">
        <f ca="1">G45*'ASSUM 1'!$S$43</f>
        <v>319.32396153245054</v>
      </c>
      <c r="H46" s="275">
        <f ca="1">H45*'ASSUM 1'!$S$43</f>
        <v>399.81486039382662</v>
      </c>
      <c r="I46" s="275">
        <f ca="1">I45*'ASSUM 1'!$S$43</f>
        <v>482.4790135244599</v>
      </c>
      <c r="J46" s="275">
        <f ca="1">J45*'ASSUM 1'!$S$43</f>
        <v>567.37509878962021</v>
      </c>
      <c r="K46" s="275">
        <f ca="1">K45*'ASSUM 1'!$S$43</f>
        <v>654.56337835693989</v>
      </c>
      <c r="L46" s="275">
        <f ca="1">L45*'ASSUM 1'!$S$43</f>
        <v>744.10574147257717</v>
      </c>
      <c r="M46" s="275">
        <f ca="1">M45*'ASSUM 1'!$S$43</f>
        <v>836.06574839233656</v>
      </c>
      <c r="N46" s="275">
        <f ca="1">N45*'ASSUM 1'!$S$43</f>
        <v>930.50867549892962</v>
      </c>
      <c r="O46" s="275">
        <f ca="1">O45*'ASSUM 1'!$S$43</f>
        <v>0</v>
      </c>
      <c r="P46" s="275">
        <f ca="1">P45*'ASSUM 1'!$S$43</f>
        <v>99.611694064209701</v>
      </c>
      <c r="Q46" s="275">
        <f ca="1">Q45*'ASSUM 1'!$S$43</f>
        <v>201.91290386815305</v>
      </c>
      <c r="R46" s="275">
        <f ca="1">R45*'ASSUM 1'!$S$43</f>
        <v>306.97624633680289</v>
      </c>
      <c r="S46" s="275">
        <f ca="1">S45*'ASSUM 1'!$S$43</f>
        <v>414.87629905210616</v>
      </c>
      <c r="T46" s="275">
        <f ca="1">T45*'ASSUM 1'!$S$43</f>
        <v>525.68965319072265</v>
      </c>
      <c r="U46" s="275">
        <f ca="1">U45*'ASSUM 1'!$S$43</f>
        <v>639.49496789108184</v>
      </c>
      <c r="V46" s="275">
        <f ca="1">V45*'ASSUM 1'!$S$43</f>
        <v>756.37302608835068</v>
      </c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6">
      <c r="A47" s="263"/>
      <c r="B47" s="263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6">
      <c r="A48" s="263" t="s">
        <v>270</v>
      </c>
      <c r="B48" s="263"/>
      <c r="C48" s="275">
        <f ca="1">SUM($C$16:C16)</f>
        <v>325.62555295992695</v>
      </c>
      <c r="D48" s="275">
        <f ca="1">SUM($C$16:D16)</f>
        <v>883.84078660551597</v>
      </c>
      <c r="E48" s="275">
        <f ca="1">SUM($C$16:E16)</f>
        <v>1442.0560202511051</v>
      </c>
      <c r="F48" s="275">
        <f ca="1">SUM($C$16:F16)</f>
        <v>2000.2712538966941</v>
      </c>
      <c r="G48" s="275">
        <f ca="1">SUM($C$16:G16)</f>
        <v>2558.4864875422832</v>
      </c>
      <c r="H48" s="275">
        <f ca="1">SUM($C$16:H16)</f>
        <v>3116.701721187872</v>
      </c>
      <c r="I48" s="275">
        <f ca="1">SUM($C$16:I16)</f>
        <v>3674.9169548334612</v>
      </c>
      <c r="J48" s="275">
        <f ca="1">SUM($C$16:J16)</f>
        <v>4233.1321884790505</v>
      </c>
      <c r="K48" s="275">
        <f ca="1">SUM($C$16:K16)</f>
        <v>4791.3474221246397</v>
      </c>
      <c r="L48" s="275">
        <f ca="1">SUM($C$16:L16)</f>
        <v>5349.562655770229</v>
      </c>
      <c r="M48" s="275">
        <f ca="1">SUM($C$16:M16)</f>
        <v>5907.7778894158182</v>
      </c>
      <c r="N48" s="275">
        <f ca="1">SUM($C$16:N16)</f>
        <v>6465.9931230614075</v>
      </c>
      <c r="O48" s="275">
        <f ca="1">SUM($C$16:O16)</f>
        <v>7024.2083567069967</v>
      </c>
      <c r="P48" s="275">
        <f ca="1">SUM($C$16:P16)</f>
        <v>7582.423590352586</v>
      </c>
      <c r="Q48" s="275">
        <f ca="1">SUM($C$16:Q16)</f>
        <v>8140.6388239981752</v>
      </c>
      <c r="R48" s="275">
        <f ca="1">SUM($C$16:R16)</f>
        <v>8698.8540576437645</v>
      </c>
      <c r="S48" s="275">
        <f ca="1">SUM($C$16:S16)</f>
        <v>9257.0692912893537</v>
      </c>
      <c r="T48" s="275">
        <f ca="1">SUM($C$16:T16)</f>
        <v>9815.284524934943</v>
      </c>
      <c r="U48" s="275">
        <f ca="1">SUM($C$16:U16)</f>
        <v>10373.499758580532</v>
      </c>
      <c r="V48" s="275">
        <f ca="1">SUM($C$16:V16)</f>
        <v>10931.714992226121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6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6">
      <c r="A50" s="274" t="s">
        <v>271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6">
      <c r="A51" s="263" t="s">
        <v>272</v>
      </c>
      <c r="B51" s="263"/>
      <c r="C51" s="275">
        <f ca="1">IF(C6=1,0,+'BKDEPR 144A'!C15*1000)</f>
        <v>0</v>
      </c>
      <c r="D51" s="275">
        <f ca="1">IF(D6=1,0,+'BKDEPR 144A'!C15*1000)</f>
        <v>124665.655348</v>
      </c>
      <c r="E51" s="275">
        <f ca="1">IF(E6=1,0,+'BKDEPR 144A'!C15*1000)</f>
        <v>124665.655348</v>
      </c>
      <c r="F51" s="275">
        <f ca="1">IF(F6=1,0,+'BKDEPR 144A'!C15*1000)</f>
        <v>124665.655348</v>
      </c>
      <c r="G51" s="275">
        <f ca="1">IF(G6=1,0,+'BKDEPR 144A'!C15*1000)</f>
        <v>124665.655348</v>
      </c>
      <c r="H51" s="275">
        <f ca="1">IF(H6=1,0,+'BKDEPR 144A'!C15*1000)</f>
        <v>124665.655348</v>
      </c>
      <c r="I51" s="275">
        <f ca="1">IF(I6=1,0,+'BKDEPR 144A'!C15*1000)</f>
        <v>124665.655348</v>
      </c>
      <c r="J51" s="275">
        <f ca="1">IF(J6=1,0,+'BKDEPR 144A'!C15*1000)</f>
        <v>124665.655348</v>
      </c>
      <c r="K51" s="275">
        <f ca="1">IF(K6=1,0,+'BKDEPR 144A'!C15*1000)</f>
        <v>124665.655348</v>
      </c>
      <c r="L51" s="275">
        <f ca="1">IF(L6=1,0,+'BKDEPR 144A'!C15*1000)</f>
        <v>124665.655348</v>
      </c>
      <c r="M51" s="275">
        <f ca="1">IF(M6=1,0,+'BKDEPR 144A'!C15*1000)</f>
        <v>124665.655348</v>
      </c>
      <c r="N51" s="275">
        <f ca="1">IF(N6=1,0,+'BKDEPR 144A'!C15*1000)</f>
        <v>124665.655348</v>
      </c>
      <c r="O51" s="275">
        <f ca="1">IF(O6=1,0,+'BKDEPR 144A'!C15*1000)</f>
        <v>124665.655348</v>
      </c>
      <c r="P51" s="275">
        <f ca="1">IF(P6=1,0,+'BKDEPR 144A'!C15*1000)</f>
        <v>124665.655348</v>
      </c>
      <c r="Q51" s="275">
        <f ca="1">IF(Q6=1,0,+'BKDEPR 144A'!C15*1000)</f>
        <v>124665.655348</v>
      </c>
      <c r="R51" s="275">
        <f ca="1">IF(R6=1,0,+'BKDEPR 144A'!C15*1000)</f>
        <v>124665.655348</v>
      </c>
      <c r="S51" s="275">
        <f ca="1">IF(S6=1,0,+'BKDEPR 144A'!C15*1000)</f>
        <v>124665.655348</v>
      </c>
      <c r="T51" s="275">
        <f ca="1">IF(T6=1,0,+'BKDEPR 144A'!C15*1000)</f>
        <v>124665.655348</v>
      </c>
      <c r="U51" s="275">
        <f ca="1">IF(U6=1,0,+'BKDEPR 144A'!C15*1000)</f>
        <v>124665.655348</v>
      </c>
      <c r="V51" s="275">
        <f ca="1">IF(V6=1,0,+'BKDEPR 144A'!C15*1000)</f>
        <v>124665.655348</v>
      </c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6">
      <c r="A52" s="263" t="s">
        <v>273</v>
      </c>
      <c r="B52" s="263"/>
      <c r="C52" s="276">
        <f ca="1">IF(C6&lt;='ASSUM 1'!M42,'ASSUM 1'!N42/100,IF(C6&lt;='ASSUM 1'!M43,'ASSUM 1'!N43/100,'ASSUM 1'!N44/100))</f>
        <v>8.1000000000000013E-3</v>
      </c>
      <c r="D52" s="276">
        <f ca="1">IF(D6&lt;='ASSUM 1'!M42,'ASSUM 1'!#REF!/100,IF(D6&lt;='ASSUM 1'!M43,'ASSUM 1'!N43/100,'ASSUM 1'!N44/100))</f>
        <v>4.8999999999999998E-3</v>
      </c>
      <c r="E52" s="276">
        <f ca="1">IF(E6&lt;='ASSUM 1'!M42,#REF!/100,IF(E6&lt;='ASSUM 1'!M43,'ASSUM 1'!N43/100,'ASSUM 1'!N44/100))</f>
        <v>4.8999999999999998E-3</v>
      </c>
      <c r="F52" s="276">
        <f ca="1">IF(F6&lt;='ASSUM 1'!M42,#REF!/100,IF(F6&lt;='ASSUM 1'!M43,'ASSUM 1'!N43/100,'ASSUM 1'!N44/100))</f>
        <v>2.9160000000000002E-3</v>
      </c>
      <c r="G52" s="276">
        <f ca="1">IF(G6&lt;='ASSUM 1'!M42,#REF!/100,IF(G6&lt;='ASSUM 1'!M43,'ASSUM 1'!N43/100,'ASSUM 1'!N44/100))</f>
        <v>2.9160000000000002E-3</v>
      </c>
      <c r="H52" s="276">
        <f ca="1">IF(H6&lt;='ASSUM 1'!M42,#REF!/100,IF(H6&lt;='ASSUM 1'!M43,'ASSUM 1'!N43/100,'ASSUM 1'!N44/100))</f>
        <v>2.9160000000000002E-3</v>
      </c>
      <c r="I52" s="276">
        <f ca="1">IF(I6&lt;='ASSUM 1'!M42,#REF!/100,IF(I6&lt;='ASSUM 1'!M43,'ASSUM 1'!N43/100,'ASSUM 1'!N44/100))</f>
        <v>2.9160000000000002E-3</v>
      </c>
      <c r="J52" s="276">
        <f ca="1">IF(J6&lt;='ASSUM 1'!M42,'ASSUM 1'!O58/100,IF(J6&lt;='ASSUM 1'!M43,'ASSUM 1'!N43/100,'ASSUM 1'!N44/100))</f>
        <v>2.9160000000000002E-3</v>
      </c>
      <c r="K52" s="276">
        <f ca="1">IF(K6&lt;='ASSUM 1'!M42,'ASSUM 1'!P58/100,IF(K6&lt;='ASSUM 1'!M43,'ASSUM 1'!N43/100,'ASSUM 1'!N44/100))</f>
        <v>2.9160000000000002E-3</v>
      </c>
      <c r="L52" s="276">
        <f ca="1">IF(L6&lt;='ASSUM 1'!M42,#REF!/100,IF(L6&lt;='ASSUM 1'!M43,'ASSUM 1'!N43/100,'ASSUM 1'!N44/100))</f>
        <v>2.9160000000000002E-3</v>
      </c>
      <c r="M52" s="276">
        <f ca="1">IF(M6&lt;='ASSUM 1'!M42,'ASSUM 1'!Q58/100,IF(M6&lt;='ASSUM 1'!M43,'ASSUM 1'!N43/100,'ASSUM 1'!N44/100))</f>
        <v>2.9160000000000002E-3</v>
      </c>
      <c r="N52" s="276">
        <f ca="1">IF(N6&lt;='ASSUM 1'!M42,'ASSUM 1'!R58/100,IF(N6&lt;='ASSUM 1'!M43,'ASSUM 1'!N43/100,'ASSUM 1'!N44/100))</f>
        <v>2.9160000000000002E-3</v>
      </c>
      <c r="O52" s="276">
        <f ca="1">IF(O6&lt;='ASSUM 1'!M42,'ASSUM 1'!S58/100,IF(O6&lt;='ASSUM 1'!M43,'ASSUM 1'!N43/100,'ASSUM 1'!N44/100))</f>
        <v>2.9160000000000002E-3</v>
      </c>
      <c r="P52" s="276">
        <f ca="1">IF(P6&lt;='ASSUM 1'!M42,#REF!/100,IF(P6&lt;='ASSUM 1'!M43,'ASSUM 1'!N43/100,'ASSUM 1'!N44/100))</f>
        <v>2.9160000000000002E-3</v>
      </c>
      <c r="Q52" s="276">
        <f ca="1">IF(Q6&lt;='ASSUM 1'!M42,#REF!/100,IF(Q6&lt;='ASSUM 1'!M43,'ASSUM 1'!N43/100,'ASSUM 1'!N44/100))</f>
        <v>2.9160000000000002E-3</v>
      </c>
      <c r="R52" s="276">
        <f ca="1">IF(R6&lt;='ASSUM 1'!M42,'ASSUM 1'!T58/100,IF(R6&lt;='ASSUM 1'!M43,'ASSUM 1'!N43/100,'ASSUM 1'!N44/100))</f>
        <v>2.9160000000000002E-3</v>
      </c>
      <c r="S52" s="276">
        <f ca="1">IF(S6&lt;='ASSUM 1'!M42,'ASSUM 1'!#REF!/100,IF(S6&lt;='ASSUM 1'!M43,'ASSUM 1'!N43/100,'ASSUM 1'!N44/100))</f>
        <v>2.9160000000000002E-3</v>
      </c>
      <c r="T52" s="276">
        <f ca="1">IF(T6&lt;='ASSUM 1'!M42,'ASSUM 1'!#REF!/100,IF(T6&lt;='ASSUM 1'!M43,'ASSUM 1'!N43/100,'ASSUM 1'!N44/100))</f>
        <v>2.9160000000000002E-3</v>
      </c>
      <c r="U52" s="276">
        <f ca="1">IF(U6&lt;='ASSUM 1'!M42,'ASSUM 1'!#REF!/100,IF(U6&lt;='ASSUM 1'!M43,'ASSUM 1'!N43/100,'ASSUM 1'!N44/100))</f>
        <v>2.9160000000000002E-3</v>
      </c>
      <c r="V52" s="276">
        <f ca="1">IF(V6&lt;='ASSUM 1'!M42,'ASSUM 1'!#REF!/100,IF(V6&lt;='ASSUM 1'!M43,'ASSUM 1'!N43/100,'ASSUM 1'!N44/100))</f>
        <v>2.9160000000000002E-3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6">
      <c r="A53" s="263" t="s">
        <v>274</v>
      </c>
      <c r="B53" s="263"/>
      <c r="C53" s="275">
        <f t="shared" ref="C53:V53" ca="1" si="11">C51*C52</f>
        <v>0</v>
      </c>
      <c r="D53" s="275">
        <f t="shared" ca="1" si="11"/>
        <v>610.86171120519998</v>
      </c>
      <c r="E53" s="275">
        <f t="shared" ca="1" si="11"/>
        <v>610.86171120519998</v>
      </c>
      <c r="F53" s="275">
        <f t="shared" ca="1" si="11"/>
        <v>363.52505099476804</v>
      </c>
      <c r="G53" s="275">
        <f t="shared" ca="1" si="11"/>
        <v>363.52505099476804</v>
      </c>
      <c r="H53" s="275">
        <f t="shared" ca="1" si="11"/>
        <v>363.52505099476804</v>
      </c>
      <c r="I53" s="275">
        <f t="shared" ca="1" si="11"/>
        <v>363.52505099476804</v>
      </c>
      <c r="J53" s="275">
        <f t="shared" ca="1" si="11"/>
        <v>363.52505099476804</v>
      </c>
      <c r="K53" s="275">
        <f t="shared" ca="1" si="11"/>
        <v>363.52505099476804</v>
      </c>
      <c r="L53" s="275">
        <f t="shared" ca="1" si="11"/>
        <v>363.52505099476804</v>
      </c>
      <c r="M53" s="275">
        <f t="shared" ca="1" si="11"/>
        <v>363.52505099476804</v>
      </c>
      <c r="N53" s="275">
        <f t="shared" ca="1" si="11"/>
        <v>363.52505099476804</v>
      </c>
      <c r="O53" s="275">
        <f t="shared" ca="1" si="11"/>
        <v>363.52505099476804</v>
      </c>
      <c r="P53" s="275">
        <f t="shared" ca="1" si="11"/>
        <v>363.52505099476804</v>
      </c>
      <c r="Q53" s="275">
        <f t="shared" ca="1" si="11"/>
        <v>363.52505099476804</v>
      </c>
      <c r="R53" s="275">
        <f t="shared" ca="1" si="11"/>
        <v>363.52505099476804</v>
      </c>
      <c r="S53" s="275">
        <f t="shared" ca="1" si="11"/>
        <v>363.52505099476804</v>
      </c>
      <c r="T53" s="275">
        <f t="shared" ca="1" si="11"/>
        <v>363.52505099476804</v>
      </c>
      <c r="U53" s="275">
        <f t="shared" ca="1" si="11"/>
        <v>363.52505099476804</v>
      </c>
      <c r="V53" s="275">
        <f t="shared" ca="1" si="11"/>
        <v>363.52505099476804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6">
      <c r="A54" s="263"/>
      <c r="B54" s="263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6">
      <c r="A55" s="263" t="s">
        <v>275</v>
      </c>
      <c r="B55" s="263"/>
      <c r="C55" s="275">
        <f>'ASSUM 2'!$E$26*10^3</f>
        <v>250</v>
      </c>
      <c r="D55" s="275">
        <f>'ASSUM 2'!$E$26*10^3</f>
        <v>250</v>
      </c>
      <c r="E55" s="275">
        <f>'ASSUM 2'!$E$26*10^3</f>
        <v>250</v>
      </c>
      <c r="F55" s="275">
        <f>'ASSUM 2'!$E$26*10^3</f>
        <v>250</v>
      </c>
      <c r="G55" s="275">
        <f>'ASSUM 2'!$E$26*10^3</f>
        <v>250</v>
      </c>
      <c r="H55" s="275">
        <f>'ASSUM 2'!$E$26*10^3</f>
        <v>250</v>
      </c>
      <c r="I55" s="275">
        <f>'ASSUM 2'!$E$26*10^3</f>
        <v>250</v>
      </c>
      <c r="J55" s="275">
        <f>'ASSUM 2'!$E$26*10^3</f>
        <v>250</v>
      </c>
      <c r="K55" s="275">
        <f>'ASSUM 2'!$E$26*10^3</f>
        <v>250</v>
      </c>
      <c r="L55" s="275">
        <f>'ASSUM 2'!$E$26*10^3</f>
        <v>250</v>
      </c>
      <c r="M55" s="275">
        <f>'ASSUM 2'!$E$26*10^3</f>
        <v>250</v>
      </c>
      <c r="N55" s="275">
        <f>'ASSUM 2'!$E$26*10^3</f>
        <v>250</v>
      </c>
      <c r="O55" s="275">
        <f>'ASSUM 2'!$E$26*10^3</f>
        <v>250</v>
      </c>
      <c r="P55" s="275">
        <f>'ASSUM 2'!$E$26*10^3</f>
        <v>250</v>
      </c>
      <c r="Q55" s="275">
        <f>'ASSUM 2'!$E$26*10^3</f>
        <v>250</v>
      </c>
      <c r="R55" s="275">
        <f>'ASSUM 2'!$E$26*10^3</f>
        <v>250</v>
      </c>
      <c r="S55" s="275">
        <f>'ASSUM 2'!$E$26*10^3</f>
        <v>250</v>
      </c>
      <c r="T55" s="275">
        <f>'ASSUM 2'!$E$26*10^3</f>
        <v>250</v>
      </c>
      <c r="U55" s="275">
        <f>'ASSUM 2'!$E$26*10^3</f>
        <v>250</v>
      </c>
      <c r="V55" s="275">
        <f>'ASSUM 2'!$E$26*10^3</f>
        <v>250</v>
      </c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6">
      <c r="A56" s="263" t="s">
        <v>276</v>
      </c>
      <c r="B56" s="263"/>
      <c r="C56" s="277">
        <f>[0]!_XX1/100</f>
        <v>7.4999999999999997E-3</v>
      </c>
      <c r="D56" s="277">
        <f>[0]!_XX1/100</f>
        <v>7.4999999999999997E-3</v>
      </c>
      <c r="E56" s="277">
        <f>[0]!_XX1/100</f>
        <v>7.4999999999999997E-3</v>
      </c>
      <c r="F56" s="277">
        <f>[0]!_XX1/100</f>
        <v>7.4999999999999997E-3</v>
      </c>
      <c r="G56" s="277">
        <f>[0]!_XX1/100</f>
        <v>7.4999999999999997E-3</v>
      </c>
      <c r="H56" s="277">
        <f>[0]!_XX1/100</f>
        <v>7.4999999999999997E-3</v>
      </c>
      <c r="I56" s="277">
        <f>[0]!_XX1/100</f>
        <v>7.4999999999999997E-3</v>
      </c>
      <c r="J56" s="277">
        <f>[0]!_XX1/100</f>
        <v>7.4999999999999997E-3</v>
      </c>
      <c r="K56" s="277">
        <f>[0]!_XX1/100</f>
        <v>7.4999999999999997E-3</v>
      </c>
      <c r="L56" s="277">
        <f>[0]!_XX1/100</f>
        <v>7.4999999999999997E-3</v>
      </c>
      <c r="M56" s="277">
        <f>[0]!_XX1/100</f>
        <v>7.4999999999999997E-3</v>
      </c>
      <c r="N56" s="277">
        <f>[0]!_XX1/100</f>
        <v>7.4999999999999997E-3</v>
      </c>
      <c r="O56" s="277">
        <f>[0]!_XX1/100</f>
        <v>7.4999999999999997E-3</v>
      </c>
      <c r="P56" s="277">
        <f>[0]!_XX1/100</f>
        <v>7.4999999999999997E-3</v>
      </c>
      <c r="Q56" s="277">
        <f>[0]!_XX1/100</f>
        <v>7.4999999999999997E-3</v>
      </c>
      <c r="R56" s="277">
        <f>[0]!_XX1/100</f>
        <v>7.4999999999999997E-3</v>
      </c>
      <c r="S56" s="277">
        <f>[0]!_XX1/100</f>
        <v>7.4999999999999997E-3</v>
      </c>
      <c r="T56" s="277">
        <f>[0]!_XX1/100</f>
        <v>7.4999999999999997E-3</v>
      </c>
      <c r="U56" s="277">
        <f>[0]!_XX1/100</f>
        <v>7.4999999999999997E-3</v>
      </c>
      <c r="V56" s="277">
        <f>[0]!_XX1/100</f>
        <v>7.4999999999999997E-3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6">
      <c r="A57" s="263" t="s">
        <v>271</v>
      </c>
      <c r="B57" s="263"/>
      <c r="C57" s="275">
        <f t="shared" ref="C57:V57" si="12">C55*C56</f>
        <v>1.875</v>
      </c>
      <c r="D57" s="275">
        <f t="shared" si="12"/>
        <v>1.875</v>
      </c>
      <c r="E57" s="275">
        <f t="shared" si="12"/>
        <v>1.875</v>
      </c>
      <c r="F57" s="275">
        <f t="shared" si="12"/>
        <v>1.875</v>
      </c>
      <c r="G57" s="275">
        <f t="shared" si="12"/>
        <v>1.875</v>
      </c>
      <c r="H57" s="275">
        <f t="shared" si="12"/>
        <v>1.875</v>
      </c>
      <c r="I57" s="275">
        <f t="shared" si="12"/>
        <v>1.875</v>
      </c>
      <c r="J57" s="275">
        <f t="shared" si="12"/>
        <v>1.875</v>
      </c>
      <c r="K57" s="275">
        <f t="shared" si="12"/>
        <v>1.875</v>
      </c>
      <c r="L57" s="275">
        <f t="shared" si="12"/>
        <v>1.875</v>
      </c>
      <c r="M57" s="275">
        <f t="shared" si="12"/>
        <v>1.875</v>
      </c>
      <c r="N57" s="275">
        <f t="shared" si="12"/>
        <v>1.875</v>
      </c>
      <c r="O57" s="275">
        <f t="shared" si="12"/>
        <v>1.875</v>
      </c>
      <c r="P57" s="275">
        <f t="shared" si="12"/>
        <v>1.875</v>
      </c>
      <c r="Q57" s="275">
        <f t="shared" si="12"/>
        <v>1.875</v>
      </c>
      <c r="R57" s="275">
        <f t="shared" si="12"/>
        <v>1.875</v>
      </c>
      <c r="S57" s="275">
        <f t="shared" si="12"/>
        <v>1.875</v>
      </c>
      <c r="T57" s="275">
        <f t="shared" si="12"/>
        <v>1.875</v>
      </c>
      <c r="U57" s="275">
        <f t="shared" si="12"/>
        <v>1.875</v>
      </c>
      <c r="V57" s="275">
        <f t="shared" si="12"/>
        <v>1.875</v>
      </c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6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6">
      <c r="A59" s="274" t="s">
        <v>277</v>
      </c>
      <c r="B59" s="263"/>
      <c r="C59" s="275">
        <f t="shared" ref="C59:V59" ca="1" si="13">C57+C53</f>
        <v>1.875</v>
      </c>
      <c r="D59" s="275">
        <f t="shared" ca="1" si="13"/>
        <v>612.73671120519998</v>
      </c>
      <c r="E59" s="275">
        <f t="shared" ca="1" si="13"/>
        <v>612.73671120519998</v>
      </c>
      <c r="F59" s="275">
        <f t="shared" ca="1" si="13"/>
        <v>365.40005099476804</v>
      </c>
      <c r="G59" s="275">
        <f t="shared" ca="1" si="13"/>
        <v>365.40005099476804</v>
      </c>
      <c r="H59" s="275">
        <f t="shared" ca="1" si="13"/>
        <v>365.40005099476804</v>
      </c>
      <c r="I59" s="275">
        <f t="shared" ca="1" si="13"/>
        <v>365.40005099476804</v>
      </c>
      <c r="J59" s="275">
        <f t="shared" ca="1" si="13"/>
        <v>365.40005099476804</v>
      </c>
      <c r="K59" s="275">
        <f t="shared" ca="1" si="13"/>
        <v>365.40005099476804</v>
      </c>
      <c r="L59" s="275">
        <f t="shared" ca="1" si="13"/>
        <v>365.40005099476804</v>
      </c>
      <c r="M59" s="275">
        <f t="shared" ca="1" si="13"/>
        <v>365.40005099476804</v>
      </c>
      <c r="N59" s="275">
        <f t="shared" ca="1" si="13"/>
        <v>365.40005099476804</v>
      </c>
      <c r="O59" s="275">
        <f t="shared" ca="1" si="13"/>
        <v>365.40005099476804</v>
      </c>
      <c r="P59" s="275">
        <f t="shared" ca="1" si="13"/>
        <v>365.40005099476804</v>
      </c>
      <c r="Q59" s="275">
        <f t="shared" ca="1" si="13"/>
        <v>365.40005099476804</v>
      </c>
      <c r="R59" s="275">
        <f t="shared" ca="1" si="13"/>
        <v>365.40005099476804</v>
      </c>
      <c r="S59" s="275">
        <f t="shared" ca="1" si="13"/>
        <v>365.40005099476804</v>
      </c>
      <c r="T59" s="275">
        <f t="shared" ca="1" si="13"/>
        <v>365.40005099476804</v>
      </c>
      <c r="U59" s="275">
        <f t="shared" ca="1" si="13"/>
        <v>365.40005099476804</v>
      </c>
      <c r="V59" s="275">
        <f t="shared" ca="1" si="13"/>
        <v>365.40005099476804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6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6">
      <c r="A61" s="274" t="s">
        <v>278</v>
      </c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6">
      <c r="A62" s="263" t="s">
        <v>177</v>
      </c>
      <c r="B62" s="263">
        <f>'ASSUM 1'!M30</f>
        <v>45</v>
      </c>
      <c r="C62" s="275">
        <f ca="1">FUEL!C88/365.25*$B$62</f>
        <v>298.46448466012345</v>
      </c>
      <c r="D62" s="275">
        <f ca="1">FUEL!D88/365.25*$B$62</f>
        <v>921.50063852174071</v>
      </c>
      <c r="E62" s="275">
        <f ca="1">FUEL!E88/365.25*$B$62</f>
        <v>1030.3864408514121</v>
      </c>
      <c r="F62" s="275">
        <f ca="1">FUEL!F88/365.25*$B$62</f>
        <v>1091.3543891500274</v>
      </c>
      <c r="G62" s="275">
        <f ca="1">FUEL!G88/365.25*$B$62</f>
        <v>1065.6103175663491</v>
      </c>
      <c r="H62" s="275">
        <f ca="1">FUEL!H88/365.25*$B$62</f>
        <v>1039.6724474411835</v>
      </c>
      <c r="I62" s="275">
        <f ca="1">FUEL!I88/365.25*$B$62</f>
        <v>1101.4076411303554</v>
      </c>
      <c r="J62" s="275">
        <f ca="1">FUEL!J88/365.25*$B$62</f>
        <v>1160.0723993993763</v>
      </c>
      <c r="K62" s="275">
        <f ca="1">FUEL!K88/365.25*$B$62</f>
        <v>1182.4001146328392</v>
      </c>
      <c r="L62" s="275">
        <f ca="1">FUEL!L88/365.25*$B$62</f>
        <v>1194.5407928046918</v>
      </c>
      <c r="M62" s="275">
        <f ca="1">FUEL!M88/365.25*$B$62</f>
        <v>1217.0038561148881</v>
      </c>
      <c r="N62" s="275">
        <f ca="1">FUEL!N88/365.25*$B$62</f>
        <v>1232.1158297833026</v>
      </c>
      <c r="O62" s="275">
        <f ca="1">FUEL!O88/365.25*$B$62</f>
        <v>1301.661614760709</v>
      </c>
      <c r="P62" s="275">
        <f ca="1">FUEL!P88/365.25*$B$62</f>
        <v>1313.183905454066</v>
      </c>
      <c r="Q62" s="275">
        <f ca="1">FUEL!Q88/365.25*$B$62</f>
        <v>1365.0803187839247</v>
      </c>
      <c r="R62" s="275">
        <f ca="1">FUEL!R88/365.25*$B$62</f>
        <v>1398.8734090548785</v>
      </c>
      <c r="S62" s="275">
        <f ca="1">FUEL!S88/365.25*$B$62</f>
        <v>1449.9416827774983</v>
      </c>
      <c r="T62" s="275">
        <f ca="1">FUEL!T88/365.25*$B$62</f>
        <v>1480.0606883921093</v>
      </c>
      <c r="U62" s="275">
        <f ca="1">FUEL!U88/365.25*$B$62</f>
        <v>1523.1026804781914</v>
      </c>
      <c r="V62" s="275">
        <f ca="1">FUEL!V88/365.25*$B$62</f>
        <v>1512.293644481503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6">
      <c r="A63" s="263" t="s">
        <v>178</v>
      </c>
      <c r="B63" s="263">
        <f>'ASSUM 1'!M29</f>
        <v>30</v>
      </c>
      <c r="C63" s="278">
        <f t="shared" ref="C63:V63" ca="1" si="14">C34/365.25*$B$63</f>
        <v>184.11637651254745</v>
      </c>
      <c r="D63" s="278">
        <f t="shared" ca="1" si="14"/>
        <v>492.74618966407439</v>
      </c>
      <c r="E63" s="278">
        <f t="shared" ca="1" si="14"/>
        <v>505.80874735226564</v>
      </c>
      <c r="F63" s="278">
        <f t="shared" ca="1" si="14"/>
        <v>498.00310806928144</v>
      </c>
      <c r="G63" s="278">
        <f t="shared" ca="1" si="14"/>
        <v>506.97494811887316</v>
      </c>
      <c r="H63" s="278">
        <f t="shared" ca="1" si="14"/>
        <v>511.77924006191529</v>
      </c>
      <c r="I63" s="278">
        <f t="shared" ca="1" si="14"/>
        <v>528.06387573631207</v>
      </c>
      <c r="J63" s="278">
        <f t="shared" ca="1" si="14"/>
        <v>544.90503656163173</v>
      </c>
      <c r="K63" s="278">
        <f t="shared" ca="1" si="14"/>
        <v>556.92612796920287</v>
      </c>
      <c r="L63" s="278">
        <f t="shared" ca="1" si="14"/>
        <v>567.52255073213644</v>
      </c>
      <c r="M63" s="278">
        <f t="shared" ca="1" si="14"/>
        <v>580.24994655684134</v>
      </c>
      <c r="N63" s="278">
        <f t="shared" ca="1" si="14"/>
        <v>591.76314284539671</v>
      </c>
      <c r="O63" s="278">
        <f t="shared" ca="1" si="14"/>
        <v>606.64570759597939</v>
      </c>
      <c r="P63" s="278">
        <f t="shared" ca="1" si="14"/>
        <v>617.99763151069021</v>
      </c>
      <c r="Q63" s="278">
        <f t="shared" ca="1" si="14"/>
        <v>635.56016009122334</v>
      </c>
      <c r="R63" s="278">
        <f t="shared" ca="1" si="14"/>
        <v>651.50430051647299</v>
      </c>
      <c r="S63" s="278">
        <f t="shared" ca="1" si="14"/>
        <v>669.75311926525114</v>
      </c>
      <c r="T63" s="278">
        <f t="shared" ca="1" si="14"/>
        <v>685.06990328533527</v>
      </c>
      <c r="U63" s="278">
        <f t="shared" ca="1" si="14"/>
        <v>701.98108327251055</v>
      </c>
      <c r="V63" s="278">
        <f t="shared" ca="1" si="14"/>
        <v>712.06411406387724</v>
      </c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6">
      <c r="A64" s="263"/>
      <c r="B64" s="263"/>
      <c r="C64" s="275">
        <f t="shared" ref="C64:V64" ca="1" si="15">C63+C62</f>
        <v>482.58086117267089</v>
      </c>
      <c r="D64" s="275">
        <f t="shared" ca="1" si="15"/>
        <v>1414.246828185815</v>
      </c>
      <c r="E64" s="275">
        <f t="shared" ca="1" si="15"/>
        <v>1536.1951882036778</v>
      </c>
      <c r="F64" s="275">
        <f t="shared" ca="1" si="15"/>
        <v>1589.3574972193087</v>
      </c>
      <c r="G64" s="275">
        <f t="shared" ca="1" si="15"/>
        <v>1572.5852656852221</v>
      </c>
      <c r="H64" s="275">
        <f t="shared" ca="1" si="15"/>
        <v>1551.4516875030988</v>
      </c>
      <c r="I64" s="275">
        <f t="shared" ca="1" si="15"/>
        <v>1629.4715168666676</v>
      </c>
      <c r="J64" s="275">
        <f t="shared" ca="1" si="15"/>
        <v>1704.977435961008</v>
      </c>
      <c r="K64" s="275">
        <f t="shared" ca="1" si="15"/>
        <v>1739.3262426020419</v>
      </c>
      <c r="L64" s="275">
        <f t="shared" ca="1" si="15"/>
        <v>1762.0633435368281</v>
      </c>
      <c r="M64" s="275">
        <f t="shared" ca="1" si="15"/>
        <v>1797.2538026717293</v>
      </c>
      <c r="N64" s="275">
        <f t="shared" ca="1" si="15"/>
        <v>1823.8789726286993</v>
      </c>
      <c r="O64" s="275">
        <f t="shared" ca="1" si="15"/>
        <v>1908.3073223566885</v>
      </c>
      <c r="P64" s="275">
        <f t="shared" ca="1" si="15"/>
        <v>1931.1815369647561</v>
      </c>
      <c r="Q64" s="275">
        <f t="shared" ca="1" si="15"/>
        <v>2000.6404788751479</v>
      </c>
      <c r="R64" s="275">
        <f t="shared" ca="1" si="15"/>
        <v>2050.3777095713513</v>
      </c>
      <c r="S64" s="275">
        <f t="shared" ca="1" si="15"/>
        <v>2119.6948020427494</v>
      </c>
      <c r="T64" s="275">
        <f t="shared" ca="1" si="15"/>
        <v>2165.1305916774445</v>
      </c>
      <c r="U64" s="275">
        <f t="shared" ca="1" si="15"/>
        <v>2225.083763750702</v>
      </c>
      <c r="V64" s="275">
        <f t="shared" ca="1" si="15"/>
        <v>2224.3577585453804</v>
      </c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6">
      <c r="A65" s="263" t="s">
        <v>279</v>
      </c>
      <c r="B65" s="263"/>
      <c r="C65" s="279"/>
      <c r="D65" s="275">
        <f ca="1">IF(D6&lt;3,+D64-'ASSUM 1'!N31,D64-C64)-IF(D6='ASSUM 1'!D36,D64,0)</f>
        <v>0</v>
      </c>
      <c r="E65" s="275">
        <f ca="1">IF(E6&lt;3,+E64-'ASSUM 1'!N31,E64-D64)-IF(E6='ASSUM 1'!D36,E64,0)</f>
        <v>121.9483600178628</v>
      </c>
      <c r="F65" s="275">
        <f ca="1">IF(F6&lt;3,+F64-'ASSUM 1'!N31,F64-E64)-IF(F6='ASSUM 1'!D36,F64,0)</f>
        <v>53.162309015630854</v>
      </c>
      <c r="G65" s="275">
        <f ca="1">IF(G6&lt;3,+G64-'ASSUM 1'!N31,G64-F64)-IF(G6='ASSUM 1'!D36,G64,0)</f>
        <v>-16.772231534086586</v>
      </c>
      <c r="H65" s="275">
        <f ca="1">IF(H6&lt;3,+H64-'ASSUM 1'!N31,H64-G64)-IF(H6='ASSUM 1'!D36,H64,0)</f>
        <v>-21.133578182123301</v>
      </c>
      <c r="I65" s="275">
        <f ca="1">IF(I6&lt;3,+I64-'ASSUM 1'!N31,I64-H64)-IF(I6='ASSUM 1'!D36,I64,0)</f>
        <v>78.019829363568761</v>
      </c>
      <c r="J65" s="275">
        <f ca="1">IF(J6&lt;3,+J64-'ASSUM 1'!N31,J64-I64)-IF(J6='ASSUM 1'!D36,J64,0)</f>
        <v>75.50591909434047</v>
      </c>
      <c r="K65" s="275">
        <f ca="1">IF(K6&lt;3,+K64-'ASSUM 1'!N31,K64-J64)-IF(K6='ASSUM 1'!D36,K64,0)</f>
        <v>34.348806641033889</v>
      </c>
      <c r="L65" s="275">
        <f ca="1">IF(L6&lt;3,+L64-'ASSUM 1'!N31,L64-K64)-IF(L6='ASSUM 1'!D36,L64,0)</f>
        <v>22.737100934786213</v>
      </c>
      <c r="M65" s="275">
        <f ca="1">IF(M6&lt;3,+M64-'ASSUM 1'!N31,M64-L64)-IF(M6='ASSUM 1'!D36,M64,0)</f>
        <v>35.190459134901175</v>
      </c>
      <c r="N65" s="275">
        <f ca="1">IF(N6&lt;3,+N64-'ASSUM 1'!N31,N64-M64)-IF(N6='ASSUM 1'!D36,N64,0)</f>
        <v>26.625169956970012</v>
      </c>
      <c r="O65" s="275">
        <f ca="1">IF(O6&lt;3,+O64-'ASSUM 1'!N31,O64-N64)-IF(O6='ASSUM 1'!D36,O64,0)</f>
        <v>84.428349727989144</v>
      </c>
      <c r="P65" s="275">
        <f ca="1">IF(P6&lt;3,+P64-'ASSUM 1'!N31,P64-O64)-IF(P6='ASSUM 1'!D36,P64,0)</f>
        <v>22.874214608067632</v>
      </c>
      <c r="Q65" s="275">
        <f ca="1">IF(Q6&lt;3,+Q64-'ASSUM 1'!N31,Q64-P64)-IF(Q6='ASSUM 1'!D36,Q64,0)</f>
        <v>69.458941910391786</v>
      </c>
      <c r="R65" s="275">
        <f ca="1">IF(R6&lt;3,+R64-'ASSUM 1'!N31,R64-Q64)-IF(R6='ASSUM 1'!D36,R64,0)</f>
        <v>49.737230696203369</v>
      </c>
      <c r="S65" s="275">
        <f ca="1">IF(S6&lt;3,+S64-'ASSUM 1'!N31,S64-R64)-IF(S6='ASSUM 1'!D36,S64,0)</f>
        <v>69.317092471398155</v>
      </c>
      <c r="T65" s="275">
        <f ca="1">IF(T6&lt;3,+T64-'ASSUM 1'!N31,T64-S64)-IF(T6='ASSUM 1'!D36,T64,0)</f>
        <v>45.435789634695084</v>
      </c>
      <c r="U65" s="275">
        <f ca="1">IF(U6&lt;3,+U64-'ASSUM 1'!N31,U64-T64)-IF(U6='ASSUM 1'!D36,U64,0)</f>
        <v>59.95317207325752</v>
      </c>
      <c r="V65" s="275">
        <f ca="1">IF(V6&lt;3,+V64-'ASSUM 1'!N31,V64-U64)-IF(V6='ASSUM 1'!D36,V64,0)</f>
        <v>-2225.083763750702</v>
      </c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6">
      <c r="A66" s="263"/>
      <c r="B66" s="280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6">
      <c r="B67" s="281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6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6"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6"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6"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6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6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6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6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6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6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6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6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6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6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6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6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6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6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6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6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6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6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6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6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6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6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6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6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6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6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6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6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6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6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6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6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6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6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6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6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6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6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6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6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6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6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6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6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6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6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6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6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6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6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6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6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6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6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6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6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6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6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6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6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6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6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6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6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6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6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6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6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6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6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6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6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6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6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6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6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6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6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6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6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6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6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6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6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6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6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6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6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6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6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6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6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6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6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6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6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6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6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6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6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6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6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6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6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6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6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  <row r="178" spans="1:255" ht="15.6">
      <c r="A178" s="263"/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3"/>
      <c r="AJ178" s="263"/>
      <c r="AK178" s="263"/>
      <c r="AL178" s="263"/>
      <c r="AM178" s="263"/>
      <c r="AN178" s="263"/>
      <c r="AO178" s="263"/>
      <c r="AP178" s="263"/>
      <c r="AQ178" s="263"/>
      <c r="AR178" s="263"/>
      <c r="AS178" s="263"/>
      <c r="AT178" s="263"/>
      <c r="AU178" s="263"/>
      <c r="AV178" s="263"/>
      <c r="AW178" s="263"/>
      <c r="AX178" s="263"/>
      <c r="AY178" s="263"/>
      <c r="AZ178" s="263"/>
      <c r="BA178" s="263"/>
      <c r="BB178" s="263"/>
      <c r="BC178" s="263"/>
      <c r="BD178" s="263"/>
      <c r="BE178" s="263"/>
      <c r="BF178" s="263"/>
      <c r="BG178" s="263"/>
      <c r="BH178" s="263"/>
      <c r="BI178" s="263"/>
      <c r="BJ178" s="263"/>
      <c r="BK178" s="263"/>
      <c r="BL178" s="263"/>
      <c r="BM178" s="263"/>
      <c r="BN178" s="263"/>
      <c r="BO178" s="263"/>
      <c r="BP178" s="263"/>
      <c r="BQ178" s="263"/>
      <c r="BR178" s="263"/>
      <c r="BS178" s="263"/>
      <c r="BT178" s="263"/>
      <c r="BU178" s="263"/>
      <c r="BV178" s="263"/>
      <c r="BW178" s="263"/>
      <c r="BX178" s="263"/>
      <c r="BY178" s="263"/>
      <c r="BZ178" s="263"/>
      <c r="CA178" s="263"/>
      <c r="CB178" s="263"/>
      <c r="CC178" s="263"/>
      <c r="CD178" s="263"/>
      <c r="CE178" s="263"/>
      <c r="CF178" s="263"/>
      <c r="CG178" s="263"/>
      <c r="CH178" s="263"/>
      <c r="CI178" s="263"/>
      <c r="CJ178" s="263"/>
      <c r="CK178" s="263"/>
      <c r="CL178" s="263"/>
      <c r="CM178" s="263"/>
      <c r="CN178" s="263"/>
      <c r="CO178" s="263"/>
      <c r="CP178" s="263"/>
      <c r="CQ178" s="263"/>
      <c r="CR178" s="263"/>
      <c r="CS178" s="263"/>
      <c r="CT178" s="263"/>
      <c r="CU178" s="263"/>
      <c r="CV178" s="263"/>
      <c r="CW178" s="263"/>
      <c r="CX178" s="263"/>
      <c r="CY178" s="263"/>
      <c r="CZ178" s="263"/>
      <c r="DA178" s="263"/>
      <c r="DB178" s="263"/>
      <c r="DC178" s="263"/>
      <c r="DD178" s="263"/>
      <c r="DE178" s="263"/>
      <c r="DF178" s="263"/>
      <c r="DG178" s="263"/>
      <c r="DH178" s="263"/>
      <c r="DI178" s="263"/>
      <c r="DJ178" s="263"/>
      <c r="DK178" s="263"/>
      <c r="DL178" s="263"/>
      <c r="DM178" s="263"/>
      <c r="DN178" s="263"/>
      <c r="DO178" s="263"/>
      <c r="DP178" s="263"/>
      <c r="DQ178" s="263"/>
      <c r="DR178" s="263"/>
      <c r="DS178" s="263"/>
      <c r="DT178" s="263"/>
      <c r="DU178" s="263"/>
      <c r="DV178" s="263"/>
      <c r="DW178" s="263"/>
      <c r="DX178" s="263"/>
      <c r="DY178" s="263"/>
      <c r="DZ178" s="263"/>
      <c r="EA178" s="263"/>
      <c r="EB178" s="263"/>
      <c r="EC178" s="263"/>
      <c r="ED178" s="263"/>
      <c r="EE178" s="263"/>
      <c r="EF178" s="263"/>
      <c r="EG178" s="263"/>
      <c r="EH178" s="263"/>
      <c r="EI178" s="263"/>
      <c r="EJ178" s="263"/>
      <c r="EK178" s="263"/>
      <c r="EL178" s="263"/>
      <c r="EM178" s="263"/>
      <c r="EN178" s="263"/>
      <c r="EO178" s="263"/>
      <c r="EP178" s="263"/>
      <c r="EQ178" s="263"/>
      <c r="ER178" s="263"/>
      <c r="ES178" s="263"/>
      <c r="ET178" s="263"/>
      <c r="EU178" s="263"/>
      <c r="EV178" s="263"/>
      <c r="EW178" s="263"/>
      <c r="EX178" s="263"/>
      <c r="EY178" s="263"/>
      <c r="EZ178" s="263"/>
      <c r="FA178" s="263"/>
      <c r="FB178" s="263"/>
      <c r="FC178" s="263"/>
      <c r="FD178" s="263"/>
      <c r="FE178" s="263"/>
      <c r="FF178" s="263"/>
      <c r="FG178" s="263"/>
      <c r="FH178" s="263"/>
      <c r="FI178" s="263"/>
      <c r="FJ178" s="263"/>
      <c r="FK178" s="263"/>
      <c r="FL178" s="263"/>
      <c r="FM178" s="263"/>
      <c r="FN178" s="263"/>
      <c r="FO178" s="263"/>
      <c r="FP178" s="263"/>
      <c r="FQ178" s="263"/>
      <c r="FR178" s="263"/>
      <c r="FS178" s="263"/>
      <c r="FT178" s="263"/>
      <c r="FU178" s="263"/>
      <c r="FV178" s="263"/>
      <c r="FW178" s="263"/>
      <c r="FX178" s="263"/>
      <c r="FY178" s="263"/>
      <c r="FZ178" s="263"/>
      <c r="GA178" s="263"/>
      <c r="GB178" s="263"/>
      <c r="GC178" s="263"/>
      <c r="GD178" s="263"/>
      <c r="GE178" s="263"/>
      <c r="GF178" s="263"/>
      <c r="GG178" s="263"/>
      <c r="GH178" s="263"/>
      <c r="GI178" s="263"/>
      <c r="GJ178" s="263"/>
      <c r="GK178" s="263"/>
      <c r="GL178" s="263"/>
      <c r="GM178" s="263"/>
      <c r="GN178" s="263"/>
      <c r="GO178" s="263"/>
      <c r="GP178" s="263"/>
      <c r="GQ178" s="263"/>
      <c r="GR178" s="263"/>
      <c r="GS178" s="263"/>
      <c r="GT178" s="263"/>
      <c r="GU178" s="263"/>
      <c r="GV178" s="263"/>
      <c r="GW178" s="263"/>
      <c r="GX178" s="263"/>
      <c r="GY178" s="263"/>
      <c r="GZ178" s="263"/>
      <c r="HA178" s="263"/>
      <c r="HB178" s="263"/>
      <c r="HC178" s="263"/>
      <c r="HD178" s="263"/>
      <c r="HE178" s="263"/>
      <c r="HF178" s="263"/>
      <c r="HG178" s="263"/>
      <c r="HH178" s="263"/>
      <c r="HI178" s="263"/>
      <c r="HJ178" s="263"/>
      <c r="HK178" s="263"/>
      <c r="HL178" s="263"/>
      <c r="HM178" s="263"/>
      <c r="HN178" s="263"/>
      <c r="HO178" s="263"/>
      <c r="HP178" s="263"/>
      <c r="HQ178" s="263"/>
      <c r="HR178" s="263"/>
      <c r="HS178" s="263"/>
      <c r="HT178" s="263"/>
      <c r="HU178" s="263"/>
      <c r="HV178" s="263"/>
      <c r="HW178" s="263"/>
      <c r="HX178" s="263"/>
      <c r="HY178" s="263"/>
      <c r="HZ178" s="263"/>
      <c r="IA178" s="263"/>
      <c r="IB178" s="263"/>
      <c r="IC178" s="263"/>
      <c r="ID178" s="263"/>
      <c r="IE178" s="263"/>
      <c r="IF178" s="263"/>
      <c r="IG178" s="263"/>
      <c r="IH178" s="263"/>
      <c r="II178" s="263"/>
      <c r="IJ178" s="263"/>
      <c r="IK178" s="263"/>
      <c r="IL178" s="263"/>
      <c r="IM178" s="263"/>
      <c r="IN178" s="263"/>
      <c r="IO178" s="263"/>
      <c r="IP178" s="263"/>
      <c r="IQ178" s="263"/>
      <c r="IR178" s="263"/>
      <c r="IS178" s="263"/>
      <c r="IT178" s="263"/>
      <c r="IU178" s="263"/>
    </row>
    <row r="179" spans="1:255" ht="15.6">
      <c r="A179" s="263"/>
      <c r="B179" s="263"/>
      <c r="C179" s="263"/>
      <c r="D179" s="263"/>
      <c r="E179" s="263"/>
      <c r="F179" s="263"/>
      <c r="G179" s="263"/>
      <c r="H179" s="263"/>
      <c r="I179" s="263"/>
      <c r="J179" s="263"/>
      <c r="K179" s="263"/>
      <c r="L179" s="263"/>
      <c r="M179" s="263"/>
      <c r="N179" s="263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3"/>
      <c r="AQ179" s="263"/>
      <c r="AR179" s="263"/>
      <c r="AS179" s="263"/>
      <c r="AT179" s="263"/>
      <c r="AU179" s="263"/>
      <c r="AV179" s="263"/>
      <c r="AW179" s="263"/>
      <c r="AX179" s="263"/>
      <c r="AY179" s="263"/>
      <c r="AZ179" s="263"/>
      <c r="BA179" s="263"/>
      <c r="BB179" s="263"/>
      <c r="BC179" s="263"/>
      <c r="BD179" s="263"/>
      <c r="BE179" s="263"/>
      <c r="BF179" s="263"/>
      <c r="BG179" s="263"/>
      <c r="BH179" s="263"/>
      <c r="BI179" s="263"/>
      <c r="BJ179" s="263"/>
      <c r="BK179" s="263"/>
      <c r="BL179" s="263"/>
      <c r="BM179" s="263"/>
      <c r="BN179" s="263"/>
      <c r="BO179" s="263"/>
      <c r="BP179" s="263"/>
      <c r="BQ179" s="263"/>
      <c r="BR179" s="263"/>
      <c r="BS179" s="263"/>
      <c r="BT179" s="263"/>
      <c r="BU179" s="263"/>
      <c r="BV179" s="263"/>
      <c r="BW179" s="263"/>
      <c r="BX179" s="263"/>
      <c r="BY179" s="263"/>
      <c r="BZ179" s="263"/>
      <c r="CA179" s="263"/>
      <c r="CB179" s="263"/>
      <c r="CC179" s="263"/>
      <c r="CD179" s="263"/>
      <c r="CE179" s="263"/>
      <c r="CF179" s="263"/>
      <c r="CG179" s="263"/>
      <c r="CH179" s="263"/>
      <c r="CI179" s="263"/>
      <c r="CJ179" s="263"/>
      <c r="CK179" s="263"/>
      <c r="CL179" s="263"/>
      <c r="CM179" s="263"/>
      <c r="CN179" s="263"/>
      <c r="CO179" s="263"/>
      <c r="CP179" s="263"/>
      <c r="CQ179" s="263"/>
      <c r="CR179" s="263"/>
      <c r="CS179" s="263"/>
      <c r="CT179" s="263"/>
      <c r="CU179" s="263"/>
      <c r="CV179" s="263"/>
      <c r="CW179" s="263"/>
      <c r="CX179" s="263"/>
      <c r="CY179" s="263"/>
      <c r="CZ179" s="263"/>
      <c r="DA179" s="263"/>
      <c r="DB179" s="263"/>
      <c r="DC179" s="263"/>
      <c r="DD179" s="263"/>
      <c r="DE179" s="263"/>
      <c r="DF179" s="263"/>
      <c r="DG179" s="263"/>
      <c r="DH179" s="263"/>
      <c r="DI179" s="263"/>
      <c r="DJ179" s="263"/>
      <c r="DK179" s="263"/>
      <c r="DL179" s="263"/>
      <c r="DM179" s="263"/>
      <c r="DN179" s="263"/>
      <c r="DO179" s="263"/>
      <c r="DP179" s="263"/>
      <c r="DQ179" s="263"/>
      <c r="DR179" s="263"/>
      <c r="DS179" s="263"/>
      <c r="DT179" s="263"/>
      <c r="DU179" s="263"/>
      <c r="DV179" s="263"/>
      <c r="DW179" s="263"/>
      <c r="DX179" s="263"/>
      <c r="DY179" s="263"/>
      <c r="DZ179" s="263"/>
      <c r="EA179" s="263"/>
      <c r="EB179" s="263"/>
      <c r="EC179" s="263"/>
      <c r="ED179" s="263"/>
      <c r="EE179" s="263"/>
      <c r="EF179" s="263"/>
      <c r="EG179" s="263"/>
      <c r="EH179" s="263"/>
      <c r="EI179" s="263"/>
      <c r="EJ179" s="263"/>
      <c r="EK179" s="263"/>
      <c r="EL179" s="263"/>
      <c r="EM179" s="263"/>
      <c r="EN179" s="263"/>
      <c r="EO179" s="263"/>
      <c r="EP179" s="263"/>
      <c r="EQ179" s="263"/>
      <c r="ER179" s="263"/>
      <c r="ES179" s="263"/>
      <c r="ET179" s="263"/>
      <c r="EU179" s="263"/>
      <c r="EV179" s="263"/>
      <c r="EW179" s="263"/>
      <c r="EX179" s="263"/>
      <c r="EY179" s="263"/>
      <c r="EZ179" s="263"/>
      <c r="FA179" s="263"/>
      <c r="FB179" s="263"/>
      <c r="FC179" s="263"/>
      <c r="FD179" s="263"/>
      <c r="FE179" s="263"/>
      <c r="FF179" s="263"/>
      <c r="FG179" s="263"/>
      <c r="FH179" s="263"/>
      <c r="FI179" s="263"/>
      <c r="FJ179" s="263"/>
      <c r="FK179" s="263"/>
      <c r="FL179" s="263"/>
      <c r="FM179" s="263"/>
      <c r="FN179" s="263"/>
      <c r="FO179" s="263"/>
      <c r="FP179" s="263"/>
      <c r="FQ179" s="263"/>
      <c r="FR179" s="263"/>
      <c r="FS179" s="263"/>
      <c r="FT179" s="263"/>
      <c r="FU179" s="263"/>
      <c r="FV179" s="263"/>
      <c r="FW179" s="263"/>
      <c r="FX179" s="263"/>
      <c r="FY179" s="263"/>
      <c r="FZ179" s="263"/>
      <c r="GA179" s="263"/>
      <c r="GB179" s="263"/>
      <c r="GC179" s="263"/>
      <c r="GD179" s="263"/>
      <c r="GE179" s="263"/>
      <c r="GF179" s="263"/>
      <c r="GG179" s="263"/>
      <c r="GH179" s="263"/>
      <c r="GI179" s="263"/>
      <c r="GJ179" s="263"/>
      <c r="GK179" s="263"/>
      <c r="GL179" s="263"/>
      <c r="GM179" s="263"/>
      <c r="GN179" s="263"/>
      <c r="GO179" s="263"/>
      <c r="GP179" s="263"/>
      <c r="GQ179" s="263"/>
      <c r="GR179" s="263"/>
      <c r="GS179" s="263"/>
      <c r="GT179" s="263"/>
      <c r="GU179" s="263"/>
      <c r="GV179" s="263"/>
      <c r="GW179" s="263"/>
      <c r="GX179" s="263"/>
      <c r="GY179" s="263"/>
      <c r="GZ179" s="263"/>
      <c r="HA179" s="263"/>
      <c r="HB179" s="263"/>
      <c r="HC179" s="263"/>
      <c r="HD179" s="263"/>
      <c r="HE179" s="263"/>
      <c r="HF179" s="263"/>
      <c r="HG179" s="263"/>
      <c r="HH179" s="263"/>
      <c r="HI179" s="263"/>
      <c r="HJ179" s="263"/>
      <c r="HK179" s="263"/>
      <c r="HL179" s="263"/>
      <c r="HM179" s="263"/>
      <c r="HN179" s="263"/>
      <c r="HO179" s="263"/>
      <c r="HP179" s="263"/>
      <c r="HQ179" s="263"/>
      <c r="HR179" s="263"/>
      <c r="HS179" s="263"/>
      <c r="HT179" s="263"/>
      <c r="HU179" s="263"/>
      <c r="HV179" s="263"/>
      <c r="HW179" s="263"/>
      <c r="HX179" s="263"/>
      <c r="HY179" s="263"/>
      <c r="HZ179" s="263"/>
      <c r="IA179" s="263"/>
      <c r="IB179" s="263"/>
      <c r="IC179" s="263"/>
      <c r="ID179" s="263"/>
      <c r="IE179" s="263"/>
      <c r="IF179" s="263"/>
      <c r="IG179" s="263"/>
      <c r="IH179" s="263"/>
      <c r="II179" s="263"/>
      <c r="IJ179" s="263"/>
      <c r="IK179" s="263"/>
      <c r="IL179" s="263"/>
      <c r="IM179" s="263"/>
      <c r="IN179" s="263"/>
      <c r="IO179" s="263"/>
      <c r="IP179" s="263"/>
      <c r="IQ179" s="263"/>
      <c r="IR179" s="263"/>
      <c r="IS179" s="263"/>
      <c r="IT179" s="263"/>
      <c r="IU179" s="263"/>
    </row>
    <row r="180" spans="1:255" ht="15.6">
      <c r="A180" s="263"/>
      <c r="B180" s="263"/>
      <c r="C180" s="263"/>
      <c r="D180" s="263"/>
      <c r="E180" s="263"/>
      <c r="F180" s="263"/>
      <c r="G180" s="263"/>
      <c r="H180" s="263"/>
      <c r="I180" s="263"/>
      <c r="J180" s="263"/>
      <c r="K180" s="263"/>
      <c r="L180" s="263"/>
      <c r="M180" s="263"/>
      <c r="N180" s="263"/>
      <c r="O180" s="263"/>
      <c r="P180" s="263"/>
      <c r="Q180" s="263"/>
      <c r="R180" s="263"/>
      <c r="S180" s="263"/>
      <c r="T180" s="263"/>
      <c r="U180" s="263"/>
      <c r="V180" s="263"/>
      <c r="W180" s="263"/>
      <c r="X180" s="263"/>
      <c r="Y180" s="263"/>
      <c r="Z180" s="263"/>
      <c r="AA180" s="263"/>
      <c r="AB180" s="263"/>
      <c r="AC180" s="263"/>
      <c r="AD180" s="263"/>
      <c r="AE180" s="263"/>
      <c r="AF180" s="263"/>
      <c r="AG180" s="263"/>
      <c r="AH180" s="263"/>
      <c r="AI180" s="263"/>
      <c r="AJ180" s="263"/>
      <c r="AK180" s="263"/>
      <c r="AL180" s="263"/>
      <c r="AM180" s="263"/>
      <c r="AN180" s="263"/>
      <c r="AO180" s="263"/>
      <c r="AP180" s="263"/>
      <c r="AQ180" s="263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  <c r="BC180" s="263"/>
      <c r="BD180" s="263"/>
      <c r="BE180" s="263"/>
      <c r="BF180" s="263"/>
      <c r="BG180" s="263"/>
      <c r="BH180" s="263"/>
      <c r="BI180" s="263"/>
      <c r="BJ180" s="263"/>
      <c r="BK180" s="263"/>
      <c r="BL180" s="263"/>
      <c r="BM180" s="263"/>
      <c r="BN180" s="263"/>
      <c r="BO180" s="263"/>
      <c r="BP180" s="263"/>
      <c r="BQ180" s="263"/>
      <c r="BR180" s="263"/>
      <c r="BS180" s="263"/>
      <c r="BT180" s="263"/>
      <c r="BU180" s="263"/>
      <c r="BV180" s="263"/>
      <c r="BW180" s="263"/>
      <c r="BX180" s="263"/>
      <c r="BY180" s="263"/>
      <c r="BZ180" s="263"/>
      <c r="CA180" s="263"/>
      <c r="CB180" s="263"/>
      <c r="CC180" s="263"/>
      <c r="CD180" s="263"/>
      <c r="CE180" s="263"/>
      <c r="CF180" s="263"/>
      <c r="CG180" s="263"/>
      <c r="CH180" s="263"/>
      <c r="CI180" s="263"/>
      <c r="CJ180" s="263"/>
      <c r="CK180" s="263"/>
      <c r="CL180" s="263"/>
      <c r="CM180" s="263"/>
      <c r="CN180" s="263"/>
      <c r="CO180" s="263"/>
      <c r="CP180" s="263"/>
      <c r="CQ180" s="263"/>
      <c r="CR180" s="263"/>
      <c r="CS180" s="263"/>
      <c r="CT180" s="263"/>
      <c r="CU180" s="263"/>
      <c r="CV180" s="263"/>
      <c r="CW180" s="263"/>
      <c r="CX180" s="263"/>
      <c r="CY180" s="263"/>
      <c r="CZ180" s="263"/>
      <c r="DA180" s="263"/>
      <c r="DB180" s="263"/>
      <c r="DC180" s="263"/>
      <c r="DD180" s="263"/>
      <c r="DE180" s="263"/>
      <c r="DF180" s="263"/>
      <c r="DG180" s="263"/>
      <c r="DH180" s="263"/>
      <c r="DI180" s="263"/>
      <c r="DJ180" s="263"/>
      <c r="DK180" s="263"/>
      <c r="DL180" s="263"/>
      <c r="DM180" s="263"/>
      <c r="DN180" s="263"/>
      <c r="DO180" s="263"/>
      <c r="DP180" s="263"/>
      <c r="DQ180" s="263"/>
      <c r="DR180" s="263"/>
      <c r="DS180" s="263"/>
      <c r="DT180" s="263"/>
      <c r="DU180" s="263"/>
      <c r="DV180" s="263"/>
      <c r="DW180" s="263"/>
      <c r="DX180" s="263"/>
      <c r="DY180" s="263"/>
      <c r="DZ180" s="263"/>
      <c r="EA180" s="263"/>
      <c r="EB180" s="263"/>
      <c r="EC180" s="263"/>
      <c r="ED180" s="263"/>
      <c r="EE180" s="263"/>
      <c r="EF180" s="263"/>
      <c r="EG180" s="263"/>
      <c r="EH180" s="263"/>
      <c r="EI180" s="263"/>
      <c r="EJ180" s="263"/>
      <c r="EK180" s="263"/>
      <c r="EL180" s="263"/>
      <c r="EM180" s="263"/>
      <c r="EN180" s="263"/>
      <c r="EO180" s="263"/>
      <c r="EP180" s="263"/>
      <c r="EQ180" s="263"/>
      <c r="ER180" s="263"/>
      <c r="ES180" s="263"/>
      <c r="ET180" s="263"/>
      <c r="EU180" s="263"/>
      <c r="EV180" s="263"/>
      <c r="EW180" s="263"/>
      <c r="EX180" s="263"/>
      <c r="EY180" s="263"/>
      <c r="EZ180" s="263"/>
      <c r="FA180" s="263"/>
      <c r="FB180" s="263"/>
      <c r="FC180" s="263"/>
      <c r="FD180" s="263"/>
      <c r="FE180" s="263"/>
      <c r="FF180" s="263"/>
      <c r="FG180" s="263"/>
      <c r="FH180" s="263"/>
      <c r="FI180" s="263"/>
      <c r="FJ180" s="263"/>
      <c r="FK180" s="263"/>
      <c r="FL180" s="263"/>
      <c r="FM180" s="263"/>
      <c r="FN180" s="263"/>
      <c r="FO180" s="263"/>
      <c r="FP180" s="263"/>
      <c r="FQ180" s="263"/>
      <c r="FR180" s="263"/>
      <c r="FS180" s="263"/>
      <c r="FT180" s="263"/>
      <c r="FU180" s="263"/>
      <c r="FV180" s="263"/>
      <c r="FW180" s="263"/>
      <c r="FX180" s="263"/>
      <c r="FY180" s="263"/>
      <c r="FZ180" s="263"/>
      <c r="GA180" s="263"/>
      <c r="GB180" s="263"/>
      <c r="GC180" s="263"/>
      <c r="GD180" s="263"/>
      <c r="GE180" s="263"/>
      <c r="GF180" s="263"/>
      <c r="GG180" s="263"/>
      <c r="GH180" s="263"/>
      <c r="GI180" s="263"/>
      <c r="GJ180" s="263"/>
      <c r="GK180" s="263"/>
      <c r="GL180" s="263"/>
      <c r="GM180" s="263"/>
      <c r="GN180" s="263"/>
      <c r="GO180" s="263"/>
      <c r="GP180" s="263"/>
      <c r="GQ180" s="263"/>
      <c r="GR180" s="263"/>
      <c r="GS180" s="263"/>
      <c r="GT180" s="263"/>
      <c r="GU180" s="263"/>
      <c r="GV180" s="263"/>
      <c r="GW180" s="263"/>
      <c r="GX180" s="263"/>
      <c r="GY180" s="263"/>
      <c r="GZ180" s="263"/>
      <c r="HA180" s="263"/>
      <c r="HB180" s="263"/>
      <c r="HC180" s="263"/>
      <c r="HD180" s="263"/>
      <c r="HE180" s="263"/>
      <c r="HF180" s="263"/>
      <c r="HG180" s="263"/>
      <c r="HH180" s="263"/>
      <c r="HI180" s="263"/>
      <c r="HJ180" s="263"/>
      <c r="HK180" s="263"/>
      <c r="HL180" s="263"/>
      <c r="HM180" s="263"/>
      <c r="HN180" s="263"/>
      <c r="HO180" s="263"/>
      <c r="HP180" s="263"/>
      <c r="HQ180" s="263"/>
      <c r="HR180" s="263"/>
      <c r="HS180" s="263"/>
      <c r="HT180" s="263"/>
      <c r="HU180" s="263"/>
      <c r="HV180" s="263"/>
      <c r="HW180" s="263"/>
      <c r="HX180" s="263"/>
      <c r="HY180" s="263"/>
      <c r="HZ180" s="263"/>
      <c r="IA180" s="263"/>
      <c r="IB180" s="263"/>
      <c r="IC180" s="263"/>
      <c r="ID180" s="263"/>
      <c r="IE180" s="263"/>
      <c r="IF180" s="263"/>
      <c r="IG180" s="263"/>
      <c r="IH180" s="263"/>
      <c r="II180" s="263"/>
      <c r="IJ180" s="263"/>
      <c r="IK180" s="263"/>
      <c r="IL180" s="263"/>
      <c r="IM180" s="263"/>
      <c r="IN180" s="263"/>
      <c r="IO180" s="263"/>
      <c r="IP180" s="263"/>
      <c r="IQ180" s="263"/>
      <c r="IR180" s="263"/>
      <c r="IS180" s="263"/>
      <c r="IT180" s="263"/>
      <c r="IU180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21" sqref="F21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81640625" defaultRowHeight="15.6"/>
  <cols>
    <col min="1" max="1" width="20.81640625" style="317" customWidth="1"/>
    <col min="2" max="2" width="10.4531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Havlíček Jan</cp:lastModifiedBy>
  <cp:lastPrinted>2000-03-20T17:12:53Z</cp:lastPrinted>
  <dcterms:created xsi:type="dcterms:W3CDTF">1999-12-08T16:02:11Z</dcterms:created>
  <dcterms:modified xsi:type="dcterms:W3CDTF">2023-09-10T11:56:15Z</dcterms:modified>
</cp:coreProperties>
</file>