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832" windowHeight="4680" tabRatio="937" activeTab="11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OandM!$C$9:$V$37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Value'!$A$1:$X$28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OandM!$A$1:$V$63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fullCalcOnLoad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I43" i="31"/>
  <c r="K43" i="31"/>
  <c r="M43" i="31"/>
  <c r="O43" i="31"/>
  <c r="Q43" i="31"/>
  <c r="S43" i="31"/>
  <c r="U43" i="31"/>
  <c r="E44" i="31"/>
  <c r="F44" i="31"/>
  <c r="G44" i="31"/>
  <c r="H44" i="31"/>
  <c r="I44" i="31"/>
  <c r="J44" i="31"/>
  <c r="K44" i="31"/>
  <c r="L44" i="31"/>
  <c r="M44" i="31"/>
  <c r="N44" i="31"/>
  <c r="O44" i="31"/>
  <c r="R44" i="31"/>
  <c r="S44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<sst xmlns="http://schemas.openxmlformats.org/spreadsheetml/2006/main" count="915" uniqueCount="480">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</sst>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2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943620178041542"/>
          <c:y val="3.95480907859858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314540059348"/>
          <c:y val="0.22033936295049283"/>
          <c:w val="0.59347181008902083"/>
          <c:h val="0.519774907472957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5-443F-8FB0-DF9969625CAD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5-443F-8FB0-DF996962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42048"/>
        <c:axId val="1"/>
      </c:lineChart>
      <c:catAx>
        <c:axId val="1904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69139465875369"/>
              <c:y val="0.86158340640897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189910979228489E-2"/>
              <c:y val="0.2203393629504928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44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8278931750749"/>
          <c:y val="0.40678036237014054"/>
          <c:w val="0.20178041543026706"/>
          <c:h val="0.149717772261232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05296511492869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7396964445725"/>
          <c:y val="0.23463791159274164"/>
          <c:w val="0.63376307127078801"/>
          <c:h val="0.46368920624279891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06A-B7C8-5737BD975B9D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06A-B7C8-5737BD97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36064"/>
        <c:axId val="1"/>
      </c:lineChart>
      <c:catAx>
        <c:axId val="1905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340519887262114"/>
              <c:y val="0.8519590837593594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181711860372399E-2"/>
              <c:y val="0.21229144382200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53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3505429339474"/>
          <c:y val="0.4022364198732713"/>
          <c:w val="0.16165965474853058"/>
          <c:h val="0.13128549815308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76200</xdr:rowOff>
    </xdr:from>
    <xdr:to>
      <xdr:col>18</xdr:col>
      <xdr:colOff>289560</xdr:colOff>
      <xdr:row>23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29</xdr:row>
      <xdr:rowOff>160020</xdr:rowOff>
    </xdr:from>
    <xdr:to>
      <xdr:col>18</xdr:col>
      <xdr:colOff>495300</xdr:colOff>
      <xdr:row>46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H1" zoomScale="75" zoomScaleNormal="75" workbookViewId="0">
      <selection activeCell="T12" sqref="T12"/>
    </sheetView>
  </sheetViews>
  <sheetFormatPr defaultColWidth="12.81640625" defaultRowHeight="15"/>
  <cols>
    <col min="1" max="1" width="21.81640625" style="8" customWidth="1"/>
    <col min="2" max="2" width="8.1796875" style="8" customWidth="1"/>
    <col min="3" max="3" width="10.1796875" style="8" customWidth="1"/>
    <col min="4" max="4" width="14.1796875" style="8" customWidth="1"/>
    <col min="5" max="5" width="2.81640625" style="8" customWidth="1"/>
    <col min="6" max="6" width="18.81640625" style="8" customWidth="1"/>
    <col min="7" max="8" width="9.81640625" style="8" customWidth="1"/>
    <col min="9" max="9" width="10.81640625" style="8" customWidth="1"/>
    <col min="10" max="10" width="2.81640625" style="8" customWidth="1"/>
    <col min="11" max="11" width="20.81640625" style="8" customWidth="1"/>
    <col min="12" max="12" width="13.81640625" style="8" customWidth="1"/>
    <col min="13" max="13" width="10.81640625" style="8" customWidth="1"/>
    <col min="14" max="14" width="8.81640625" style="8" customWidth="1"/>
    <col min="15" max="15" width="2.81640625" style="8" customWidth="1"/>
    <col min="16" max="16" width="19.81640625" style="8" customWidth="1"/>
    <col min="17" max="17" width="9.453125" style="8" customWidth="1"/>
    <col min="18" max="18" width="10.1796875" style="8" customWidth="1"/>
    <col min="19" max="19" width="16.08984375" style="8" customWidth="1"/>
    <col min="20" max="20" width="6.1796875" style="8" customWidth="1"/>
    <col min="21" max="226" width="12.81640625" style="8" customWidth="1"/>
    <col min="227" max="16384" width="12.81640625" style="8"/>
  </cols>
  <sheetData>
    <row r="1" spans="1:214" ht="22.2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6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2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2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2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2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6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6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6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6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6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6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2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6.8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2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6.2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6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6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6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6.2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6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2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6.8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6.8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6.8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6.8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6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2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6.8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6.8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2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6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6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2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2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6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2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OandM!C36*100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6.8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2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6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6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6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6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2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6.8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6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6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6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2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2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6">
      <c r="A52" s="701"/>
      <c r="B52" s="707"/>
      <c r="C52" s="707"/>
      <c r="D52" s="707"/>
      <c r="E52" s="702"/>
      <c r="J52" s="6"/>
      <c r="O52"/>
    </row>
    <row r="53" spans="1:17" ht="15.6">
      <c r="A53" s="642"/>
      <c r="B53" s="642"/>
      <c r="C53" s="642"/>
      <c r="D53" s="642"/>
      <c r="E53" s="6"/>
      <c r="O53"/>
    </row>
    <row r="54" spans="1:17" ht="15.6">
      <c r="A54" s="703"/>
      <c r="B54" s="703"/>
      <c r="C54" s="703"/>
      <c r="D54" s="704"/>
      <c r="E54" s="702"/>
      <c r="O54"/>
      <c r="P54"/>
      <c r="Q54"/>
    </row>
    <row r="55" spans="1:17" ht="15.6">
      <c r="A55" s="705"/>
      <c r="B55" s="704"/>
      <c r="C55" s="704"/>
      <c r="D55" s="704"/>
      <c r="E55" s="702"/>
      <c r="O55"/>
      <c r="P55"/>
      <c r="Q55"/>
    </row>
    <row r="56" spans="1:17" ht="15.6">
      <c r="A56" s="705"/>
      <c r="B56" s="706"/>
      <c r="C56" s="706"/>
      <c r="D56" s="706"/>
      <c r="E56" s="702"/>
      <c r="O56"/>
      <c r="P56"/>
      <c r="Q56"/>
    </row>
    <row r="57" spans="1:17" ht="15.6">
      <c r="A57" s="705"/>
      <c r="B57" s="706"/>
      <c r="C57" s="706"/>
      <c r="D57" s="706"/>
      <c r="E57" s="701"/>
      <c r="O57"/>
      <c r="P57"/>
      <c r="Q57"/>
    </row>
    <row r="58" spans="1:17" ht="15.6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6">
      <c r="A59" s="642"/>
      <c r="B59" s="642"/>
      <c r="C59" s="642"/>
      <c r="D59" s="642"/>
      <c r="E59" s="7"/>
      <c r="O59"/>
      <c r="P59"/>
      <c r="Q59"/>
    </row>
    <row r="60" spans="1:17" ht="15.6">
      <c r="E60" s="16"/>
      <c r="K60"/>
      <c r="L60"/>
      <c r="M60"/>
      <c r="N60"/>
      <c r="O60"/>
      <c r="P60"/>
      <c r="Q60"/>
    </row>
    <row r="61" spans="1:17" ht="15.6">
      <c r="E61" s="16"/>
      <c r="K61"/>
      <c r="L61"/>
      <c r="M61"/>
      <c r="N61"/>
      <c r="O61"/>
      <c r="P61"/>
      <c r="Q61"/>
    </row>
    <row r="62" spans="1:17" ht="15.6">
      <c r="E62" s="16"/>
      <c r="J62" s="6"/>
      <c r="K62"/>
      <c r="L62"/>
      <c r="M62"/>
      <c r="N62"/>
      <c r="O62"/>
      <c r="P62"/>
      <c r="Q62"/>
    </row>
    <row r="63" spans="1:17" ht="15.6">
      <c r="E63" s="16"/>
      <c r="J63" s="6"/>
      <c r="K63"/>
      <c r="L63"/>
      <c r="M63"/>
      <c r="N63"/>
      <c r="O63"/>
      <c r="P63"/>
      <c r="Q63"/>
    </row>
    <row r="64" spans="1:17" ht="15.6">
      <c r="E64" s="16"/>
      <c r="J64" s="6"/>
      <c r="K64"/>
      <c r="L64"/>
      <c r="M64"/>
      <c r="N64"/>
      <c r="O64"/>
      <c r="P64"/>
      <c r="Q64"/>
    </row>
    <row r="65" spans="1:17" ht="15.6">
      <c r="E65"/>
      <c r="J65" s="6"/>
      <c r="K65"/>
      <c r="L65"/>
      <c r="M65"/>
      <c r="N65"/>
      <c r="O65"/>
      <c r="P65"/>
      <c r="Q65"/>
    </row>
    <row r="66" spans="1:17" ht="15.6">
      <c r="E66"/>
      <c r="J66" s="6"/>
      <c r="K66"/>
      <c r="L66"/>
      <c r="M66"/>
      <c r="N66"/>
      <c r="O66"/>
      <c r="P66"/>
      <c r="Q66"/>
    </row>
    <row r="67" spans="1:17" ht="15.6">
      <c r="E67"/>
      <c r="J67" s="6"/>
      <c r="K67"/>
      <c r="L67"/>
      <c r="M67"/>
      <c r="N67"/>
      <c r="O67"/>
      <c r="P67"/>
      <c r="Q67"/>
    </row>
    <row r="68" spans="1:17" ht="15.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6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6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6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6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6">
      <c r="A134"/>
      <c r="B134"/>
      <c r="C134"/>
      <c r="D134"/>
      <c r="E134"/>
      <c r="F134"/>
      <c r="G134"/>
      <c r="H134"/>
      <c r="I134"/>
    </row>
    <row r="135" spans="1:17" ht="15.6">
      <c r="A135"/>
      <c r="B135"/>
      <c r="C135"/>
      <c r="D135"/>
      <c r="E135"/>
      <c r="F135"/>
      <c r="G135"/>
      <c r="H135"/>
      <c r="I135"/>
    </row>
    <row r="136" spans="1:17" ht="15.6">
      <c r="A136"/>
      <c r="B136"/>
      <c r="C136"/>
      <c r="D136"/>
      <c r="E136"/>
      <c r="F136"/>
      <c r="G136"/>
      <c r="H136"/>
      <c r="I136"/>
    </row>
    <row r="137" spans="1:17" ht="15.6">
      <c r="A137"/>
      <c r="B137"/>
      <c r="C137"/>
      <c r="D137"/>
      <c r="E137"/>
      <c r="F137"/>
      <c r="G137"/>
      <c r="H137"/>
      <c r="I137"/>
    </row>
    <row r="138" spans="1:17" ht="15.6">
      <c r="A138"/>
      <c r="B138"/>
      <c r="C138"/>
      <c r="D138"/>
      <c r="E138"/>
      <c r="F138"/>
      <c r="G138"/>
      <c r="H138"/>
      <c r="I138"/>
    </row>
    <row r="139" spans="1:17" ht="15.6">
      <c r="A139"/>
      <c r="B139"/>
      <c r="C139"/>
      <c r="D139"/>
      <c r="E139"/>
      <c r="F139"/>
      <c r="G139"/>
      <c r="H139"/>
      <c r="I139"/>
    </row>
    <row r="140" spans="1:17" ht="15.6">
      <c r="A140"/>
      <c r="B140"/>
      <c r="C140"/>
      <c r="D140"/>
      <c r="E140"/>
      <c r="F140"/>
      <c r="G140"/>
      <c r="H140"/>
      <c r="I140"/>
    </row>
    <row r="141" spans="1:17" ht="15.6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6"/>
  <cols>
    <col min="1" max="1" width="9.81640625" customWidth="1"/>
    <col min="3" max="3" width="10.6328125" bestFit="1" customWidth="1"/>
    <col min="4" max="4" width="11.81640625" customWidth="1"/>
  </cols>
  <sheetData>
    <row r="1" spans="1:7">
      <c r="A1" t="s">
        <v>479</v>
      </c>
    </row>
    <row r="2" spans="1:7" ht="46.8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abSelected="1" topLeftCell="H25" workbookViewId="0">
      <selection activeCell="J34" sqref="J34"/>
    </sheetView>
  </sheetViews>
  <sheetFormatPr defaultColWidth="7.08984375" defaultRowHeight="13.2"/>
  <cols>
    <col min="1" max="1" width="26.90625" style="830" customWidth="1"/>
    <col min="2" max="2" width="4.81640625" style="830" customWidth="1"/>
    <col min="3" max="3" width="8.6328125" style="830" customWidth="1"/>
    <col min="4" max="4" width="10.90625" style="830" customWidth="1"/>
    <col min="5" max="5" width="8.6328125" style="830" customWidth="1"/>
    <col min="6" max="7" width="11.81640625" style="830" customWidth="1"/>
    <col min="8" max="8" width="10.08984375" style="830" customWidth="1"/>
    <col min="9" max="9" width="13.54296875" style="830" customWidth="1"/>
    <col min="10" max="10" width="14.54296875" style="830" customWidth="1"/>
    <col min="11" max="11" width="8.6328125" style="830" customWidth="1"/>
    <col min="12" max="12" width="8.54296875" style="830" customWidth="1"/>
    <col min="13" max="13" width="8.36328125" style="830" customWidth="1"/>
    <col min="14" max="16384" width="7.08984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6"/>
  <cols>
    <col min="1" max="1" width="15.08984375" bestFit="1" customWidth="1"/>
    <col min="8" max="8" width="6.63281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2" thickBot="1"/>
    <row r="9" spans="1:12" ht="16.2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2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2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2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R12" sqref="R12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75" zoomScaleNormal="100" workbookViewId="0">
      <selection activeCell="E49" sqref="E49"/>
    </sheetView>
  </sheetViews>
  <sheetFormatPr defaultColWidth="8.90625" defaultRowHeight="15.6"/>
  <cols>
    <col min="1" max="1" width="8.90625" style="782"/>
    <col min="2" max="2" width="4.08984375" style="782" customWidth="1"/>
    <col min="3" max="3" width="8.90625" style="782"/>
    <col min="4" max="4" width="12.08984375" style="782" bestFit="1" customWidth="1"/>
    <col min="5" max="6" width="13.36328125" style="782" customWidth="1"/>
    <col min="7" max="7" width="13.90625" style="782" customWidth="1"/>
    <col min="8" max="8" width="12.81640625" style="782" customWidth="1"/>
    <col min="9" max="13" width="10" style="782" bestFit="1" customWidth="1"/>
    <col min="14" max="24" width="9" style="782" bestFit="1" customWidth="1"/>
    <col min="25" max="25" width="8.54296875" style="782" bestFit="1" customWidth="1"/>
    <col min="26" max="26" width="7.54296875" style="782" bestFit="1" customWidth="1"/>
    <col min="27" max="27" width="4.453125" style="782" customWidth="1"/>
    <col min="28" max="16384" width="8.9062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2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6.8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798">
        <f ca="1">OandM!C34-OandM!C21-OandM!C13-OandM!C11-OandM!C14-OandM!C16+OandM!C41</f>
        <v>986.97383617792377</v>
      </c>
      <c r="E16" s="798">
        <f ca="1">OandM!D34-OandM!D21-OandM!D13-OandM!D11-OandM!D16-OandM!D14+OandM!D41</f>
        <v>2791.3941350267269</v>
      </c>
      <c r="F16" s="798">
        <f ca="1">OandM!E34-OandM!E21-OandM!E13-OandM!E11-OandM!E16-OandM!E14+OandM!E41</f>
        <v>2842.4641539090062</v>
      </c>
      <c r="G16" s="798">
        <f ca="1">OandM!F34-OandM!F21-OandM!F13-OandM!F11-OandM!F16-OandM!F14+OandM!F41</f>
        <v>2658.1199210448749</v>
      </c>
      <c r="H16" s="798">
        <f ca="1">OandM!G34-OandM!G21-OandM!G13-OandM!G11-OandM!G16-OandM!G14+OandM!G41</f>
        <v>2714.9257780988901</v>
      </c>
      <c r="I16" s="798">
        <f ca="1">OandM!H34-OandM!H21-OandM!H13-OandM!H11-OandM!H16-OandM!H14+OandM!H41</f>
        <v>2719.4629941428752</v>
      </c>
      <c r="J16" s="798">
        <f ca="1">OandM!I34-OandM!I21-OandM!I13-OandM!I11-OandM!I16-OandM!I14+OandM!I41</f>
        <v>2822.9413915242176</v>
      </c>
      <c r="K16" s="798">
        <f ca="1">OandM!J34-OandM!J21-OandM!J13-OandM!J11-OandM!J16-OandM!J14+OandM!J41</f>
        <v>2932.7786202568104</v>
      </c>
      <c r="L16" s="798">
        <f ca="1">OandM!K34-OandM!K21-OandM!K13-OandM!K11-OandM!K16-OandM!K14+OandM!K41</f>
        <v>2998.3721567959601</v>
      </c>
      <c r="M16" s="798">
        <f ca="1">OandM!L34-OandM!L21-OandM!L13-OandM!L11-OandM!L16-OandM!L14+OandM!L41</f>
        <v>3049.1216947464745</v>
      </c>
      <c r="N16" s="798">
        <f ca="1">OandM!M34-OandM!M21-OandM!M13-OandM!M11-OandM!M16-OandM!M14+OandM!M41</f>
        <v>3119.2453620212746</v>
      </c>
      <c r="O16" s="798">
        <f ca="1">OandM!N34-OandM!N21-OandM!N13-OandM!N11-OandM!N16-OandM!N14+OandM!N41</f>
        <v>3175.829937050657</v>
      </c>
      <c r="P16" s="798">
        <f ca="1">OandM!O34-OandM!O21-OandM!O13-OandM!O11-OandM!O16-OandM!O14+OandM!O41</f>
        <v>23797.085157009093</v>
      </c>
      <c r="Q16" s="798">
        <f ca="1">OandM!P34-OandM!P21-OandM!P13-OandM!P11-OandM!P16-OandM!P14+OandM!P41</f>
        <v>3299.1815009428901</v>
      </c>
      <c r="R16" s="798">
        <f ca="1">OandM!Q34-OandM!Q21-OandM!Q13-OandM!Q11-OandM!Q16-OandM!Q14+OandM!Q41</f>
        <v>3406.7113985489277</v>
      </c>
      <c r="S16" s="798">
        <f ca="1">OandM!R34-OandM!R21-OandM!R13-OandM!R11-OandM!R16-OandM!R14+OandM!R41</f>
        <v>3516.4582074322207</v>
      </c>
      <c r="T16" s="798">
        <f ca="1">OandM!S34-OandM!S21-OandM!S13-OandM!S11-OandM!S16-OandM!S14+OandM!S41</f>
        <v>3628.649794694184</v>
      </c>
      <c r="U16" s="798">
        <f ca="1">OandM!T34-OandM!T21-OandM!T13-OandM!T11-OandM!T16-OandM!T14+OandM!T41</f>
        <v>3711.8920862405503</v>
      </c>
      <c r="V16" s="798">
        <f ca="1">OandM!U34-OandM!U21-OandM!U13-OandM!U11-OandM!U16-OandM!U14+OandM!U41</f>
        <v>3806.5145864687788</v>
      </c>
      <c r="W16" s="798">
        <f ca="1">OandM!V34-OandM!V21-OandM!V13-OandM!V11-OandM!V16-OandM!V14+OandM!V41</f>
        <v>3838.9581367304399</v>
      </c>
      <c r="X16" s="798">
        <f>OandM!W34-OandM!W21-OandM!W13-OandM!W11-OandM!W16-OandM!W14+OandM!W41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20" spans="1:24">
      <c r="A20" s="782" t="s">
        <v>435</v>
      </c>
      <c r="D20" s="798">
        <f>D13+E13</f>
        <v>177498.08799999999</v>
      </c>
      <c r="E20" s="798">
        <f>E13</f>
        <v>173868.51499999998</v>
      </c>
      <c r="F20" s="798">
        <f t="shared" ref="F20:W20" si="1">F13</f>
        <v>158402.66899999999</v>
      </c>
      <c r="G20" s="798">
        <f t="shared" si="1"/>
        <v>145413.53899999999</v>
      </c>
      <c r="H20" s="798">
        <f t="shared" si="1"/>
        <v>133452.22099999999</v>
      </c>
      <c r="I20" s="798">
        <f t="shared" si="1"/>
        <v>122155.982</v>
      </c>
      <c r="J20" s="798">
        <f t="shared" si="1"/>
        <v>111060.765</v>
      </c>
      <c r="K20" s="798">
        <f t="shared" si="1"/>
        <v>100253.368</v>
      </c>
      <c r="L20" s="798">
        <f t="shared" si="1"/>
        <v>89726.133000000002</v>
      </c>
      <c r="M20" s="798">
        <f t="shared" si="1"/>
        <v>79821.683999999994</v>
      </c>
      <c r="N20" s="798">
        <f t="shared" si="1"/>
        <v>70177.642000000007</v>
      </c>
      <c r="O20" s="798">
        <f t="shared" si="1"/>
        <v>61159.364999999998</v>
      </c>
      <c r="P20" s="798">
        <f t="shared" si="1"/>
        <v>52623.319000000003</v>
      </c>
      <c r="Q20" s="798">
        <f t="shared" si="1"/>
        <v>44512.258000000002</v>
      </c>
      <c r="R20" s="798">
        <f t="shared" si="1"/>
        <v>36909.182999999997</v>
      </c>
      <c r="S20" s="798">
        <f t="shared" si="1"/>
        <v>29822.007000000001</v>
      </c>
      <c r="T20" s="798">
        <f t="shared" si="1"/>
        <v>23003.49</v>
      </c>
      <c r="U20" s="798">
        <f t="shared" si="1"/>
        <v>16699.155999999999</v>
      </c>
      <c r="V20" s="798">
        <f t="shared" si="1"/>
        <v>10779.319</v>
      </c>
      <c r="W20" s="798">
        <f t="shared" si="1"/>
        <v>5259.3959999999997</v>
      </c>
      <c r="X20" s="798">
        <v>0</v>
      </c>
    </row>
    <row r="21" spans="1:24">
      <c r="A21" s="782" t="s">
        <v>436</v>
      </c>
      <c r="D21" s="800">
        <f ca="1">-D17</f>
        <v>-36323.556323857578</v>
      </c>
      <c r="E21" s="800">
        <f ca="1">-E17</f>
        <v>-35461.495151547417</v>
      </c>
      <c r="F21" s="800">
        <f t="shared" ref="F21:X21" ca="1" si="2">-F17</f>
        <v>-33182.88604555952</v>
      </c>
      <c r="G21" s="800">
        <f t="shared" ca="1" si="2"/>
        <v>-31014.383752125621</v>
      </c>
      <c r="H21" s="800">
        <f t="shared" ca="1" si="2"/>
        <v>-29119.180985010404</v>
      </c>
      <c r="I21" s="800">
        <f t="shared" ca="1" si="2"/>
        <v>-27310.111304535218</v>
      </c>
      <c r="J21" s="800">
        <f t="shared" ca="1" si="2"/>
        <v>-25616.566426868045</v>
      </c>
      <c r="K21" s="800">
        <f t="shared" ca="1" si="2"/>
        <v>-23973.588835347455</v>
      </c>
      <c r="L21" s="800">
        <f t="shared" ca="1" si="2"/>
        <v>-22378.351584260392</v>
      </c>
      <c r="M21" s="800">
        <f t="shared" ca="1" si="2"/>
        <v>-20854.131220796724</v>
      </c>
      <c r="N21" s="800">
        <f t="shared" ca="1" si="2"/>
        <v>-19405.515468313559</v>
      </c>
      <c r="O21" s="800">
        <f t="shared" ca="1" si="2"/>
        <v>-18020.533223769922</v>
      </c>
      <c r="P21" s="800">
        <f t="shared" ca="1" si="2"/>
        <v>-16702.676707353807</v>
      </c>
      <c r="Q21" s="800">
        <f t="shared" ca="1" si="2"/>
        <v>-7473.7567975082093</v>
      </c>
      <c r="R21" s="800">
        <f t="shared" ca="1" si="2"/>
        <v>-6277.9815944137508</v>
      </c>
      <c r="S21" s="800">
        <f t="shared" ca="1" si="2"/>
        <v>-5124.0105790171965</v>
      </c>
      <c r="T21" s="800">
        <f t="shared" ca="1" si="2"/>
        <v>-4010.7899654068237</v>
      </c>
      <c r="U21" s="800">
        <f t="shared" ca="1" si="2"/>
        <v>-2937.203426189039</v>
      </c>
      <c r="V21" s="800">
        <f t="shared" ca="1" si="2"/>
        <v>-1910.8343331065369</v>
      </c>
      <c r="W21" s="800">
        <f t="shared" ca="1" si="2"/>
        <v>-927.15862947482958</v>
      </c>
      <c r="X21" s="800">
        <f t="shared" si="2"/>
        <v>0</v>
      </c>
    </row>
    <row r="22" spans="1:24">
      <c r="A22" s="782" t="s">
        <v>437</v>
      </c>
      <c r="D22" s="801">
        <f ca="1">SUM(D20:D21)</f>
        <v>141174.53167614242</v>
      </c>
      <c r="E22" s="801">
        <f ca="1">SUM(E20:E21)</f>
        <v>138407.01984845256</v>
      </c>
      <c r="F22" s="801">
        <f t="shared" ref="F22:X22" ca="1" si="3">SUM(F20:F21)</f>
        <v>125219.78295444048</v>
      </c>
      <c r="G22" s="801">
        <f t="shared" ca="1" si="3"/>
        <v>114399.15524787437</v>
      </c>
      <c r="H22" s="801">
        <f t="shared" ca="1" si="3"/>
        <v>104333.04001498959</v>
      </c>
      <c r="I22" s="801">
        <f t="shared" ca="1" si="3"/>
        <v>94845.870695464779</v>
      </c>
      <c r="J22" s="801">
        <f t="shared" ca="1" si="3"/>
        <v>85444.198573131958</v>
      </c>
      <c r="K22" s="801">
        <f t="shared" ca="1" si="3"/>
        <v>76279.779164652544</v>
      </c>
      <c r="L22" s="801">
        <f t="shared" ca="1" si="3"/>
        <v>67347.781415739606</v>
      </c>
      <c r="M22" s="801">
        <f t="shared" ca="1" si="3"/>
        <v>58967.552779203266</v>
      </c>
      <c r="N22" s="801">
        <f t="shared" ca="1" si="3"/>
        <v>50772.126531686445</v>
      </c>
      <c r="O22" s="801">
        <f t="shared" ca="1" si="3"/>
        <v>43138.831776230072</v>
      </c>
      <c r="P22" s="801">
        <f t="shared" ca="1" si="3"/>
        <v>35920.642292646196</v>
      </c>
      <c r="Q22" s="801">
        <f t="shared" ca="1" si="3"/>
        <v>37038.501202491796</v>
      </c>
      <c r="R22" s="801">
        <f t="shared" ca="1" si="3"/>
        <v>30631.201405586246</v>
      </c>
      <c r="S22" s="801">
        <f t="shared" ca="1" si="3"/>
        <v>24697.996420982803</v>
      </c>
      <c r="T22" s="801">
        <f t="shared" ca="1" si="3"/>
        <v>18992.700034593177</v>
      </c>
      <c r="U22" s="801">
        <f t="shared" ca="1" si="3"/>
        <v>13761.952573810961</v>
      </c>
      <c r="V22" s="801">
        <f t="shared" ca="1" si="3"/>
        <v>8868.4846668934624</v>
      </c>
      <c r="W22" s="801">
        <f t="shared" ca="1" si="3"/>
        <v>4332.2373705251703</v>
      </c>
      <c r="X22" s="801">
        <f t="shared" si="3"/>
        <v>0</v>
      </c>
    </row>
    <row r="23" spans="1:24">
      <c r="A23" s="782" t="s">
        <v>438</v>
      </c>
      <c r="D23" s="802">
        <f ca="1">D22/315</f>
        <v>448.17311643219813</v>
      </c>
      <c r="E23" s="802">
        <f t="shared" ref="E23:X23" ca="1" si="4">E22/315</f>
        <v>439.38736459826208</v>
      </c>
      <c r="F23" s="802">
        <f t="shared" ca="1" si="4"/>
        <v>397.52312049028723</v>
      </c>
      <c r="G23" s="802">
        <f t="shared" ca="1" si="4"/>
        <v>363.17192142182341</v>
      </c>
      <c r="H23" s="802">
        <f t="shared" ca="1" si="4"/>
        <v>331.21600004758596</v>
      </c>
      <c r="I23" s="802">
        <f t="shared" ca="1" si="4"/>
        <v>301.09800220782472</v>
      </c>
      <c r="J23" s="802">
        <f t="shared" ca="1" si="4"/>
        <v>271.25142404168878</v>
      </c>
      <c r="K23" s="802">
        <f t="shared" ca="1" si="4"/>
        <v>242.15802909413506</v>
      </c>
      <c r="L23" s="802">
        <f t="shared" ca="1" si="4"/>
        <v>213.80248068488763</v>
      </c>
      <c r="M23" s="802">
        <f t="shared" ca="1" si="4"/>
        <v>187.19858025143893</v>
      </c>
      <c r="N23" s="802">
        <f t="shared" ca="1" si="4"/>
        <v>161.18135406884585</v>
      </c>
      <c r="O23" s="802">
        <f t="shared" ca="1" si="4"/>
        <v>136.94867230549229</v>
      </c>
      <c r="P23" s="802">
        <f t="shared" ca="1" si="4"/>
        <v>114.03378505601967</v>
      </c>
      <c r="Q23" s="802">
        <f t="shared" ca="1" si="4"/>
        <v>117.58254349997395</v>
      </c>
      <c r="R23" s="802">
        <f t="shared" ca="1" si="4"/>
        <v>97.241909224083315</v>
      </c>
      <c r="S23" s="802">
        <f t="shared" ca="1" si="4"/>
        <v>78.406337844389853</v>
      </c>
      <c r="T23" s="802">
        <f t="shared" ca="1" si="4"/>
        <v>60.294285824105323</v>
      </c>
      <c r="U23" s="802">
        <f t="shared" ca="1" si="4"/>
        <v>43.688738329558603</v>
      </c>
      <c r="V23" s="802">
        <f t="shared" ca="1" si="4"/>
        <v>28.153919577439563</v>
      </c>
      <c r="W23" s="802">
        <f t="shared" ca="1" si="4"/>
        <v>13.753134509603715</v>
      </c>
      <c r="X23" s="802">
        <f t="shared" si="4"/>
        <v>0</v>
      </c>
    </row>
    <row r="25" spans="1:24">
      <c r="A25" s="782" t="s">
        <v>439</v>
      </c>
      <c r="D25" s="798">
        <f>'ENA Debt'!C20</f>
        <v>118125</v>
      </c>
      <c r="E25" s="798">
        <f ca="1">'ENA Debt'!D20</f>
        <v>118125</v>
      </c>
      <c r="F25" s="798">
        <f ca="1">'ENA Debt'!E20</f>
        <v>116139.18709601989</v>
      </c>
      <c r="G25" s="798">
        <f ca="1">'ENA Debt'!F20</f>
        <v>113919.29186216624</v>
      </c>
      <c r="H25" s="798">
        <f ca="1">'ENA Debt'!G20</f>
        <v>111159.92158167947</v>
      </c>
      <c r="I25" s="798">
        <f ca="1">'ENA Debt'!H20</f>
        <v>107862.97055031684</v>
      </c>
      <c r="J25" s="798">
        <f ca="1">'ENA Debt'!I20</f>
        <v>104566.0195189542</v>
      </c>
      <c r="K25" s="798">
        <f ca="1">'ENA Debt'!J20</f>
        <v>100056.57736831481</v>
      </c>
      <c r="L25" s="798">
        <f ca="1">'ENA Debt'!K20</f>
        <v>95547.135217675401</v>
      </c>
      <c r="M25" s="798">
        <f ca="1">'ENA Debt'!L20</f>
        <v>89633.161382558668</v>
      </c>
      <c r="N25" s="798">
        <f ca="1">'ENA Debt'!M20</f>
        <v>83719.187547441936</v>
      </c>
      <c r="O25" s="798">
        <f ca="1">'ENA Debt'!N20</f>
        <v>76240.861017735515</v>
      </c>
      <c r="P25" s="798">
        <f ca="1">'ENA Debt'!O20</f>
        <v>68762.53448802908</v>
      </c>
      <c r="Q25" s="798">
        <f ca="1">'ENA Debt'!P20</f>
        <v>61084.40948802908</v>
      </c>
      <c r="R25" s="798">
        <f ca="1">'ENA Debt'!Q20</f>
        <v>53406.28448802908</v>
      </c>
      <c r="S25" s="798">
        <f ca="1">'ENA Debt'!R20</f>
        <v>44519.01724702007</v>
      </c>
      <c r="T25" s="798">
        <f ca="1">'ENA Debt'!S20</f>
        <v>35631.750006011047</v>
      </c>
      <c r="U25" s="798">
        <f ca="1">'ENA Debt'!T20</f>
        <v>26772.375006011047</v>
      </c>
      <c r="V25" s="798">
        <f ca="1">'ENA Debt'!U20</f>
        <v>17913.000006011047</v>
      </c>
      <c r="W25" s="798">
        <f ca="1">'ENA Debt'!V20</f>
        <v>12006.750006011047</v>
      </c>
      <c r="X25" s="798">
        <f ca="1">'ENA Debt'!W20</f>
        <v>6100.5000060110469</v>
      </c>
    </row>
    <row r="26" spans="1:24">
      <c r="A26" s="782" t="s">
        <v>438</v>
      </c>
      <c r="D26" s="802">
        <f>D25/315</f>
        <v>375</v>
      </c>
      <c r="E26" s="802">
        <f t="shared" ref="E26:X26" ca="1" si="5">E25/315</f>
        <v>375</v>
      </c>
      <c r="F26" s="802">
        <f t="shared" ca="1" si="5"/>
        <v>368.69583205085678</v>
      </c>
      <c r="G26" s="802">
        <f t="shared" ca="1" si="5"/>
        <v>361.64854559417853</v>
      </c>
      <c r="H26" s="802">
        <f t="shared" ca="1" si="5"/>
        <v>352.88863994183959</v>
      </c>
      <c r="I26" s="802">
        <f t="shared" ca="1" si="5"/>
        <v>342.42212873116455</v>
      </c>
      <c r="J26" s="802">
        <f t="shared" ca="1" si="5"/>
        <v>331.95561752048951</v>
      </c>
      <c r="K26" s="802">
        <f t="shared" ca="1" si="5"/>
        <v>317.63992815338037</v>
      </c>
      <c r="L26" s="802">
        <f t="shared" ca="1" si="5"/>
        <v>303.32423878627111</v>
      </c>
      <c r="M26" s="802">
        <f t="shared" ca="1" si="5"/>
        <v>284.5497186747894</v>
      </c>
      <c r="N26" s="802">
        <f t="shared" ca="1" si="5"/>
        <v>265.77519856330775</v>
      </c>
      <c r="O26" s="802">
        <f t="shared" ca="1" si="5"/>
        <v>242.0344794213826</v>
      </c>
      <c r="P26" s="802">
        <f t="shared" ca="1" si="5"/>
        <v>218.29376027945739</v>
      </c>
      <c r="Q26" s="802">
        <f t="shared" ca="1" si="5"/>
        <v>193.91876027945739</v>
      </c>
      <c r="R26" s="802">
        <f t="shared" ca="1" si="5"/>
        <v>169.54376027945739</v>
      </c>
      <c r="S26" s="802">
        <f t="shared" ca="1" si="5"/>
        <v>141.3302134826034</v>
      </c>
      <c r="T26" s="802">
        <f t="shared" ca="1" si="5"/>
        <v>113.11666668574935</v>
      </c>
      <c r="U26" s="802">
        <f t="shared" ca="1" si="5"/>
        <v>84.991666685749351</v>
      </c>
      <c r="V26" s="802">
        <f t="shared" ca="1" si="5"/>
        <v>56.866666685749358</v>
      </c>
      <c r="W26" s="802">
        <f t="shared" ca="1" si="5"/>
        <v>38.116666685749358</v>
      </c>
      <c r="X26" s="802">
        <f t="shared" ca="1" si="5"/>
        <v>19.366666685749355</v>
      </c>
    </row>
    <row r="28" spans="1:24">
      <c r="A28" s="782" t="s">
        <v>440</v>
      </c>
      <c r="D28" s="803">
        <f ca="1">D23-D26</f>
        <v>73.173116432198128</v>
      </c>
      <c r="E28" s="803">
        <f t="shared" ref="E28:X28" ca="1" si="6">E23-E26</f>
        <v>64.387364598262081</v>
      </c>
      <c r="F28" s="803">
        <f t="shared" ca="1" si="6"/>
        <v>28.827288439430447</v>
      </c>
      <c r="G28" s="803">
        <f t="shared" ca="1" si="6"/>
        <v>1.5233758276448839</v>
      </c>
      <c r="H28" s="803">
        <f t="shared" ca="1" si="6"/>
        <v>-21.672639894253621</v>
      </c>
      <c r="I28" s="803">
        <f t="shared" ca="1" si="6"/>
        <v>-41.324126523339828</v>
      </c>
      <c r="J28" s="803">
        <f t="shared" ca="1" si="6"/>
        <v>-60.704193478800732</v>
      </c>
      <c r="K28" s="803">
        <f t="shared" ca="1" si="6"/>
        <v>-75.481899059245308</v>
      </c>
      <c r="L28" s="803">
        <f t="shared" ca="1" si="6"/>
        <v>-89.521758101383483</v>
      </c>
      <c r="M28" s="803">
        <f t="shared" ca="1" si="6"/>
        <v>-97.351138423350477</v>
      </c>
      <c r="N28" s="803">
        <f t="shared" ca="1" si="6"/>
        <v>-104.59384449446191</v>
      </c>
      <c r="O28" s="803">
        <f t="shared" ca="1" si="6"/>
        <v>-105.0858071158903</v>
      </c>
      <c r="P28" s="803">
        <f t="shared" ca="1" si="6"/>
        <v>-104.25997522343772</v>
      </c>
      <c r="Q28" s="803">
        <f t="shared" ca="1" si="6"/>
        <v>-76.336216779483436</v>
      </c>
      <c r="R28" s="803">
        <f t="shared" ca="1" si="6"/>
        <v>-72.301851055374073</v>
      </c>
      <c r="S28" s="803">
        <f t="shared" ca="1" si="6"/>
        <v>-62.923875638213545</v>
      </c>
      <c r="T28" s="803">
        <f t="shared" ca="1" si="6"/>
        <v>-52.822380861644028</v>
      </c>
      <c r="U28" s="803">
        <f t="shared" ca="1" si="6"/>
        <v>-41.302928356190748</v>
      </c>
      <c r="V28" s="803">
        <f t="shared" ca="1" si="6"/>
        <v>-28.712747108309795</v>
      </c>
      <c r="W28" s="803">
        <f t="shared" ca="1" si="6"/>
        <v>-24.363532176145643</v>
      </c>
      <c r="X28" s="803">
        <f t="shared" ca="1" si="6"/>
        <v>-19.366666685749355</v>
      </c>
    </row>
    <row r="30" spans="1:24">
      <c r="D30" s="820">
        <v>99985999.839548931</v>
      </c>
      <c r="E30" s="782">
        <v>93551390.07684584</v>
      </c>
      <c r="F30" s="782">
        <v>87491484.602945432</v>
      </c>
      <c r="G30" s="782">
        <v>81828522.704920158</v>
      </c>
      <c r="H30" s="782">
        <v>76306112.916078985</v>
      </c>
      <c r="I30" s="782">
        <v>71014178.633394286</v>
      </c>
      <c r="J30" s="782">
        <v>65831615.613365315</v>
      </c>
      <c r="K30" s="782">
        <v>60732075.875586517</v>
      </c>
      <c r="L30" s="782">
        <v>55537158.461356468</v>
      </c>
      <c r="M30" s="782">
        <v>50579096.256008282</v>
      </c>
      <c r="N30" s="782">
        <v>45666421.137754805</v>
      </c>
      <c r="O30" s="782">
        <v>40888400.348361887</v>
      </c>
      <c r="P30" s="782">
        <v>36299226.474739678</v>
      </c>
      <c r="Q30" s="782">
        <v>31788400.242337156</v>
      </c>
      <c r="R30" s="782">
        <v>27459753.715427317</v>
      </c>
      <c r="S30" s="782">
        <v>23364865.931039035</v>
      </c>
      <c r="T30" s="782">
        <v>19414286.08395062</v>
      </c>
      <c r="U30" s="782">
        <v>15825613.038721051</v>
      </c>
      <c r="V30" s="782">
        <v>12518393.295802344</v>
      </c>
      <c r="W30" s="782">
        <v>9411917.5974087473</v>
      </c>
      <c r="X30" s="782">
        <v>6549851.1193869784</v>
      </c>
    </row>
    <row r="31" spans="1:24">
      <c r="D31" s="823">
        <f>D30-$X$30/2</f>
        <v>96711074.279855445</v>
      </c>
      <c r="E31" s="823">
        <f t="shared" ref="E31:X31" si="7">E30-$X$30/2</f>
        <v>90276464.517152354</v>
      </c>
      <c r="F31" s="823">
        <f t="shared" si="7"/>
        <v>84216559.043251947</v>
      </c>
      <c r="G31" s="823">
        <f t="shared" si="7"/>
        <v>78553597.145226672</v>
      </c>
      <c r="H31" s="823">
        <f t="shared" si="7"/>
        <v>73031187.356385499</v>
      </c>
      <c r="I31" s="823">
        <f t="shared" si="7"/>
        <v>67739253.073700801</v>
      </c>
      <c r="J31" s="823">
        <f t="shared" si="7"/>
        <v>62556690.053671822</v>
      </c>
      <c r="K31" s="823">
        <f t="shared" si="7"/>
        <v>57457150.315893024</v>
      </c>
      <c r="L31" s="823">
        <f t="shared" si="7"/>
        <v>52262232.901662976</v>
      </c>
      <c r="M31" s="823">
        <f t="shared" si="7"/>
        <v>47304170.696314797</v>
      </c>
      <c r="N31" s="823">
        <f t="shared" si="7"/>
        <v>42391495.578061312</v>
      </c>
      <c r="O31" s="823">
        <f t="shared" si="7"/>
        <v>37613474.788668394</v>
      </c>
      <c r="P31" s="823">
        <f t="shared" si="7"/>
        <v>33024300.915046189</v>
      </c>
      <c r="Q31" s="823">
        <f t="shared" si="7"/>
        <v>28513474.682643667</v>
      </c>
      <c r="R31" s="823">
        <f t="shared" si="7"/>
        <v>24184828.155733828</v>
      </c>
      <c r="S31" s="823">
        <f t="shared" si="7"/>
        <v>20089940.371345546</v>
      </c>
      <c r="T31" s="823">
        <f t="shared" si="7"/>
        <v>16139360.524257131</v>
      </c>
      <c r="U31" s="823">
        <f t="shared" si="7"/>
        <v>12550687.479027562</v>
      </c>
      <c r="V31" s="823">
        <f t="shared" si="7"/>
        <v>9243467.7361088544</v>
      </c>
      <c r="W31" s="823">
        <f t="shared" si="7"/>
        <v>6136992.0377152581</v>
      </c>
      <c r="X31" s="823">
        <f t="shared" si="7"/>
        <v>3274925.5596934892</v>
      </c>
    </row>
    <row r="33" spans="4:25">
      <c r="D33" s="782">
        <f>D31*118125000/$E$31</f>
        <v>126544561.86792059</v>
      </c>
      <c r="E33" s="782">
        <f t="shared" ref="E33:X33" si="8">E31*118125000/$E$31</f>
        <v>118125000</v>
      </c>
      <c r="F33" s="782">
        <f t="shared" si="8"/>
        <v>110195731.41451524</v>
      </c>
      <c r="G33" s="782">
        <f t="shared" si="8"/>
        <v>102785855.7865531</v>
      </c>
      <c r="H33" s="782">
        <f t="shared" si="8"/>
        <v>95559889.862921685</v>
      </c>
      <c r="I33" s="782">
        <f t="shared" si="8"/>
        <v>88635496.661597773</v>
      </c>
      <c r="J33" s="782">
        <f t="shared" si="8"/>
        <v>81854213.632679328</v>
      </c>
      <c r="K33" s="782">
        <f t="shared" si="8"/>
        <v>75181564.95567371</v>
      </c>
      <c r="L33" s="782">
        <f t="shared" si="8"/>
        <v>68384116.441954702</v>
      </c>
      <c r="M33" s="782">
        <f t="shared" si="8"/>
        <v>61896588.367619477</v>
      </c>
      <c r="N33" s="782">
        <f t="shared" si="8"/>
        <v>55468448.415002763</v>
      </c>
      <c r="O33" s="782">
        <f t="shared" si="8"/>
        <v>49216501.035740882</v>
      </c>
      <c r="P33" s="782">
        <f t="shared" si="8"/>
        <v>43211656.176994495</v>
      </c>
      <c r="Q33" s="782">
        <f t="shared" si="8"/>
        <v>37309327.684707239</v>
      </c>
      <c r="R33" s="782">
        <f t="shared" si="8"/>
        <v>31645377.79781203</v>
      </c>
      <c r="S33" s="782">
        <f t="shared" si="8"/>
        <v>26287296.684223864</v>
      </c>
      <c r="T33" s="782">
        <f t="shared" si="8"/>
        <v>21118039.703090604</v>
      </c>
      <c r="U33" s="782">
        <f t="shared" si="8"/>
        <v>16422330.741346756</v>
      </c>
      <c r="V33" s="782">
        <f t="shared" si="8"/>
        <v>12094897.95782158</v>
      </c>
      <c r="W33" s="782">
        <f t="shared" si="8"/>
        <v>8030134.8566588936</v>
      </c>
      <c r="X33" s="782">
        <f t="shared" si="8"/>
        <v>4285176.4721611645</v>
      </c>
    </row>
    <row r="35" spans="4:25">
      <c r="E35" s="822">
        <f>(E33-F33)/$E$33</f>
        <v>6.7126083263363029E-2</v>
      </c>
      <c r="F35" s="822">
        <f t="shared" ref="F35:X35" si="9">(F33-G33)/$E$33</f>
        <v>6.2729105845182154E-2</v>
      </c>
      <c r="G35" s="822">
        <f t="shared" si="9"/>
        <v>6.1172198295292399E-2</v>
      </c>
      <c r="H35" s="822">
        <f t="shared" si="9"/>
        <v>5.861920170432941E-2</v>
      </c>
      <c r="I35" s="822">
        <f t="shared" si="9"/>
        <v>5.7407687017299008E-2</v>
      </c>
      <c r="J35" s="822">
        <f t="shared" si="9"/>
        <v>5.6488031128089894E-2</v>
      </c>
      <c r="K35" s="822">
        <f t="shared" si="9"/>
        <v>5.7544537682277311E-2</v>
      </c>
      <c r="L35" s="822">
        <f t="shared" si="9"/>
        <v>5.4920872586964868E-2</v>
      </c>
      <c r="M35" s="822">
        <f t="shared" si="9"/>
        <v>5.4418116000988052E-2</v>
      </c>
      <c r="N35" s="822">
        <f t="shared" si="9"/>
        <v>5.2926538660418042E-2</v>
      </c>
      <c r="O35" s="822">
        <f t="shared" si="9"/>
        <v>5.0834665470868887E-2</v>
      </c>
      <c r="P35" s="822">
        <f t="shared" si="9"/>
        <v>4.9966802051109045E-2</v>
      </c>
      <c r="Q35" s="822">
        <f t="shared" si="9"/>
        <v>4.7948782111282194E-2</v>
      </c>
      <c r="R35" s="822">
        <f t="shared" si="9"/>
        <v>4.5359416834608805E-2</v>
      </c>
      <c r="S35" s="822">
        <f t="shared" si="9"/>
        <v>4.3760905660387386E-2</v>
      </c>
      <c r="T35" s="822">
        <f t="shared" si="9"/>
        <v>3.9752033538572262E-2</v>
      </c>
      <c r="U35" s="822">
        <f t="shared" si="9"/>
        <v>3.6634351606562338E-2</v>
      </c>
      <c r="V35" s="822">
        <f t="shared" si="9"/>
        <v>3.4410692919895756E-2</v>
      </c>
      <c r="W35" s="822">
        <f t="shared" si="9"/>
        <v>3.1703351403155382E-2</v>
      </c>
      <c r="X35" s="822">
        <f t="shared" si="9"/>
        <v>3.6276626219353771E-2</v>
      </c>
    </row>
    <row r="37" spans="4:25">
      <c r="D37" s="821">
        <f>D31*102375000/$E$31</f>
        <v>109671953.61886452</v>
      </c>
      <c r="E37" s="821">
        <f t="shared" ref="E37:X37" si="10">E31*102375000/$E$31</f>
        <v>102375000</v>
      </c>
      <c r="F37" s="821">
        <f t="shared" si="10"/>
        <v>95502967.225913212</v>
      </c>
      <c r="G37" s="821">
        <f t="shared" si="10"/>
        <v>89081075.015012696</v>
      </c>
      <c r="H37" s="821">
        <f t="shared" si="10"/>
        <v>82818571.214532122</v>
      </c>
      <c r="I37" s="821">
        <f t="shared" si="10"/>
        <v>76817430.440051392</v>
      </c>
      <c r="J37" s="821">
        <f t="shared" si="10"/>
        <v>70940318.481655419</v>
      </c>
      <c r="K37" s="821">
        <f t="shared" si="10"/>
        <v>65157356.294917218</v>
      </c>
      <c r="L37" s="821">
        <f t="shared" si="10"/>
        <v>59266234.249694079</v>
      </c>
      <c r="M37" s="821">
        <f t="shared" si="10"/>
        <v>53643709.918603547</v>
      </c>
      <c r="N37" s="821">
        <f t="shared" si="10"/>
        <v>48072655.293002397</v>
      </c>
      <c r="O37" s="821">
        <f t="shared" si="10"/>
        <v>42654300.897642098</v>
      </c>
      <c r="P37" s="821">
        <f t="shared" si="10"/>
        <v>37450102.020061895</v>
      </c>
      <c r="Q37" s="821">
        <f t="shared" si="10"/>
        <v>32334750.66007961</v>
      </c>
      <c r="R37" s="821">
        <f t="shared" si="10"/>
        <v>27425994.09143709</v>
      </c>
      <c r="S37" s="821">
        <f t="shared" si="10"/>
        <v>22782323.792994019</v>
      </c>
      <c r="T37" s="821">
        <f t="shared" si="10"/>
        <v>18302301.076011855</v>
      </c>
      <c r="U37" s="821">
        <f t="shared" si="10"/>
        <v>14232686.642500523</v>
      </c>
      <c r="V37" s="821">
        <f t="shared" si="10"/>
        <v>10482244.896778705</v>
      </c>
      <c r="W37" s="821">
        <f t="shared" si="10"/>
        <v>6959450.2091043731</v>
      </c>
      <c r="X37" s="821">
        <f t="shared" si="10"/>
        <v>3713819.6092063417</v>
      </c>
    </row>
    <row r="39" spans="4:25">
      <c r="E39" s="822">
        <f>(E37-F37)/$E37</f>
        <v>6.7126083263363015E-2</v>
      </c>
      <c r="F39" s="822">
        <f t="shared" ref="F39:X39" si="11">(F37-G37)/$E$37</f>
        <v>6.2729105845182084E-2</v>
      </c>
      <c r="G39" s="822">
        <f t="shared" si="11"/>
        <v>6.1172198295292544E-2</v>
      </c>
      <c r="H39" s="822">
        <f t="shared" si="11"/>
        <v>5.8619201704329479E-2</v>
      </c>
      <c r="I39" s="822">
        <f t="shared" si="11"/>
        <v>5.7407687017298883E-2</v>
      </c>
      <c r="J39" s="822">
        <f t="shared" si="11"/>
        <v>5.6488031128089873E-2</v>
      </c>
      <c r="K39" s="822">
        <f t="shared" si="11"/>
        <v>5.7544537682277304E-2</v>
      </c>
      <c r="L39" s="822">
        <f t="shared" si="11"/>
        <v>5.4920872586964903E-2</v>
      </c>
      <c r="M39" s="822">
        <f t="shared" si="11"/>
        <v>5.4418116000988039E-2</v>
      </c>
      <c r="N39" s="822">
        <f t="shared" si="11"/>
        <v>5.2926538660418056E-2</v>
      </c>
      <c r="O39" s="822">
        <f t="shared" si="11"/>
        <v>5.0834665470868894E-2</v>
      </c>
      <c r="P39" s="822">
        <f t="shared" si="11"/>
        <v>4.9966802051109017E-2</v>
      </c>
      <c r="Q39" s="822">
        <f t="shared" si="11"/>
        <v>4.7948782111282243E-2</v>
      </c>
      <c r="R39" s="822">
        <f t="shared" si="11"/>
        <v>4.5359416834608757E-2</v>
      </c>
      <c r="S39" s="822">
        <f t="shared" si="11"/>
        <v>4.3760905660387435E-2</v>
      </c>
      <c r="T39" s="822">
        <f t="shared" si="11"/>
        <v>3.9752033538572228E-2</v>
      </c>
      <c r="U39" s="822">
        <f t="shared" si="11"/>
        <v>3.6634351606562331E-2</v>
      </c>
      <c r="V39" s="822">
        <f t="shared" si="11"/>
        <v>3.4410692919895791E-2</v>
      </c>
      <c r="W39" s="822">
        <f t="shared" si="11"/>
        <v>3.1703351403155375E-2</v>
      </c>
      <c r="X39" s="822">
        <f t="shared" si="11"/>
        <v>3.6276626219353764E-2</v>
      </c>
    </row>
    <row r="42" spans="4:25">
      <c r="D42" s="825">
        <v>36617</v>
      </c>
      <c r="E42" s="825">
        <v>36982</v>
      </c>
      <c r="F42" s="825">
        <v>37347</v>
      </c>
      <c r="G42" s="825">
        <v>37712</v>
      </c>
      <c r="H42" s="825">
        <v>38078</v>
      </c>
      <c r="I42" s="825">
        <v>38444</v>
      </c>
      <c r="J42" s="825">
        <v>38808</v>
      </c>
      <c r="K42" s="825">
        <v>37347</v>
      </c>
      <c r="L42" s="825">
        <v>39539</v>
      </c>
      <c r="M42" s="825">
        <v>39904</v>
      </c>
      <c r="N42" s="825">
        <v>40269</v>
      </c>
      <c r="O42" s="825">
        <v>40634</v>
      </c>
      <c r="P42" s="825">
        <v>41000</v>
      </c>
      <c r="Q42" s="825">
        <v>41365</v>
      </c>
      <c r="R42" s="825">
        <v>41730</v>
      </c>
      <c r="S42" s="825">
        <v>42095</v>
      </c>
      <c r="T42" s="825">
        <v>42461</v>
      </c>
      <c r="U42" s="825">
        <v>42826</v>
      </c>
      <c r="V42" s="825">
        <v>43191</v>
      </c>
      <c r="W42" s="825">
        <v>43556</v>
      </c>
      <c r="X42" s="825">
        <v>43922</v>
      </c>
      <c r="Y42" s="825">
        <v>44105</v>
      </c>
    </row>
    <row r="43" spans="4:25">
      <c r="D43" s="782">
        <v>134921749.54653946</v>
      </c>
      <c r="E43" s="782">
        <v>131743725.11320361</v>
      </c>
      <c r="F43" s="782">
        <v>129528966.26157856</v>
      </c>
      <c r="G43" s="782">
        <v>127053137.54226491</v>
      </c>
      <c r="H43" s="782">
        <v>123975637.26952</v>
      </c>
      <c r="I43" s="782">
        <f>AVERAGE(H43,J43)</f>
        <v>120298578.13396417</v>
      </c>
      <c r="J43" s="782">
        <v>116621518.99840833</v>
      </c>
      <c r="K43" s="782">
        <f>AVERAGE(J43,L43)</f>
        <v>111592179.67897782</v>
      </c>
      <c r="L43" s="782">
        <v>106562840.35954729</v>
      </c>
      <c r="M43" s="782">
        <f>AVERAGE(L43,N43)</f>
        <v>99967039.781682327</v>
      </c>
      <c r="N43" s="782">
        <v>93371239.203817368</v>
      </c>
      <c r="O43" s="782">
        <f>AVERAGE(N43,P43)</f>
        <v>85030730.466154546</v>
      </c>
      <c r="P43" s="782">
        <v>76690221.728491709</v>
      </c>
      <c r="Q43" s="782">
        <f>AVERAGE(P43,R43)</f>
        <v>78366953.325643212</v>
      </c>
      <c r="R43" s="782">
        <v>80043684.922794715</v>
      </c>
      <c r="S43" s="782">
        <f>AVERAGE(R43,T43)</f>
        <v>70131797.579666078</v>
      </c>
      <c r="T43" s="782">
        <v>60219910.236537427</v>
      </c>
      <c r="U43" s="782">
        <f>AVERAGE(T43,V43)</f>
        <v>54365549.56701088</v>
      </c>
      <c r="V43" s="782">
        <v>48511188.897484325</v>
      </c>
      <c r="W43" s="782">
        <v>36519301.376975343</v>
      </c>
      <c r="X43" s="782">
        <v>24062331.709243521</v>
      </c>
      <c r="Y43" s="782">
        <v>6767554.5</v>
      </c>
    </row>
    <row r="44" spans="4:25">
      <c r="E44" s="822">
        <f>(E43-F43)/$E43</f>
        <v>1.6811114531048641E-2</v>
      </c>
      <c r="F44" s="822">
        <f t="shared" ref="F44:S44" si="12">(F43-G43)/$E43</f>
        <v>1.8792763884475275E-2</v>
      </c>
      <c r="G44" s="822">
        <f t="shared" si="12"/>
        <v>2.3359748406237193E-2</v>
      </c>
      <c r="H44" s="822">
        <f t="shared" si="12"/>
        <v>2.7910696561800129E-2</v>
      </c>
      <c r="I44" s="822">
        <f t="shared" si="12"/>
        <v>2.7910696561800129E-2</v>
      </c>
      <c r="J44" s="822">
        <f t="shared" si="12"/>
        <v>3.8175171645624471E-2</v>
      </c>
      <c r="K44" s="822">
        <f t="shared" si="12"/>
        <v>3.8175171645624582E-2</v>
      </c>
      <c r="L44" s="822">
        <f t="shared" si="12"/>
        <v>5.0065386963951242E-2</v>
      </c>
      <c r="M44" s="822">
        <f t="shared" si="12"/>
        <v>5.0065386963951242E-2</v>
      </c>
      <c r="N44" s="822">
        <f t="shared" si="12"/>
        <v>6.3308584378467064E-2</v>
      </c>
      <c r="O44" s="822">
        <f t="shared" si="12"/>
        <v>6.3308584378467175E-2</v>
      </c>
      <c r="P44" s="822">
        <v>6.5000000000000002E-2</v>
      </c>
      <c r="Q44" s="822">
        <v>6.5000000000000002E-2</v>
      </c>
      <c r="R44" s="822">
        <f t="shared" si="12"/>
        <v>7.523612479161064E-2</v>
      </c>
      <c r="S44" s="822">
        <f t="shared" si="12"/>
        <v>7.5236124791610764E-2</v>
      </c>
      <c r="T44" s="822">
        <v>7.4999999999999997E-2</v>
      </c>
      <c r="U44" s="822">
        <v>7.4999999999999997E-2</v>
      </c>
      <c r="V44" s="822">
        <v>0.05</v>
      </c>
      <c r="W44" s="822">
        <v>0.05</v>
      </c>
      <c r="X44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topLeftCell="A17" zoomScale="60" zoomScaleNormal="75" workbookViewId="0">
      <selection activeCell="H57" sqref="H57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2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OandM!C62</f>
        <v>0</v>
      </c>
      <c r="D22" s="327">
        <f ca="1">OandM!D62</f>
        <v>0</v>
      </c>
      <c r="E22" s="327">
        <f ca="1">OandM!E62</f>
        <v>121.9483600178628</v>
      </c>
      <c r="F22" s="327">
        <f ca="1">OandM!F62</f>
        <v>53.162309015630854</v>
      </c>
      <c r="G22" s="327">
        <f ca="1">OandM!G62</f>
        <v>-16.772231534086586</v>
      </c>
      <c r="H22" s="327">
        <f ca="1">OandM!H62</f>
        <v>-21.133578182123301</v>
      </c>
      <c r="I22" s="327">
        <f ca="1">OandM!I62</f>
        <v>78.019829363568761</v>
      </c>
      <c r="J22" s="327">
        <f ca="1">OandM!J62</f>
        <v>75.50591909434047</v>
      </c>
      <c r="K22" s="327">
        <f ca="1">OandM!K62</f>
        <v>34.348806641033889</v>
      </c>
      <c r="L22" s="327">
        <f ca="1">OandM!L62</f>
        <v>22.737100934786213</v>
      </c>
      <c r="M22" s="327">
        <f ca="1">OandM!M62</f>
        <v>35.190459134901175</v>
      </c>
      <c r="N22" s="327">
        <f ca="1">OandM!N62</f>
        <v>26.625169956970012</v>
      </c>
      <c r="O22" s="327">
        <f ca="1">OandM!O62</f>
        <v>84.428349727989144</v>
      </c>
      <c r="P22" s="327">
        <f ca="1">OandM!P62</f>
        <v>22.874214608067632</v>
      </c>
      <c r="Q22" s="327">
        <f ca="1">OandM!Q62</f>
        <v>69.458941910391786</v>
      </c>
      <c r="R22" s="327">
        <f ca="1">OandM!R62</f>
        <v>49.737230696203369</v>
      </c>
      <c r="S22" s="327">
        <f ca="1">OandM!S62</f>
        <v>69.317092471398155</v>
      </c>
      <c r="T22" s="327">
        <f ca="1">OandM!T62</f>
        <v>45.435789634695084</v>
      </c>
      <c r="U22" s="327">
        <f ca="1">OandM!U62</f>
        <v>59.95317207325752</v>
      </c>
      <c r="V22" s="327">
        <f ca="1">OandM!V62</f>
        <v>-2225.083763750702</v>
      </c>
      <c r="W22" s="326"/>
    </row>
    <row r="23" spans="1:23">
      <c r="A23" s="331" t="s">
        <v>306</v>
      </c>
      <c r="C23" s="328">
        <f ca="1">IF(C6='ASSUM 1'!$D$36,-OandM!C42,0)</f>
        <v>0</v>
      </c>
      <c r="D23" s="328">
        <f ca="1">IF(D6='ASSUM 1'!$D$36,-OandM!D42,0)</f>
        <v>0</v>
      </c>
      <c r="E23" s="328">
        <f ca="1">IF(E6='ASSUM 1'!$D$36,-OandM!E42,0)</f>
        <v>0</v>
      </c>
      <c r="F23" s="328">
        <f ca="1">IF(F6='ASSUM 1'!$D$36,-OandM!F42,0)</f>
        <v>0</v>
      </c>
      <c r="G23" s="328">
        <f ca="1">IF(G6='ASSUM 1'!$D$36,-OandM!G42,0)</f>
        <v>0</v>
      </c>
      <c r="H23" s="328">
        <f ca="1">IF(H6='ASSUM 1'!$D$36,-OandM!H42,0)</f>
        <v>0</v>
      </c>
      <c r="I23" s="328">
        <f ca="1">IF(I6='ASSUM 1'!$D$36,-OandM!I42,0)</f>
        <v>0</v>
      </c>
      <c r="J23" s="328">
        <f ca="1">IF(J6='ASSUM 1'!$D$36,-OandM!J42,0)</f>
        <v>0</v>
      </c>
      <c r="K23" s="328">
        <f ca="1">IF(K6='ASSUM 1'!$D$36,-OandM!K42,0)</f>
        <v>0</v>
      </c>
      <c r="L23" s="328">
        <f ca="1">IF(L6='ASSUM 1'!$D$36,-OandM!L42,0)</f>
        <v>0</v>
      </c>
      <c r="M23" s="328">
        <f ca="1">IF(M6='ASSUM 1'!$D$36,-OandM!M42,0)</f>
        <v>0</v>
      </c>
      <c r="N23" s="328">
        <f ca="1">IF(N6='ASSUM 1'!$D$36,-OandM!N42,0)</f>
        <v>0</v>
      </c>
      <c r="O23" s="328">
        <f ca="1">IF(O6='ASSUM 1'!$D$36,-OandM!O42,0)</f>
        <v>0</v>
      </c>
      <c r="P23" s="328">
        <f ca="1">IF(P6='ASSUM 1'!$D$36,-OandM!P42,0)</f>
        <v>0</v>
      </c>
      <c r="Q23" s="328">
        <f ca="1">IF(Q6='ASSUM 1'!$D$36,-OandM!Q42,0)</f>
        <v>0</v>
      </c>
      <c r="R23" s="328">
        <f ca="1">IF(R6='ASSUM 1'!$D$36,-OandM!R42,0)</f>
        <v>0</v>
      </c>
      <c r="S23" s="328">
        <f ca="1">IF(S6='ASSUM 1'!$D$36,-OandM!S42,0)</f>
        <v>0</v>
      </c>
      <c r="T23" s="328">
        <f ca="1">IF(T6='ASSUM 1'!$D$36,-OandM!T42,0)</f>
        <v>0</v>
      </c>
      <c r="U23" s="328">
        <f ca="1">IF(U6='ASSUM 1'!$D$36,-OandM!U42,0)</f>
        <v>0</v>
      </c>
      <c r="V23" s="328">
        <f ca="1">IF(V6='ASSUM 1'!$D$36,-OandM!V42,0)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6.8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2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A43" zoomScale="75" zoomScaleNormal="75" workbookViewId="0">
      <selection activeCell="E56" sqref="E56"/>
    </sheetView>
  </sheetViews>
  <sheetFormatPr defaultColWidth="9.81640625" defaultRowHeight="15.6"/>
  <cols>
    <col min="1" max="1" width="31.81640625" style="2" customWidth="1"/>
    <col min="2" max="2" width="9.81640625" style="2" customWidth="1"/>
    <col min="3" max="3" width="25.81640625" style="2" customWidth="1"/>
    <col min="4" max="4" width="10.81640625" style="2" customWidth="1"/>
    <col min="5" max="5" width="11.08984375" style="7" customWidth="1"/>
    <col min="6" max="6" width="3.453125" customWidth="1"/>
    <col min="7" max="11" width="9.81640625" customWidth="1"/>
    <col min="12" max="12" width="25.81640625" customWidth="1"/>
    <col min="13" max="14" width="9.81640625" style="97" customWidth="1"/>
    <col min="15" max="15" width="2.81640625" customWidth="1"/>
    <col min="16" max="17" width="9.81640625" style="97" customWidth="1"/>
    <col min="18" max="16384" width="9.8164062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2.2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2" thickBot="1">
      <c r="A4" s="102"/>
      <c r="B4" s="102"/>
      <c r="C4" s="51"/>
      <c r="D4" s="51"/>
      <c r="T4" s="101"/>
    </row>
    <row r="5" spans="1:21" ht="16.8" thickTop="1" thickBot="1">
      <c r="A5" s="17"/>
      <c r="B5" s="93"/>
      <c r="C5" s="103"/>
      <c r="D5" s="103"/>
      <c r="E5" s="104"/>
      <c r="F5" s="27"/>
      <c r="T5" s="101"/>
    </row>
    <row r="6" spans="1:21" ht="16.2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 ht="16.2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2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2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2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2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3" ht="22.2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2" thickBot="1">
      <c r="A16" s="347"/>
      <c r="B16" s="354"/>
      <c r="C16" s="347"/>
      <c r="D16" s="347"/>
    </row>
    <row r="17" spans="1:24" ht="16.2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2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2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4" ht="22.2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81640625" defaultRowHeight="15.6"/>
  <cols>
    <col min="1" max="1" width="28.81640625" style="369" customWidth="1"/>
    <col min="2" max="16384" width="9.81640625" style="369"/>
  </cols>
  <sheetData>
    <row r="1" spans="1:26" ht="22.2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 ht="16.2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 ht="16.2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 ht="16.2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 ht="16.2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 ht="16.2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 ht="16.2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 ht="16.2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 ht="16.2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 ht="16.2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 ht="16.2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 ht="16.2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 ht="16.2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 ht="16.2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 ht="16.2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 ht="16.2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 ht="16.2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 ht="16.2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 ht="16.2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 ht="16.2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 ht="16.2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 ht="16.2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 ht="16.2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 ht="16.2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 ht="16.2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 ht="16.2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 ht="16.2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 ht="16.2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 ht="16.2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 ht="16.2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 ht="16.2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 ht="16.2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 ht="16.2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 ht="16.2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 ht="16.2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 ht="16.2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 ht="16.2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 ht="16.2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 ht="16.2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 ht="16.2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 ht="16.2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 ht="16.2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 ht="16.2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 ht="16.2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 ht="16.2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 ht="16.2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 ht="16.2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 ht="16.2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 ht="16.2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 ht="16.2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 ht="16.2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 ht="16.2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 ht="16.2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 ht="16.2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5.81640625" style="473" customWidth="1"/>
    <col min="2" max="4" width="9.81640625" style="501" customWidth="1"/>
    <col min="5" max="16384" width="9.81640625" style="473"/>
  </cols>
  <sheetData>
    <row r="1" spans="1:27" ht="22.2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 ht="16.2">
      <c r="A11" s="490"/>
      <c r="B11" s="491" t="s">
        <v>366</v>
      </c>
      <c r="C11" s="491" t="s">
        <v>367</v>
      </c>
      <c r="D11" s="488"/>
      <c r="E11" s="491"/>
      <c r="AA11" s="484"/>
    </row>
    <row r="12" spans="1:27" ht="16.2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 ht="16.2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 ht="16.2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 ht="16.2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 ht="16.2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 ht="16.2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 ht="16.2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 ht="16.2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 ht="16.2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 ht="16.2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 ht="16.2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 ht="16.2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 ht="16.2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 ht="16.2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 ht="16.2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 ht="16.2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 ht="16.2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 ht="16.2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 ht="16.2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 ht="16.2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 ht="16.2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 ht="16.2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 ht="16.2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 ht="16.2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 ht="16.2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 ht="16.2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 ht="16.2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 ht="16.2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 ht="16.2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 ht="16.2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 ht="16.2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 ht="16.2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 ht="16.2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 ht="16.2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 ht="16.2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 ht="16.2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 ht="16.2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 ht="16.2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 ht="16.2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 ht="16.2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 ht="16.2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 ht="16.2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 ht="16.2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 ht="16.2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 ht="16.2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 ht="16.2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 ht="16.2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 ht="16.2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 ht="16.2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 ht="16.2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 ht="16.2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 ht="16.2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 ht="16.2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 ht="16.2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 ht="16.2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 ht="16.2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 ht="16.2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 ht="16.2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81640625" defaultRowHeight="15.6"/>
  <cols>
    <col min="1" max="1" width="21.81640625" style="503" customWidth="1"/>
    <col min="2" max="16384" width="9.81640625" style="503"/>
  </cols>
  <sheetData>
    <row r="1" spans="1:28" ht="22.8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 ht="16.2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 ht="16.2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 ht="16.2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 ht="16.2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 ht="16.2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 ht="16.2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81640625" defaultRowHeight="15.6"/>
  <cols>
    <col min="1" max="1" width="17.81640625" style="147" customWidth="1"/>
    <col min="2" max="19" width="9.81640625" style="147" customWidth="1"/>
    <col min="20" max="20" width="10.81640625" style="147" customWidth="1"/>
    <col min="21" max="21" width="11.81640625" style="147" customWidth="1"/>
    <col min="22" max="16384" width="9.8164062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topLeftCell="A25" zoomScaleNormal="75" workbookViewId="0">
      <selection activeCell="C45" sqref="C45"/>
    </sheetView>
  </sheetViews>
  <sheetFormatPr defaultColWidth="8.81640625" defaultRowHeight="15"/>
  <cols>
    <col min="1" max="1" width="23.81640625" style="191" customWidth="1"/>
    <col min="2" max="2" width="5.81640625" style="191" customWidth="1"/>
    <col min="3" max="22" width="10.08984375" style="580" customWidth="1"/>
    <col min="23" max="23" width="4.08984375" style="580" customWidth="1"/>
    <col min="24" max="51" width="10.81640625" style="580" customWidth="1"/>
    <col min="52" max="252" width="10.81640625" style="191" customWidth="1"/>
    <col min="253" max="16384" width="8.81640625" style="191"/>
  </cols>
  <sheetData>
    <row r="1" spans="1:41" ht="22.2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6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6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6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6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6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6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6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6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6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6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6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6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6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6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6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6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6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6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6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6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6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6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6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6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6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6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6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6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6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6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6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6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6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6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6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6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6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6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6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6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6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6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6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6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6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6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6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6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6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6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6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6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6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6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6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6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6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6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6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6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6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6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6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6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6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6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6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6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6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6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6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6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6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6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6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6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6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6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6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6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6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6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6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6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6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6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6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6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6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6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6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6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6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6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6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6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6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6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6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6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6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6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6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6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6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6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6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6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6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6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6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6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6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6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6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6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6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6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6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6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6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81640625" defaultRowHeight="15.6"/>
  <cols>
    <col min="1" max="1" width="18.1796875" style="214" customWidth="1"/>
    <col min="2" max="16384" width="9.81640625" style="214"/>
  </cols>
  <sheetData>
    <row r="1" spans="1:22" ht="22.2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81640625" defaultRowHeight="15"/>
  <cols>
    <col min="1" max="1" width="22.81640625" style="238" customWidth="1"/>
    <col min="2" max="2" width="4.81640625" style="238" customWidth="1"/>
    <col min="3" max="3" width="11.36328125" style="238" customWidth="1"/>
    <col min="4" max="4" width="11.81640625" style="238" customWidth="1"/>
    <col min="5" max="11" width="11.453125" style="238" customWidth="1"/>
    <col min="12" max="12" width="10.81640625" style="238" customWidth="1"/>
    <col min="13" max="22" width="11.1796875" style="238" customWidth="1"/>
    <col min="23" max="16384" width="9.81640625" style="238"/>
  </cols>
  <sheetData>
    <row r="1" spans="1:256" ht="22.2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6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6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6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6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6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6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6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6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6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6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6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6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6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6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6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6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6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6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6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6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6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6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6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6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6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6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6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6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6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6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6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6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6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6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6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6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6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6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6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6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6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6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6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6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6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6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6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6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6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6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6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6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6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6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6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6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6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6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6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6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6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6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6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6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6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6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6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6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6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6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6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6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6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6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6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6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77"/>
  <sheetViews>
    <sheetView showOutlineSymbols="0" view="pageBreakPreview" zoomScaleNormal="75" workbookViewId="0">
      <selection activeCell="C1" sqref="C1"/>
    </sheetView>
  </sheetViews>
  <sheetFormatPr defaultColWidth="9.81640625" defaultRowHeight="15"/>
  <cols>
    <col min="1" max="1" width="21.81640625" style="255" customWidth="1"/>
    <col min="2" max="2" width="6.81640625" style="255" customWidth="1"/>
    <col min="3" max="16384" width="9.81640625" style="255"/>
  </cols>
  <sheetData>
    <row r="1" spans="1:22" ht="22.2">
      <c r="A1" s="254" t="str">
        <f ca="1">OandM!A1</f>
        <v>DELMARVA, VA</v>
      </c>
      <c r="Q1" s="256"/>
      <c r="R1" s="256"/>
    </row>
    <row r="2" spans="1:22" ht="15.6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6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6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6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6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6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6">
      <c r="A11" s="267" t="str">
        <f>'ASSUM 1'!F31</f>
        <v xml:space="preserve">   Management Fee </v>
      </c>
      <c r="B11" s="267"/>
      <c r="C11" s="268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6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6">
      <c r="A13" s="267" t="str">
        <f>'ASSUM 1'!F33</f>
        <v xml:space="preserve">   Variable Costs mills/kw</v>
      </c>
      <c r="B13" s="267"/>
      <c r="C13" s="268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6">
      <c r="A14" s="267" t="str">
        <f>'ASSUM 1'!F34</f>
        <v xml:space="preserve">   Maintenance Reserve</v>
      </c>
      <c r="B14" s="267"/>
      <c r="C14" s="268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6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6">
      <c r="A16" s="267" t="str">
        <f>'ASSUM 1'!F36</f>
        <v xml:space="preserve">   TPS Parts Co. </v>
      </c>
      <c r="B16" s="267"/>
      <c r="C16" s="268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6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6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6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6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6">
      <c r="A21" s="267" t="str">
        <f>'ASSUM 1'!F40</f>
        <v xml:space="preserve">   Marketing Fee</v>
      </c>
      <c r="B21" s="267"/>
      <c r="C21" s="26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6">
      <c r="A22" s="267" t="str">
        <f>'ASSUM 1'!F41</f>
        <v xml:space="preserve">   Property Tax</v>
      </c>
      <c r="B22" s="267"/>
      <c r="C22" s="268">
        <f t="shared" ref="C22:V22" ca="1" si="3">C56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6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6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6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6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6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6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6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6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6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6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6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6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6" spans="1:255" ht="15.6">
      <c r="A36" s="263" t="s">
        <v>263</v>
      </c>
      <c r="B36" s="263"/>
      <c r="C36" s="273">
        <f ca="1">C18/Tariff!C17</f>
        <v>3.5204405968705887E-2</v>
      </c>
      <c r="D36" s="273">
        <f ca="1">D18/Tariff!D17</f>
        <v>2.5531131306806322E-2</v>
      </c>
      <c r="E36" s="273">
        <f ca="1">E18/Tariff!E17</f>
        <v>2.424021149885075E-2</v>
      </c>
      <c r="F36" s="273">
        <f ca="1">F18/Tariff!F17</f>
        <v>2.4133042380569632E-2</v>
      </c>
      <c r="G36" s="273">
        <f ca="1">G18/Tariff!G17</f>
        <v>2.5869929365397667E-2</v>
      </c>
      <c r="H36" s="273">
        <f ca="1">H18/Tariff!H17</f>
        <v>2.776354290902255E-2</v>
      </c>
      <c r="I36" s="273">
        <f ca="1">I18/Tariff!I17</f>
        <v>2.7639044733087047E-2</v>
      </c>
      <c r="J36" s="273">
        <f ca="1">J18/Tariff!J17</f>
        <v>2.7666467371993134E-2</v>
      </c>
      <c r="K36" s="273">
        <f ca="1">K18/Tariff!K17</f>
        <v>2.8542230311872138E-2</v>
      </c>
      <c r="L36" s="273">
        <f ca="1">L18/Tariff!L17</f>
        <v>2.9679586078268764E-2</v>
      </c>
      <c r="M36" s="273">
        <f ca="1">M18/Tariff!M17</f>
        <v>3.062825611613243E-2</v>
      </c>
      <c r="N36" s="273">
        <f ca="1">N18/Tariff!N17</f>
        <v>3.1790521004949758E-2</v>
      </c>
      <c r="O36" s="273">
        <f ca="1">O18/Tariff!O17</f>
        <v>3.1739778504643254E-2</v>
      </c>
      <c r="P36" s="273">
        <f ca="1">P18/Tariff!P17</f>
        <v>3.3059360920835328E-2</v>
      </c>
      <c r="Q36" s="273">
        <f ca="1">Q18/Tariff!Q17</f>
        <v>3.3506978603307744E-2</v>
      </c>
      <c r="R36" s="273">
        <f ca="1">R18/Tariff!R17</f>
        <v>3.5238673582092886E-2</v>
      </c>
      <c r="S36" s="273">
        <f ca="1">S18/Tariff!S17</f>
        <v>3.5808463775921215E-2</v>
      </c>
      <c r="T36" s="273">
        <f ca="1">T18/Tariff!T17</f>
        <v>3.6901996181664169E-2</v>
      </c>
      <c r="U36" s="273">
        <f ca="1">U18/Tariff!U17</f>
        <v>3.7751440141833209E-2</v>
      </c>
      <c r="V36" s="273">
        <f ca="1">V18/Tariff!V17</f>
        <v>3.9908973770186817E-2</v>
      </c>
    </row>
    <row r="37" spans="1:255" ht="15.6">
      <c r="A37" s="263" t="s">
        <v>264</v>
      </c>
      <c r="B37" s="263"/>
      <c r="C37" s="273">
        <f ca="1">C34/Tariff!C17</f>
        <v>3.8287649370032678E-2</v>
      </c>
      <c r="D37" s="273">
        <f ca="1">D34/Tariff!D17</f>
        <v>3.0757854125255935E-2</v>
      </c>
      <c r="E37" s="273">
        <f ca="1">E34/Tariff!E17</f>
        <v>2.9067334434387689E-2</v>
      </c>
      <c r="F37" s="273">
        <f ca="1">F34/Tariff!F17</f>
        <v>2.7744304730452078E-2</v>
      </c>
      <c r="G37" s="273">
        <f ca="1">G34/Tariff!G17</f>
        <v>2.9697551530008588E-2</v>
      </c>
      <c r="H37" s="273">
        <f ca="1">H34/Tariff!H17</f>
        <v>3.1552633066579412E-2</v>
      </c>
      <c r="I37" s="273">
        <f ca="1">I34/Tariff!I17</f>
        <v>3.1558678122293543E-2</v>
      </c>
      <c r="J37" s="273">
        <f ca="1">J34/Tariff!J17</f>
        <v>3.1752358686471936E-2</v>
      </c>
      <c r="K37" s="273">
        <f ca="1">K34/Tariff!K17</f>
        <v>3.2705559855421298E-2</v>
      </c>
      <c r="L37" s="273">
        <f ca="1">L34/Tariff!L17</f>
        <v>3.3877776352137214E-2</v>
      </c>
      <c r="M37" s="273">
        <f ca="1">M34/Tariff!M17</f>
        <v>3.491389126859943E-2</v>
      </c>
      <c r="N37" s="273">
        <f ca="1">N34/Tariff!N17</f>
        <v>3.6116340873619437E-2</v>
      </c>
      <c r="O37" s="273">
        <f ca="1">O34/Tariff!O17</f>
        <v>3.5987139904169671E-2</v>
      </c>
      <c r="P37" s="273">
        <f ca="1">P34/Tariff!P17</f>
        <v>3.7324031318431691E-2</v>
      </c>
      <c r="Q37" s="273">
        <f ca="1">Q34/Tariff!Q17</f>
        <v>3.792474623357045E-2</v>
      </c>
      <c r="R37" s="273">
        <f ca="1">R34/Tariff!R17</f>
        <v>3.9995991423173352E-2</v>
      </c>
      <c r="S37" s="273">
        <f ca="1">S34/Tariff!S17</f>
        <v>4.0735091803315429E-2</v>
      </c>
      <c r="T37" s="273">
        <f ca="1">T34/Tariff!T17</f>
        <v>4.1918144359658821E-2</v>
      </c>
      <c r="U37" s="273">
        <f ca="1">U34/Tariff!U17</f>
        <v>4.2864320679854066E-2</v>
      </c>
      <c r="V37" s="273">
        <f ca="1">V34/Tariff!V17</f>
        <v>4.4975649972272755E-2</v>
      </c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  <c r="CB37" s="263"/>
      <c r="CC37" s="263"/>
      <c r="CD37" s="263"/>
      <c r="CE37" s="263"/>
      <c r="CF37" s="263"/>
      <c r="CG37" s="263"/>
      <c r="CH37" s="263"/>
      <c r="CI37" s="263"/>
      <c r="CJ37" s="263"/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3"/>
      <c r="DC37" s="263"/>
      <c r="DD37" s="263"/>
      <c r="DE37" s="263"/>
      <c r="DF37" s="263"/>
      <c r="DG37" s="263"/>
      <c r="DH37" s="263"/>
      <c r="DI37" s="263"/>
      <c r="DJ37" s="263"/>
      <c r="DK37" s="263"/>
      <c r="DL37" s="263"/>
      <c r="DM37" s="263"/>
      <c r="DN37" s="263"/>
      <c r="DO37" s="263"/>
      <c r="DP37" s="263"/>
      <c r="DQ37" s="263"/>
      <c r="DR37" s="263"/>
      <c r="DS37" s="263"/>
      <c r="DT37" s="263"/>
      <c r="DU37" s="263"/>
      <c r="DV37" s="263"/>
      <c r="DW37" s="263"/>
      <c r="DX37" s="263"/>
      <c r="DY37" s="263"/>
      <c r="DZ37" s="263"/>
      <c r="EA37" s="263"/>
      <c r="EB37" s="263"/>
      <c r="EC37" s="263"/>
      <c r="ED37" s="263"/>
      <c r="EE37" s="263"/>
      <c r="EF37" s="263"/>
      <c r="EG37" s="263"/>
      <c r="EH37" s="263"/>
      <c r="EI37" s="263"/>
      <c r="EJ37" s="263"/>
      <c r="EK37" s="263"/>
      <c r="EL37" s="263"/>
      <c r="EM37" s="263"/>
      <c r="EN37" s="263"/>
      <c r="EO37" s="263"/>
      <c r="EP37" s="263"/>
      <c r="EQ37" s="263"/>
      <c r="ER37" s="263"/>
      <c r="ES37" s="263"/>
      <c r="ET37" s="263"/>
      <c r="EU37" s="263"/>
      <c r="EV37" s="263"/>
      <c r="EW37" s="263"/>
      <c r="EX37" s="263"/>
      <c r="EY37" s="263"/>
      <c r="EZ37" s="263"/>
      <c r="FA37" s="263"/>
      <c r="FB37" s="263"/>
      <c r="FC37" s="263"/>
      <c r="FD37" s="263"/>
      <c r="FE37" s="263"/>
      <c r="FF37" s="263"/>
      <c r="FG37" s="263"/>
      <c r="FH37" s="263"/>
      <c r="FI37" s="263"/>
      <c r="FJ37" s="263"/>
      <c r="FK37" s="263"/>
      <c r="FL37" s="263"/>
      <c r="FM37" s="263"/>
      <c r="FN37" s="263"/>
      <c r="FO37" s="263"/>
      <c r="FP37" s="263"/>
      <c r="FQ37" s="263"/>
      <c r="FR37" s="263"/>
      <c r="FS37" s="263"/>
      <c r="FT37" s="263"/>
      <c r="FU37" s="263"/>
      <c r="FV37" s="263"/>
      <c r="FW37" s="263"/>
      <c r="FX37" s="263"/>
      <c r="FY37" s="263"/>
      <c r="FZ37" s="263"/>
      <c r="GA37" s="263"/>
      <c r="GB37" s="263"/>
      <c r="GC37" s="263"/>
      <c r="GD37" s="263"/>
      <c r="GE37" s="263"/>
      <c r="GF37" s="263"/>
      <c r="GG37" s="263"/>
      <c r="GH37" s="263"/>
      <c r="GI37" s="263"/>
      <c r="GJ37" s="263"/>
      <c r="GK37" s="263"/>
      <c r="GL37" s="263"/>
      <c r="GM37" s="263"/>
      <c r="GN37" s="263"/>
      <c r="GO37" s="263"/>
      <c r="GP37" s="263"/>
      <c r="GQ37" s="263"/>
      <c r="GR37" s="263"/>
      <c r="GS37" s="263"/>
      <c r="GT37" s="263"/>
      <c r="GU37" s="263"/>
      <c r="GV37" s="263"/>
      <c r="GW37" s="263"/>
      <c r="GX37" s="263"/>
      <c r="GY37" s="263"/>
      <c r="GZ37" s="263"/>
      <c r="HA37" s="263"/>
      <c r="HB37" s="263"/>
      <c r="HC37" s="263"/>
      <c r="HD37" s="263"/>
      <c r="HE37" s="263"/>
      <c r="HF37" s="263"/>
      <c r="HG37" s="263"/>
      <c r="HH37" s="263"/>
      <c r="HI37" s="263"/>
      <c r="HJ37" s="263"/>
      <c r="HK37" s="263"/>
      <c r="HL37" s="263"/>
      <c r="HM37" s="263"/>
      <c r="HN37" s="263"/>
      <c r="HO37" s="263"/>
      <c r="HP37" s="263"/>
      <c r="HQ37" s="263"/>
      <c r="HR37" s="263"/>
      <c r="HS37" s="263"/>
      <c r="HT37" s="263"/>
      <c r="HU37" s="263"/>
      <c r="HV37" s="263"/>
      <c r="HW37" s="263"/>
      <c r="HX37" s="263"/>
      <c r="HY37" s="263"/>
      <c r="HZ37" s="263"/>
      <c r="IA37" s="263"/>
      <c r="IB37" s="263"/>
      <c r="IC37" s="263"/>
      <c r="ID37" s="263"/>
      <c r="IE37" s="263"/>
      <c r="IF37" s="263"/>
      <c r="IG37" s="263"/>
      <c r="IH37" s="263"/>
      <c r="II37" s="263"/>
      <c r="IJ37" s="263"/>
      <c r="IK37" s="263"/>
      <c r="IL37" s="263"/>
      <c r="IM37" s="263"/>
      <c r="IN37" s="263"/>
      <c r="IO37" s="263"/>
      <c r="IP37" s="263"/>
      <c r="IQ37" s="263"/>
      <c r="IR37" s="263"/>
      <c r="IS37" s="263"/>
      <c r="IT37" s="263"/>
      <c r="IU37" s="263"/>
    </row>
    <row r="38" spans="1:255" ht="15.6">
      <c r="A38" s="263"/>
      <c r="B38" s="26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3"/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  <c r="CB38" s="263"/>
      <c r="CC38" s="263"/>
      <c r="CD38" s="263"/>
      <c r="CE38" s="263"/>
      <c r="CF38" s="263"/>
      <c r="CG38" s="263"/>
      <c r="CH38" s="263"/>
      <c r="CI38" s="263"/>
      <c r="CJ38" s="263"/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3"/>
      <c r="DC38" s="263"/>
      <c r="DD38" s="263"/>
      <c r="DE38" s="263"/>
      <c r="DF38" s="263"/>
      <c r="DG38" s="263"/>
      <c r="DH38" s="263"/>
      <c r="DI38" s="263"/>
      <c r="DJ38" s="263"/>
      <c r="DK38" s="263"/>
      <c r="DL38" s="263"/>
      <c r="DM38" s="263"/>
      <c r="DN38" s="263"/>
      <c r="DO38" s="263"/>
      <c r="DP38" s="263"/>
      <c r="DQ38" s="263"/>
      <c r="DR38" s="263"/>
      <c r="DS38" s="263"/>
      <c r="DT38" s="263"/>
      <c r="DU38" s="263"/>
      <c r="DV38" s="263"/>
      <c r="DW38" s="263"/>
      <c r="DX38" s="263"/>
      <c r="DY38" s="263"/>
      <c r="DZ38" s="263"/>
      <c r="EA38" s="263"/>
      <c r="EB38" s="263"/>
      <c r="EC38" s="263"/>
      <c r="ED38" s="263"/>
      <c r="EE38" s="263"/>
      <c r="EF38" s="263"/>
      <c r="EG38" s="263"/>
      <c r="EH38" s="263"/>
      <c r="EI38" s="263"/>
      <c r="EJ38" s="263"/>
      <c r="EK38" s="263"/>
      <c r="EL38" s="263"/>
      <c r="EM38" s="263"/>
      <c r="EN38" s="263"/>
      <c r="EO38" s="263"/>
      <c r="EP38" s="263"/>
      <c r="EQ38" s="263"/>
      <c r="ER38" s="263"/>
      <c r="ES38" s="263"/>
      <c r="ET38" s="263"/>
      <c r="EU38" s="263"/>
      <c r="EV38" s="263"/>
      <c r="EW38" s="263"/>
      <c r="EX38" s="263"/>
      <c r="EY38" s="263"/>
      <c r="EZ38" s="263"/>
      <c r="FA38" s="263"/>
      <c r="FB38" s="263"/>
      <c r="FC38" s="263"/>
      <c r="FD38" s="263"/>
      <c r="FE38" s="263"/>
      <c r="FF38" s="263"/>
      <c r="FG38" s="263"/>
      <c r="FH38" s="263"/>
      <c r="FI38" s="263"/>
      <c r="FJ38" s="263"/>
      <c r="FK38" s="263"/>
      <c r="FL38" s="263"/>
      <c r="FM38" s="263"/>
      <c r="FN38" s="263"/>
      <c r="FO38" s="263"/>
      <c r="FP38" s="263"/>
      <c r="FQ38" s="263"/>
      <c r="FR38" s="263"/>
      <c r="FS38" s="263"/>
      <c r="FT38" s="263"/>
      <c r="FU38" s="263"/>
      <c r="FV38" s="263"/>
      <c r="FW38" s="263"/>
      <c r="FX38" s="263"/>
      <c r="FY38" s="263"/>
      <c r="FZ38" s="263"/>
      <c r="GA38" s="263"/>
      <c r="GB38" s="263"/>
      <c r="GC38" s="263"/>
      <c r="GD38" s="263"/>
      <c r="GE38" s="263"/>
      <c r="GF38" s="263"/>
      <c r="GG38" s="263"/>
      <c r="GH38" s="263"/>
      <c r="GI38" s="263"/>
      <c r="GJ38" s="263"/>
      <c r="GK38" s="263"/>
      <c r="GL38" s="263"/>
      <c r="GM38" s="263"/>
      <c r="GN38" s="263"/>
      <c r="GO38" s="263"/>
      <c r="GP38" s="263"/>
      <c r="GQ38" s="263"/>
      <c r="GR38" s="263"/>
      <c r="GS38" s="263"/>
      <c r="GT38" s="263"/>
      <c r="GU38" s="263"/>
      <c r="GV38" s="263"/>
      <c r="GW38" s="263"/>
      <c r="GX38" s="263"/>
      <c r="GY38" s="263"/>
      <c r="GZ38" s="263"/>
      <c r="HA38" s="263"/>
      <c r="HB38" s="263"/>
      <c r="HC38" s="263"/>
      <c r="HD38" s="263"/>
      <c r="HE38" s="263"/>
      <c r="HF38" s="263"/>
      <c r="HG38" s="263"/>
      <c r="HH38" s="263"/>
      <c r="HI38" s="263"/>
      <c r="HJ38" s="263"/>
      <c r="HK38" s="263"/>
      <c r="HL38" s="263"/>
      <c r="HM38" s="263"/>
      <c r="HN38" s="263"/>
      <c r="HO38" s="263"/>
      <c r="HP38" s="263"/>
      <c r="HQ38" s="263"/>
      <c r="HR38" s="263"/>
      <c r="HS38" s="263"/>
      <c r="HT38" s="263"/>
      <c r="HU38" s="263"/>
      <c r="HV38" s="263"/>
      <c r="HW38" s="263"/>
      <c r="HX38" s="263"/>
      <c r="HY38" s="263"/>
      <c r="HZ38" s="263"/>
      <c r="IA38" s="263"/>
      <c r="IB38" s="263"/>
      <c r="IC38" s="263"/>
      <c r="ID38" s="263"/>
      <c r="IE38" s="263"/>
      <c r="IF38" s="263"/>
      <c r="IG38" s="263"/>
      <c r="IH38" s="263"/>
      <c r="II38" s="263"/>
      <c r="IJ38" s="263"/>
      <c r="IK38" s="263"/>
      <c r="IL38" s="263"/>
      <c r="IM38" s="263"/>
      <c r="IN38" s="263"/>
      <c r="IO38" s="263"/>
      <c r="IP38" s="263"/>
      <c r="IQ38" s="263"/>
      <c r="IR38" s="263"/>
      <c r="IS38" s="263"/>
      <c r="IT38" s="263"/>
      <c r="IU38" s="263"/>
    </row>
    <row r="39" spans="1:255" ht="15.6">
      <c r="A39" s="274" t="s">
        <v>265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3"/>
      <c r="CC39" s="263"/>
      <c r="CD39" s="263"/>
      <c r="CE39" s="263"/>
      <c r="CF39" s="263"/>
      <c r="CG39" s="263"/>
      <c r="CH39" s="263"/>
      <c r="CI39" s="263"/>
      <c r="CJ39" s="263"/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3"/>
      <c r="DC39" s="263"/>
      <c r="DD39" s="263"/>
      <c r="DE39" s="263"/>
      <c r="DF39" s="263"/>
      <c r="DG39" s="263"/>
      <c r="DH39" s="263"/>
      <c r="DI39" s="263"/>
      <c r="DJ39" s="263"/>
      <c r="DK39" s="263"/>
      <c r="DL39" s="263"/>
      <c r="DM39" s="263"/>
      <c r="DN39" s="263"/>
      <c r="DO39" s="263"/>
      <c r="DP39" s="263"/>
      <c r="DQ39" s="263"/>
      <c r="DR39" s="263"/>
      <c r="DS39" s="263"/>
      <c r="DT39" s="263"/>
      <c r="DU39" s="263"/>
      <c r="DV39" s="263"/>
      <c r="DW39" s="263"/>
      <c r="DX39" s="263"/>
      <c r="DY39" s="263"/>
      <c r="DZ39" s="263"/>
      <c r="EA39" s="263"/>
      <c r="EB39" s="263"/>
      <c r="EC39" s="263"/>
      <c r="ED39" s="263"/>
      <c r="EE39" s="263"/>
      <c r="EF39" s="263"/>
      <c r="EG39" s="263"/>
      <c r="EH39" s="263"/>
      <c r="EI39" s="263"/>
      <c r="EJ39" s="263"/>
      <c r="EK39" s="263"/>
      <c r="EL39" s="263"/>
      <c r="EM39" s="263"/>
      <c r="EN39" s="263"/>
      <c r="EO39" s="263"/>
      <c r="EP39" s="263"/>
      <c r="EQ39" s="263"/>
      <c r="ER39" s="263"/>
      <c r="ES39" s="263"/>
      <c r="ET39" s="263"/>
      <c r="EU39" s="263"/>
      <c r="EV39" s="263"/>
      <c r="EW39" s="263"/>
      <c r="EX39" s="263"/>
      <c r="EY39" s="263"/>
      <c r="EZ39" s="263"/>
      <c r="FA39" s="263"/>
      <c r="FB39" s="263"/>
      <c r="FC39" s="263"/>
      <c r="FD39" s="263"/>
      <c r="FE39" s="263"/>
      <c r="FF39" s="263"/>
      <c r="FG39" s="263"/>
      <c r="FH39" s="263"/>
      <c r="FI39" s="263"/>
      <c r="FJ39" s="263"/>
      <c r="FK39" s="263"/>
      <c r="FL39" s="263"/>
      <c r="FM39" s="263"/>
      <c r="FN39" s="263"/>
      <c r="FO39" s="263"/>
      <c r="FP39" s="263"/>
      <c r="FQ39" s="263"/>
      <c r="FR39" s="263"/>
      <c r="FS39" s="263"/>
      <c r="FT39" s="263"/>
      <c r="FU39" s="263"/>
      <c r="FV39" s="263"/>
      <c r="FW39" s="263"/>
      <c r="FX39" s="263"/>
      <c r="FY39" s="263"/>
      <c r="FZ39" s="263"/>
      <c r="GA39" s="263"/>
      <c r="GB39" s="263"/>
      <c r="GC39" s="263"/>
      <c r="GD39" s="263"/>
      <c r="GE39" s="263"/>
      <c r="GF39" s="263"/>
      <c r="GG39" s="263"/>
      <c r="GH39" s="263"/>
      <c r="GI39" s="263"/>
      <c r="GJ39" s="263"/>
      <c r="GK39" s="263"/>
      <c r="GL39" s="263"/>
      <c r="GM39" s="263"/>
      <c r="GN39" s="263"/>
      <c r="GO39" s="263"/>
      <c r="GP39" s="263"/>
      <c r="GQ39" s="263"/>
      <c r="GR39" s="263"/>
      <c r="GS39" s="263"/>
      <c r="GT39" s="263"/>
      <c r="GU39" s="263"/>
      <c r="GV39" s="263"/>
      <c r="GW39" s="263"/>
      <c r="GX39" s="263"/>
      <c r="GY39" s="263"/>
      <c r="GZ39" s="263"/>
      <c r="HA39" s="263"/>
      <c r="HB39" s="263"/>
      <c r="HC39" s="263"/>
      <c r="HD39" s="263"/>
      <c r="HE39" s="263"/>
      <c r="HF39" s="263"/>
      <c r="HG39" s="263"/>
      <c r="HH39" s="263"/>
      <c r="HI39" s="263"/>
      <c r="HJ39" s="263"/>
      <c r="HK39" s="263"/>
      <c r="HL39" s="263"/>
      <c r="HM39" s="263"/>
      <c r="HN39" s="263"/>
      <c r="HO39" s="263"/>
      <c r="HP39" s="263"/>
      <c r="HQ39" s="263"/>
      <c r="HR39" s="263"/>
      <c r="HS39" s="263"/>
      <c r="HT39" s="263"/>
      <c r="HU39" s="263"/>
      <c r="HV39" s="263"/>
      <c r="HW39" s="263"/>
      <c r="HX39" s="263"/>
      <c r="HY39" s="263"/>
      <c r="HZ39" s="263"/>
      <c r="IA39" s="263"/>
      <c r="IB39" s="263"/>
      <c r="IC39" s="263"/>
      <c r="ID39" s="263"/>
      <c r="IE39" s="263"/>
      <c r="IF39" s="263"/>
      <c r="IG39" s="263"/>
      <c r="IH39" s="263"/>
      <c r="II39" s="263"/>
      <c r="IJ39" s="263"/>
      <c r="IK39" s="263"/>
      <c r="IL39" s="263"/>
      <c r="IM39" s="263"/>
      <c r="IN39" s="263"/>
      <c r="IO39" s="263"/>
      <c r="IP39" s="263"/>
      <c r="IQ39" s="263"/>
      <c r="IR39" s="263"/>
      <c r="IS39" s="263"/>
      <c r="IT39" s="263"/>
      <c r="IU39" s="263"/>
    </row>
    <row r="40" spans="1:255" ht="15.6">
      <c r="A40" s="263" t="s">
        <v>266</v>
      </c>
      <c r="B40" s="263"/>
      <c r="C40" s="275">
        <f ca="1">C14</f>
        <v>359.45</v>
      </c>
      <c r="D40" s="275">
        <f t="shared" ref="D40:V40" ca="1" si="6">C42+D14</f>
        <v>1806.5381879999998</v>
      </c>
      <c r="E40" s="275">
        <f t="shared" ca="1" si="6"/>
        <v>3292.6977570759996</v>
      </c>
      <c r="F40" s="275">
        <f t="shared" ca="1" si="6"/>
        <v>4818.9836345170506</v>
      </c>
      <c r="G40" s="275">
        <f t="shared" ca="1" si="6"/>
        <v>6386.4792306490099</v>
      </c>
      <c r="H40" s="275">
        <f t="shared" ca="1" si="6"/>
        <v>7996.2972078765324</v>
      </c>
      <c r="I40" s="275">
        <f t="shared" ca="1" si="6"/>
        <v>9649.5802704891976</v>
      </c>
      <c r="J40" s="275">
        <f t="shared" ca="1" si="6"/>
        <v>11347.501975792404</v>
      </c>
      <c r="K40" s="275">
        <f t="shared" ca="1" si="6"/>
        <v>13091.267567138797</v>
      </c>
      <c r="L40" s="275">
        <f t="shared" ca="1" si="6"/>
        <v>14882.114829451542</v>
      </c>
      <c r="M40" s="275">
        <f t="shared" ca="1" si="6"/>
        <v>16721.314967846731</v>
      </c>
      <c r="N40" s="275">
        <f t="shared" ca="1" si="6"/>
        <v>18610.173509978591</v>
      </c>
      <c r="O40" s="275">
        <f t="shared" ca="1" si="6"/>
        <v>20550.03123274801</v>
      </c>
      <c r="P40" s="275">
        <f t="shared" ca="1" si="6"/>
        <v>1992.2338812841938</v>
      </c>
      <c r="Q40" s="275">
        <f t="shared" ca="1" si="6"/>
        <v>4038.2580773630607</v>
      </c>
      <c r="R40" s="275">
        <f t="shared" ca="1" si="6"/>
        <v>6139.5249267360568</v>
      </c>
      <c r="S40" s="275">
        <f t="shared" ca="1" si="6"/>
        <v>8297.525981042123</v>
      </c>
      <c r="T40" s="275">
        <f t="shared" ca="1" si="6"/>
        <v>10513.793063814453</v>
      </c>
      <c r="U40" s="275">
        <f t="shared" ca="1" si="6"/>
        <v>12789.899357821636</v>
      </c>
      <c r="V40" s="275">
        <f t="shared" ca="1" si="6"/>
        <v>15127.460521767012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6">
      <c r="A41" s="263" t="s">
        <v>267</v>
      </c>
      <c r="B41" s="263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>
        <f ca="1">O40</f>
        <v>20550.03123274801</v>
      </c>
      <c r="P41" s="275"/>
      <c r="Q41" s="275"/>
      <c r="R41" s="275"/>
      <c r="S41" s="275"/>
      <c r="T41" s="275"/>
      <c r="U41" s="275"/>
      <c r="V41" s="275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6">
      <c r="A42" s="263" t="s">
        <v>268</v>
      </c>
      <c r="B42" s="263"/>
      <c r="C42" s="275">
        <f t="shared" ref="C42:V42" ca="1" si="7">C40-C41</f>
        <v>359.45</v>
      </c>
      <c r="D42" s="275">
        <f t="shared" ca="1" si="7"/>
        <v>1806.5381879999998</v>
      </c>
      <c r="E42" s="275">
        <f t="shared" ca="1" si="7"/>
        <v>3292.6977570759996</v>
      </c>
      <c r="F42" s="275">
        <f t="shared" ca="1" si="7"/>
        <v>4818.9836345170506</v>
      </c>
      <c r="G42" s="275">
        <f t="shared" ca="1" si="7"/>
        <v>6386.4792306490099</v>
      </c>
      <c r="H42" s="275">
        <f t="shared" ca="1" si="7"/>
        <v>7996.2972078765324</v>
      </c>
      <c r="I42" s="275">
        <f t="shared" ca="1" si="7"/>
        <v>9649.5802704891976</v>
      </c>
      <c r="J42" s="275">
        <f t="shared" ca="1" si="7"/>
        <v>11347.501975792404</v>
      </c>
      <c r="K42" s="275">
        <f t="shared" ca="1" si="7"/>
        <v>13091.267567138797</v>
      </c>
      <c r="L42" s="275">
        <f t="shared" ca="1" si="7"/>
        <v>14882.114829451542</v>
      </c>
      <c r="M42" s="275">
        <f t="shared" ca="1" si="7"/>
        <v>16721.314967846731</v>
      </c>
      <c r="N42" s="275">
        <f t="shared" ca="1" si="7"/>
        <v>18610.173509978591</v>
      </c>
      <c r="O42" s="275">
        <f t="shared" ca="1" si="7"/>
        <v>0</v>
      </c>
      <c r="P42" s="275">
        <f t="shared" ca="1" si="7"/>
        <v>1992.2338812841938</v>
      </c>
      <c r="Q42" s="275">
        <f t="shared" ca="1" si="7"/>
        <v>4038.2580773630607</v>
      </c>
      <c r="R42" s="275">
        <f t="shared" ca="1" si="7"/>
        <v>6139.5249267360568</v>
      </c>
      <c r="S42" s="275">
        <f t="shared" ca="1" si="7"/>
        <v>8297.525981042123</v>
      </c>
      <c r="T42" s="275">
        <f t="shared" ca="1" si="7"/>
        <v>10513.793063814453</v>
      </c>
      <c r="U42" s="275">
        <f t="shared" ca="1" si="7"/>
        <v>12789.899357821636</v>
      </c>
      <c r="V42" s="275">
        <f t="shared" ca="1" si="7"/>
        <v>15127.460521767012</v>
      </c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6">
      <c r="A43" s="263" t="s">
        <v>269</v>
      </c>
      <c r="B43" s="263"/>
      <c r="C43" s="275">
        <f ca="1">C42*'ASSUM 1'!$S$43</f>
        <v>17.9725</v>
      </c>
      <c r="D43" s="275">
        <f ca="1">D42*'ASSUM 1'!$S$43</f>
        <v>90.326909399999991</v>
      </c>
      <c r="E43" s="275">
        <f ca="1">E42*'ASSUM 1'!$S$43</f>
        <v>164.6348878538</v>
      </c>
      <c r="F43" s="275">
        <f ca="1">F42*'ASSUM 1'!$S$43</f>
        <v>240.94918172585255</v>
      </c>
      <c r="G43" s="275">
        <f ca="1">G42*'ASSUM 1'!$S$43</f>
        <v>319.32396153245054</v>
      </c>
      <c r="H43" s="275">
        <f ca="1">H42*'ASSUM 1'!$S$43</f>
        <v>399.81486039382662</v>
      </c>
      <c r="I43" s="275">
        <f ca="1">I42*'ASSUM 1'!$S$43</f>
        <v>482.4790135244599</v>
      </c>
      <c r="J43" s="275">
        <f ca="1">J42*'ASSUM 1'!$S$43</f>
        <v>567.37509878962021</v>
      </c>
      <c r="K43" s="275">
        <f ca="1">K42*'ASSUM 1'!$S$43</f>
        <v>654.56337835693989</v>
      </c>
      <c r="L43" s="275">
        <f ca="1">L42*'ASSUM 1'!$S$43</f>
        <v>744.10574147257717</v>
      </c>
      <c r="M43" s="275">
        <f ca="1">M42*'ASSUM 1'!$S$43</f>
        <v>836.06574839233656</v>
      </c>
      <c r="N43" s="275">
        <f ca="1">N42*'ASSUM 1'!$S$43</f>
        <v>930.50867549892962</v>
      </c>
      <c r="O43" s="275">
        <f ca="1">O42*'ASSUM 1'!$S$43</f>
        <v>0</v>
      </c>
      <c r="P43" s="275">
        <f ca="1">P42*'ASSUM 1'!$S$43</f>
        <v>99.611694064209701</v>
      </c>
      <c r="Q43" s="275">
        <f ca="1">Q42*'ASSUM 1'!$S$43</f>
        <v>201.91290386815305</v>
      </c>
      <c r="R43" s="275">
        <f ca="1">R42*'ASSUM 1'!$S$43</f>
        <v>306.97624633680289</v>
      </c>
      <c r="S43" s="275">
        <f ca="1">S42*'ASSUM 1'!$S$43</f>
        <v>414.87629905210616</v>
      </c>
      <c r="T43" s="275">
        <f ca="1">T42*'ASSUM 1'!$S$43</f>
        <v>525.68965319072265</v>
      </c>
      <c r="U43" s="275">
        <f ca="1">U42*'ASSUM 1'!$S$43</f>
        <v>639.49496789108184</v>
      </c>
      <c r="V43" s="275">
        <f ca="1">V42*'ASSUM 1'!$S$43</f>
        <v>756.37302608835068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6">
      <c r="A44" s="263"/>
      <c r="B44" s="263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6">
      <c r="A45" s="263" t="s">
        <v>270</v>
      </c>
      <c r="B45" s="263"/>
      <c r="C45" s="275">
        <f ca="1">SUM($C$16:C16)</f>
        <v>325.62555295992695</v>
      </c>
      <c r="D45" s="275">
        <f ca="1">SUM($C$16:D16)</f>
        <v>883.84078660551597</v>
      </c>
      <c r="E45" s="275">
        <f ca="1">SUM($C$16:E16)</f>
        <v>1442.0560202511051</v>
      </c>
      <c r="F45" s="275">
        <f ca="1">SUM($C$16:F16)</f>
        <v>2000.2712538966941</v>
      </c>
      <c r="G45" s="275">
        <f ca="1">SUM($C$16:G16)</f>
        <v>2558.4864875422832</v>
      </c>
      <c r="H45" s="275">
        <f ca="1">SUM($C$16:H16)</f>
        <v>3116.701721187872</v>
      </c>
      <c r="I45" s="275">
        <f ca="1">SUM($C$16:I16)</f>
        <v>3674.9169548334612</v>
      </c>
      <c r="J45" s="275">
        <f ca="1">SUM($C$16:J16)</f>
        <v>4233.1321884790505</v>
      </c>
      <c r="K45" s="275">
        <f ca="1">SUM($C$16:K16)</f>
        <v>4791.3474221246397</v>
      </c>
      <c r="L45" s="275">
        <f ca="1">SUM($C$16:L16)</f>
        <v>5349.562655770229</v>
      </c>
      <c r="M45" s="275">
        <f ca="1">SUM($C$16:M16)</f>
        <v>5907.7778894158182</v>
      </c>
      <c r="N45" s="275">
        <f ca="1">SUM($C$16:N16)</f>
        <v>6465.9931230614075</v>
      </c>
      <c r="O45" s="275">
        <f ca="1">SUM($C$16:O16)</f>
        <v>7024.2083567069967</v>
      </c>
      <c r="P45" s="275">
        <f ca="1">SUM($C$16:P16)</f>
        <v>7582.423590352586</v>
      </c>
      <c r="Q45" s="275">
        <f ca="1">SUM($C$16:Q16)</f>
        <v>8140.6388239981752</v>
      </c>
      <c r="R45" s="275">
        <f ca="1">SUM($C$16:R16)</f>
        <v>8698.8540576437645</v>
      </c>
      <c r="S45" s="275">
        <f ca="1">SUM($C$16:S16)</f>
        <v>9257.0692912893537</v>
      </c>
      <c r="T45" s="275">
        <f ca="1">SUM($C$16:T16)</f>
        <v>9815.284524934943</v>
      </c>
      <c r="U45" s="275">
        <f ca="1">SUM($C$16:U16)</f>
        <v>10373.499758580532</v>
      </c>
      <c r="V45" s="275">
        <f ca="1">SUM($C$16:V16)</f>
        <v>10931.714992226121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6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6">
      <c r="A47" s="274" t="s">
        <v>271</v>
      </c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6">
      <c r="A48" s="263" t="s">
        <v>272</v>
      </c>
      <c r="B48" s="263"/>
      <c r="C48" s="275">
        <f ca="1">IF(C6=1,0,+'BKDEPR 144A'!C15*1000)</f>
        <v>0</v>
      </c>
      <c r="D48" s="275">
        <f ca="1">IF(D6=1,0,+'BKDEPR 144A'!C15*1000)</f>
        <v>124665.655348</v>
      </c>
      <c r="E48" s="275">
        <f ca="1">IF(E6=1,0,+'BKDEPR 144A'!C15*1000)</f>
        <v>124665.655348</v>
      </c>
      <c r="F48" s="275">
        <f ca="1">IF(F6=1,0,+'BKDEPR 144A'!C15*1000)</f>
        <v>124665.655348</v>
      </c>
      <c r="G48" s="275">
        <f ca="1">IF(G6=1,0,+'BKDEPR 144A'!C15*1000)</f>
        <v>124665.655348</v>
      </c>
      <c r="H48" s="275">
        <f ca="1">IF(H6=1,0,+'BKDEPR 144A'!C15*1000)</f>
        <v>124665.655348</v>
      </c>
      <c r="I48" s="275">
        <f ca="1">IF(I6=1,0,+'BKDEPR 144A'!C15*1000)</f>
        <v>124665.655348</v>
      </c>
      <c r="J48" s="275">
        <f ca="1">IF(J6=1,0,+'BKDEPR 144A'!C15*1000)</f>
        <v>124665.655348</v>
      </c>
      <c r="K48" s="275">
        <f ca="1">IF(K6=1,0,+'BKDEPR 144A'!C15*1000)</f>
        <v>124665.655348</v>
      </c>
      <c r="L48" s="275">
        <f ca="1">IF(L6=1,0,+'BKDEPR 144A'!C15*1000)</f>
        <v>124665.655348</v>
      </c>
      <c r="M48" s="275">
        <f ca="1">IF(M6=1,0,+'BKDEPR 144A'!C15*1000)</f>
        <v>124665.655348</v>
      </c>
      <c r="N48" s="275">
        <f ca="1">IF(N6=1,0,+'BKDEPR 144A'!C15*1000)</f>
        <v>124665.655348</v>
      </c>
      <c r="O48" s="275">
        <f ca="1">IF(O6=1,0,+'BKDEPR 144A'!C15*1000)</f>
        <v>124665.655348</v>
      </c>
      <c r="P48" s="275">
        <f ca="1">IF(P6=1,0,+'BKDEPR 144A'!C15*1000)</f>
        <v>124665.655348</v>
      </c>
      <c r="Q48" s="275">
        <f ca="1">IF(Q6=1,0,+'BKDEPR 144A'!C15*1000)</f>
        <v>124665.655348</v>
      </c>
      <c r="R48" s="275">
        <f ca="1">IF(R6=1,0,+'BKDEPR 144A'!C15*1000)</f>
        <v>124665.655348</v>
      </c>
      <c r="S48" s="275">
        <f ca="1">IF(S6=1,0,+'BKDEPR 144A'!C15*1000)</f>
        <v>124665.655348</v>
      </c>
      <c r="T48" s="275">
        <f ca="1">IF(T6=1,0,+'BKDEPR 144A'!C15*1000)</f>
        <v>124665.655348</v>
      </c>
      <c r="U48" s="275">
        <f ca="1">IF(U6=1,0,+'BKDEPR 144A'!C15*1000)</f>
        <v>124665.655348</v>
      </c>
      <c r="V48" s="275">
        <f ca="1">IF(V6=1,0,+'BKDEPR 144A'!C15*1000)</f>
        <v>124665.655348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6">
      <c r="A49" s="263" t="s">
        <v>273</v>
      </c>
      <c r="B49" s="263"/>
      <c r="C49" s="276">
        <f ca="1">IF(C6&lt;='ASSUM 1'!M42,'ASSUM 1'!N42/100,IF(C6&lt;='ASSUM 1'!M43,'ASSUM 1'!N43/100,'ASSUM 1'!N44/100))</f>
        <v>8.1000000000000013E-3</v>
      </c>
      <c r="D49" s="276">
        <f ca="1">IF(D6&lt;='ASSUM 1'!M42,'ASSUM 1'!#REF!/100,IF(D6&lt;='ASSUM 1'!M43,'ASSUM 1'!N43/100,'ASSUM 1'!N44/100))</f>
        <v>4.8999999999999998E-3</v>
      </c>
      <c r="E49" s="276">
        <f ca="1">IF(E6&lt;='ASSUM 1'!M42,#REF!/100,IF(E6&lt;='ASSUM 1'!M43,'ASSUM 1'!N43/100,'ASSUM 1'!N44/100))</f>
        <v>4.8999999999999998E-3</v>
      </c>
      <c r="F49" s="276">
        <f ca="1">IF(F6&lt;='ASSUM 1'!M42,#REF!/100,IF(F6&lt;='ASSUM 1'!M43,'ASSUM 1'!N43/100,'ASSUM 1'!N44/100))</f>
        <v>2.9160000000000002E-3</v>
      </c>
      <c r="G49" s="276">
        <f ca="1">IF(G6&lt;='ASSUM 1'!M42,#REF!/100,IF(G6&lt;='ASSUM 1'!M43,'ASSUM 1'!N43/100,'ASSUM 1'!N44/100))</f>
        <v>2.9160000000000002E-3</v>
      </c>
      <c r="H49" s="276">
        <f ca="1">IF(H6&lt;='ASSUM 1'!M42,#REF!/100,IF(H6&lt;='ASSUM 1'!M43,'ASSUM 1'!N43/100,'ASSUM 1'!N44/100))</f>
        <v>2.9160000000000002E-3</v>
      </c>
      <c r="I49" s="276">
        <f ca="1">IF(I6&lt;='ASSUM 1'!M42,#REF!/100,IF(I6&lt;='ASSUM 1'!M43,'ASSUM 1'!N43/100,'ASSUM 1'!N44/100))</f>
        <v>2.9160000000000002E-3</v>
      </c>
      <c r="J49" s="276">
        <f ca="1">IF(J6&lt;='ASSUM 1'!M42,'ASSUM 1'!O58/100,IF(J6&lt;='ASSUM 1'!M43,'ASSUM 1'!N43/100,'ASSUM 1'!N44/100))</f>
        <v>2.9160000000000002E-3</v>
      </c>
      <c r="K49" s="276">
        <f ca="1">IF(K6&lt;='ASSUM 1'!M42,'ASSUM 1'!P58/100,IF(K6&lt;='ASSUM 1'!M43,'ASSUM 1'!N43/100,'ASSUM 1'!N44/100))</f>
        <v>2.9160000000000002E-3</v>
      </c>
      <c r="L49" s="276">
        <f ca="1">IF(L6&lt;='ASSUM 1'!M42,#REF!/100,IF(L6&lt;='ASSUM 1'!M43,'ASSUM 1'!N43/100,'ASSUM 1'!N44/100))</f>
        <v>2.9160000000000002E-3</v>
      </c>
      <c r="M49" s="276">
        <f ca="1">IF(M6&lt;='ASSUM 1'!M42,'ASSUM 1'!Q58/100,IF(M6&lt;='ASSUM 1'!M43,'ASSUM 1'!N43/100,'ASSUM 1'!N44/100))</f>
        <v>2.9160000000000002E-3</v>
      </c>
      <c r="N49" s="276">
        <f ca="1">IF(N6&lt;='ASSUM 1'!M42,'ASSUM 1'!R58/100,IF(N6&lt;='ASSUM 1'!M43,'ASSUM 1'!N43/100,'ASSUM 1'!N44/100))</f>
        <v>2.9160000000000002E-3</v>
      </c>
      <c r="O49" s="276">
        <f ca="1">IF(O6&lt;='ASSUM 1'!M42,'ASSUM 1'!S58/100,IF(O6&lt;='ASSUM 1'!M43,'ASSUM 1'!N43/100,'ASSUM 1'!N44/100))</f>
        <v>2.9160000000000002E-3</v>
      </c>
      <c r="P49" s="276">
        <f ca="1">IF(P6&lt;='ASSUM 1'!M42,#REF!/100,IF(P6&lt;='ASSUM 1'!M43,'ASSUM 1'!N43/100,'ASSUM 1'!N44/100))</f>
        <v>2.9160000000000002E-3</v>
      </c>
      <c r="Q49" s="276">
        <f ca="1">IF(Q6&lt;='ASSUM 1'!M42,#REF!/100,IF(Q6&lt;='ASSUM 1'!M43,'ASSUM 1'!N43/100,'ASSUM 1'!N44/100))</f>
        <v>2.9160000000000002E-3</v>
      </c>
      <c r="R49" s="276">
        <f ca="1">IF(R6&lt;='ASSUM 1'!M42,'ASSUM 1'!T58/100,IF(R6&lt;='ASSUM 1'!M43,'ASSUM 1'!N43/100,'ASSUM 1'!N44/100))</f>
        <v>2.9160000000000002E-3</v>
      </c>
      <c r="S49" s="276">
        <f ca="1">IF(S6&lt;='ASSUM 1'!M42,'ASSUM 1'!#REF!/100,IF(S6&lt;='ASSUM 1'!M43,'ASSUM 1'!N43/100,'ASSUM 1'!N44/100))</f>
        <v>2.9160000000000002E-3</v>
      </c>
      <c r="T49" s="276">
        <f ca="1">IF(T6&lt;='ASSUM 1'!M42,'ASSUM 1'!#REF!/100,IF(T6&lt;='ASSUM 1'!M43,'ASSUM 1'!N43/100,'ASSUM 1'!N44/100))</f>
        <v>2.9160000000000002E-3</v>
      </c>
      <c r="U49" s="276">
        <f ca="1">IF(U6&lt;='ASSUM 1'!M42,'ASSUM 1'!#REF!/100,IF(U6&lt;='ASSUM 1'!M43,'ASSUM 1'!N43/100,'ASSUM 1'!N44/100))</f>
        <v>2.9160000000000002E-3</v>
      </c>
      <c r="V49" s="276">
        <f ca="1">IF(V6&lt;='ASSUM 1'!M42,'ASSUM 1'!#REF!/100,IF(V6&lt;='ASSUM 1'!M43,'ASSUM 1'!N43/100,'ASSUM 1'!N44/100))</f>
        <v>2.9160000000000002E-3</v>
      </c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6">
      <c r="A50" s="263" t="s">
        <v>274</v>
      </c>
      <c r="B50" s="263"/>
      <c r="C50" s="275">
        <f t="shared" ref="C50:V50" ca="1" si="8">C48*C49</f>
        <v>0</v>
      </c>
      <c r="D50" s="275">
        <f t="shared" ca="1" si="8"/>
        <v>610.86171120519998</v>
      </c>
      <c r="E50" s="275">
        <f t="shared" ca="1" si="8"/>
        <v>610.86171120519998</v>
      </c>
      <c r="F50" s="275">
        <f t="shared" ca="1" si="8"/>
        <v>363.52505099476804</v>
      </c>
      <c r="G50" s="275">
        <f t="shared" ca="1" si="8"/>
        <v>363.52505099476804</v>
      </c>
      <c r="H50" s="275">
        <f t="shared" ca="1" si="8"/>
        <v>363.52505099476804</v>
      </c>
      <c r="I50" s="275">
        <f t="shared" ca="1" si="8"/>
        <v>363.52505099476804</v>
      </c>
      <c r="J50" s="275">
        <f t="shared" ca="1" si="8"/>
        <v>363.52505099476804</v>
      </c>
      <c r="K50" s="275">
        <f t="shared" ca="1" si="8"/>
        <v>363.52505099476804</v>
      </c>
      <c r="L50" s="275">
        <f t="shared" ca="1" si="8"/>
        <v>363.52505099476804</v>
      </c>
      <c r="M50" s="275">
        <f t="shared" ca="1" si="8"/>
        <v>363.52505099476804</v>
      </c>
      <c r="N50" s="275">
        <f t="shared" ca="1" si="8"/>
        <v>363.52505099476804</v>
      </c>
      <c r="O50" s="275">
        <f t="shared" ca="1" si="8"/>
        <v>363.52505099476804</v>
      </c>
      <c r="P50" s="275">
        <f t="shared" ca="1" si="8"/>
        <v>363.52505099476804</v>
      </c>
      <c r="Q50" s="275">
        <f t="shared" ca="1" si="8"/>
        <v>363.52505099476804</v>
      </c>
      <c r="R50" s="275">
        <f t="shared" ca="1" si="8"/>
        <v>363.52505099476804</v>
      </c>
      <c r="S50" s="275">
        <f t="shared" ca="1" si="8"/>
        <v>363.52505099476804</v>
      </c>
      <c r="T50" s="275">
        <f t="shared" ca="1" si="8"/>
        <v>363.52505099476804</v>
      </c>
      <c r="U50" s="275">
        <f t="shared" ca="1" si="8"/>
        <v>363.52505099476804</v>
      </c>
      <c r="V50" s="275">
        <f t="shared" ca="1" si="8"/>
        <v>363.52505099476804</v>
      </c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6">
      <c r="A51" s="263"/>
      <c r="B51" s="263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6">
      <c r="A52" s="263" t="s">
        <v>275</v>
      </c>
      <c r="B52" s="263"/>
      <c r="C52" s="275">
        <f>'ASSUM 2'!$E$26*10^3</f>
        <v>250</v>
      </c>
      <c r="D52" s="275">
        <f>'ASSUM 2'!$E$26*10^3</f>
        <v>250</v>
      </c>
      <c r="E52" s="275">
        <f>'ASSUM 2'!$E$26*10^3</f>
        <v>250</v>
      </c>
      <c r="F52" s="275">
        <f>'ASSUM 2'!$E$26*10^3</f>
        <v>250</v>
      </c>
      <c r="G52" s="275">
        <f>'ASSUM 2'!$E$26*10^3</f>
        <v>250</v>
      </c>
      <c r="H52" s="275">
        <f>'ASSUM 2'!$E$26*10^3</f>
        <v>250</v>
      </c>
      <c r="I52" s="275">
        <f>'ASSUM 2'!$E$26*10^3</f>
        <v>250</v>
      </c>
      <c r="J52" s="275">
        <f>'ASSUM 2'!$E$26*10^3</f>
        <v>250</v>
      </c>
      <c r="K52" s="275">
        <f>'ASSUM 2'!$E$26*10^3</f>
        <v>250</v>
      </c>
      <c r="L52" s="275">
        <f>'ASSUM 2'!$E$26*10^3</f>
        <v>250</v>
      </c>
      <c r="M52" s="275">
        <f>'ASSUM 2'!$E$26*10^3</f>
        <v>250</v>
      </c>
      <c r="N52" s="275">
        <f>'ASSUM 2'!$E$26*10^3</f>
        <v>250</v>
      </c>
      <c r="O52" s="275">
        <f>'ASSUM 2'!$E$26*10^3</f>
        <v>250</v>
      </c>
      <c r="P52" s="275">
        <f>'ASSUM 2'!$E$26*10^3</f>
        <v>250</v>
      </c>
      <c r="Q52" s="275">
        <f>'ASSUM 2'!$E$26*10^3</f>
        <v>250</v>
      </c>
      <c r="R52" s="275">
        <f>'ASSUM 2'!$E$26*10^3</f>
        <v>250</v>
      </c>
      <c r="S52" s="275">
        <f>'ASSUM 2'!$E$26*10^3</f>
        <v>250</v>
      </c>
      <c r="T52" s="275">
        <f>'ASSUM 2'!$E$26*10^3</f>
        <v>250</v>
      </c>
      <c r="U52" s="275">
        <f>'ASSUM 2'!$E$26*10^3</f>
        <v>250</v>
      </c>
      <c r="V52" s="275">
        <f>'ASSUM 2'!$E$26*10^3</f>
        <v>250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6">
      <c r="A53" s="263" t="s">
        <v>276</v>
      </c>
      <c r="B53" s="263"/>
      <c r="C53" s="277">
        <f>[0]!_XX1/100</f>
        <v>7.4999999999999997E-3</v>
      </c>
      <c r="D53" s="277">
        <f>[0]!_XX1/100</f>
        <v>7.4999999999999997E-3</v>
      </c>
      <c r="E53" s="277">
        <f>[0]!_XX1/100</f>
        <v>7.4999999999999997E-3</v>
      </c>
      <c r="F53" s="277">
        <f>[0]!_XX1/100</f>
        <v>7.4999999999999997E-3</v>
      </c>
      <c r="G53" s="277">
        <f>[0]!_XX1/100</f>
        <v>7.4999999999999997E-3</v>
      </c>
      <c r="H53" s="277">
        <f>[0]!_XX1/100</f>
        <v>7.4999999999999997E-3</v>
      </c>
      <c r="I53" s="277">
        <f>[0]!_XX1/100</f>
        <v>7.4999999999999997E-3</v>
      </c>
      <c r="J53" s="277">
        <f>[0]!_XX1/100</f>
        <v>7.4999999999999997E-3</v>
      </c>
      <c r="K53" s="277">
        <f>[0]!_XX1/100</f>
        <v>7.4999999999999997E-3</v>
      </c>
      <c r="L53" s="277">
        <f>[0]!_XX1/100</f>
        <v>7.4999999999999997E-3</v>
      </c>
      <c r="M53" s="277">
        <f>[0]!_XX1/100</f>
        <v>7.4999999999999997E-3</v>
      </c>
      <c r="N53" s="277">
        <f>[0]!_XX1/100</f>
        <v>7.4999999999999997E-3</v>
      </c>
      <c r="O53" s="277">
        <f>[0]!_XX1/100</f>
        <v>7.4999999999999997E-3</v>
      </c>
      <c r="P53" s="277">
        <f>[0]!_XX1/100</f>
        <v>7.4999999999999997E-3</v>
      </c>
      <c r="Q53" s="277">
        <f>[0]!_XX1/100</f>
        <v>7.4999999999999997E-3</v>
      </c>
      <c r="R53" s="277">
        <f>[0]!_XX1/100</f>
        <v>7.4999999999999997E-3</v>
      </c>
      <c r="S53" s="277">
        <f>[0]!_XX1/100</f>
        <v>7.4999999999999997E-3</v>
      </c>
      <c r="T53" s="277">
        <f>[0]!_XX1/100</f>
        <v>7.4999999999999997E-3</v>
      </c>
      <c r="U53" s="277">
        <f>[0]!_XX1/100</f>
        <v>7.4999999999999997E-3</v>
      </c>
      <c r="V53" s="277">
        <f>[0]!_XX1/100</f>
        <v>7.4999999999999997E-3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6">
      <c r="A54" s="263" t="s">
        <v>271</v>
      </c>
      <c r="B54" s="263"/>
      <c r="C54" s="275">
        <f t="shared" ref="C54:V54" si="9">C52*C53</f>
        <v>1.875</v>
      </c>
      <c r="D54" s="275">
        <f t="shared" si="9"/>
        <v>1.875</v>
      </c>
      <c r="E54" s="275">
        <f t="shared" si="9"/>
        <v>1.875</v>
      </c>
      <c r="F54" s="275">
        <f t="shared" si="9"/>
        <v>1.875</v>
      </c>
      <c r="G54" s="275">
        <f t="shared" si="9"/>
        <v>1.875</v>
      </c>
      <c r="H54" s="275">
        <f t="shared" si="9"/>
        <v>1.875</v>
      </c>
      <c r="I54" s="275">
        <f t="shared" si="9"/>
        <v>1.875</v>
      </c>
      <c r="J54" s="275">
        <f t="shared" si="9"/>
        <v>1.875</v>
      </c>
      <c r="K54" s="275">
        <f t="shared" si="9"/>
        <v>1.875</v>
      </c>
      <c r="L54" s="275">
        <f t="shared" si="9"/>
        <v>1.875</v>
      </c>
      <c r="M54" s="275">
        <f t="shared" si="9"/>
        <v>1.875</v>
      </c>
      <c r="N54" s="275">
        <f t="shared" si="9"/>
        <v>1.875</v>
      </c>
      <c r="O54" s="275">
        <f t="shared" si="9"/>
        <v>1.875</v>
      </c>
      <c r="P54" s="275">
        <f t="shared" si="9"/>
        <v>1.875</v>
      </c>
      <c r="Q54" s="275">
        <f t="shared" si="9"/>
        <v>1.875</v>
      </c>
      <c r="R54" s="275">
        <f t="shared" si="9"/>
        <v>1.875</v>
      </c>
      <c r="S54" s="275">
        <f t="shared" si="9"/>
        <v>1.875</v>
      </c>
      <c r="T54" s="275">
        <f t="shared" si="9"/>
        <v>1.875</v>
      </c>
      <c r="U54" s="275">
        <f t="shared" si="9"/>
        <v>1.875</v>
      </c>
      <c r="V54" s="275">
        <f t="shared" si="9"/>
        <v>1.875</v>
      </c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6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6">
      <c r="A56" s="274" t="s">
        <v>277</v>
      </c>
      <c r="B56" s="263"/>
      <c r="C56" s="275">
        <f t="shared" ref="C56:V56" ca="1" si="10">C54+C50</f>
        <v>1.875</v>
      </c>
      <c r="D56" s="275">
        <f t="shared" ca="1" si="10"/>
        <v>612.73671120519998</v>
      </c>
      <c r="E56" s="275">
        <f t="shared" ca="1" si="10"/>
        <v>612.73671120519998</v>
      </c>
      <c r="F56" s="275">
        <f t="shared" ca="1" si="10"/>
        <v>365.40005099476804</v>
      </c>
      <c r="G56" s="275">
        <f t="shared" ca="1" si="10"/>
        <v>365.40005099476804</v>
      </c>
      <c r="H56" s="275">
        <f t="shared" ca="1" si="10"/>
        <v>365.40005099476804</v>
      </c>
      <c r="I56" s="275">
        <f t="shared" ca="1" si="10"/>
        <v>365.40005099476804</v>
      </c>
      <c r="J56" s="275">
        <f t="shared" ca="1" si="10"/>
        <v>365.40005099476804</v>
      </c>
      <c r="K56" s="275">
        <f t="shared" ca="1" si="10"/>
        <v>365.40005099476804</v>
      </c>
      <c r="L56" s="275">
        <f t="shared" ca="1" si="10"/>
        <v>365.40005099476804</v>
      </c>
      <c r="M56" s="275">
        <f t="shared" ca="1" si="10"/>
        <v>365.40005099476804</v>
      </c>
      <c r="N56" s="275">
        <f t="shared" ca="1" si="10"/>
        <v>365.40005099476804</v>
      </c>
      <c r="O56" s="275">
        <f t="shared" ca="1" si="10"/>
        <v>365.40005099476804</v>
      </c>
      <c r="P56" s="275">
        <f t="shared" ca="1" si="10"/>
        <v>365.40005099476804</v>
      </c>
      <c r="Q56" s="275">
        <f t="shared" ca="1" si="10"/>
        <v>365.40005099476804</v>
      </c>
      <c r="R56" s="275">
        <f t="shared" ca="1" si="10"/>
        <v>365.40005099476804</v>
      </c>
      <c r="S56" s="275">
        <f t="shared" ca="1" si="10"/>
        <v>365.40005099476804</v>
      </c>
      <c r="T56" s="275">
        <f t="shared" ca="1" si="10"/>
        <v>365.40005099476804</v>
      </c>
      <c r="U56" s="275">
        <f t="shared" ca="1" si="10"/>
        <v>365.40005099476804</v>
      </c>
      <c r="V56" s="275">
        <f t="shared" ca="1" si="10"/>
        <v>365.40005099476804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6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6">
      <c r="A58" s="274" t="s">
        <v>278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6">
      <c r="A59" s="263" t="s">
        <v>177</v>
      </c>
      <c r="B59" s="263">
        <f>'ASSUM 1'!M30</f>
        <v>45</v>
      </c>
      <c r="C59" s="275">
        <f ca="1">FUEL!C88/365.25*$B$59</f>
        <v>298.46448466012345</v>
      </c>
      <c r="D59" s="275">
        <f ca="1">FUEL!D88/365.25*$B$59</f>
        <v>921.50063852174071</v>
      </c>
      <c r="E59" s="275">
        <f ca="1">FUEL!E88/365.25*$B$59</f>
        <v>1030.3864408514121</v>
      </c>
      <c r="F59" s="275">
        <f ca="1">FUEL!F88/365.25*$B$59</f>
        <v>1091.3543891500274</v>
      </c>
      <c r="G59" s="275">
        <f ca="1">FUEL!G88/365.25*$B$59</f>
        <v>1065.6103175663491</v>
      </c>
      <c r="H59" s="275">
        <f ca="1">FUEL!H88/365.25*$B$59</f>
        <v>1039.6724474411835</v>
      </c>
      <c r="I59" s="275">
        <f ca="1">FUEL!I88/365.25*$B$59</f>
        <v>1101.4076411303554</v>
      </c>
      <c r="J59" s="275">
        <f ca="1">FUEL!J88/365.25*$B$59</f>
        <v>1160.0723993993763</v>
      </c>
      <c r="K59" s="275">
        <f ca="1">FUEL!K88/365.25*$B$59</f>
        <v>1182.4001146328392</v>
      </c>
      <c r="L59" s="275">
        <f ca="1">FUEL!L88/365.25*$B$59</f>
        <v>1194.5407928046918</v>
      </c>
      <c r="M59" s="275">
        <f ca="1">FUEL!M88/365.25*$B$59</f>
        <v>1217.0038561148881</v>
      </c>
      <c r="N59" s="275">
        <f ca="1">FUEL!N88/365.25*$B$59</f>
        <v>1232.1158297833026</v>
      </c>
      <c r="O59" s="275">
        <f ca="1">FUEL!O88/365.25*$B$59</f>
        <v>1301.661614760709</v>
      </c>
      <c r="P59" s="275">
        <f ca="1">FUEL!P88/365.25*$B$59</f>
        <v>1313.183905454066</v>
      </c>
      <c r="Q59" s="275">
        <f ca="1">FUEL!Q88/365.25*$B$59</f>
        <v>1365.0803187839247</v>
      </c>
      <c r="R59" s="275">
        <f ca="1">FUEL!R88/365.25*$B$59</f>
        <v>1398.8734090548785</v>
      </c>
      <c r="S59" s="275">
        <f ca="1">FUEL!S88/365.25*$B$59</f>
        <v>1449.9416827774983</v>
      </c>
      <c r="T59" s="275">
        <f ca="1">FUEL!T88/365.25*$B$59</f>
        <v>1480.0606883921093</v>
      </c>
      <c r="U59" s="275">
        <f ca="1">FUEL!U88/365.25*$B$59</f>
        <v>1523.1026804781914</v>
      </c>
      <c r="V59" s="275">
        <f ca="1">FUEL!V88/365.25*$B$59</f>
        <v>1512.293644481503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6">
      <c r="A60" s="263" t="s">
        <v>178</v>
      </c>
      <c r="B60" s="263">
        <f>'ASSUM 1'!M29</f>
        <v>30</v>
      </c>
      <c r="C60" s="278">
        <f t="shared" ref="C60:V60" ca="1" si="11">C34/365.25*$B$60</f>
        <v>184.11637651254745</v>
      </c>
      <c r="D60" s="278">
        <f t="shared" ca="1" si="11"/>
        <v>492.74618966407439</v>
      </c>
      <c r="E60" s="278">
        <f t="shared" ca="1" si="11"/>
        <v>505.80874735226564</v>
      </c>
      <c r="F60" s="278">
        <f t="shared" ca="1" si="11"/>
        <v>498.00310806928144</v>
      </c>
      <c r="G60" s="278">
        <f t="shared" ca="1" si="11"/>
        <v>506.97494811887316</v>
      </c>
      <c r="H60" s="278">
        <f t="shared" ca="1" si="11"/>
        <v>511.77924006191529</v>
      </c>
      <c r="I60" s="278">
        <f t="shared" ca="1" si="11"/>
        <v>528.06387573631207</v>
      </c>
      <c r="J60" s="278">
        <f t="shared" ca="1" si="11"/>
        <v>544.90503656163173</v>
      </c>
      <c r="K60" s="278">
        <f t="shared" ca="1" si="11"/>
        <v>556.92612796920287</v>
      </c>
      <c r="L60" s="278">
        <f t="shared" ca="1" si="11"/>
        <v>567.52255073213644</v>
      </c>
      <c r="M60" s="278">
        <f t="shared" ca="1" si="11"/>
        <v>580.24994655684134</v>
      </c>
      <c r="N60" s="278">
        <f t="shared" ca="1" si="11"/>
        <v>591.76314284539671</v>
      </c>
      <c r="O60" s="278">
        <f t="shared" ca="1" si="11"/>
        <v>606.64570759597939</v>
      </c>
      <c r="P60" s="278">
        <f t="shared" ca="1" si="11"/>
        <v>617.99763151069021</v>
      </c>
      <c r="Q60" s="278">
        <f t="shared" ca="1" si="11"/>
        <v>635.56016009122334</v>
      </c>
      <c r="R60" s="278">
        <f t="shared" ca="1" si="11"/>
        <v>651.50430051647299</v>
      </c>
      <c r="S60" s="278">
        <f t="shared" ca="1" si="11"/>
        <v>669.75311926525114</v>
      </c>
      <c r="T60" s="278">
        <f t="shared" ca="1" si="11"/>
        <v>685.06990328533527</v>
      </c>
      <c r="U60" s="278">
        <f t="shared" ca="1" si="11"/>
        <v>701.98108327251055</v>
      </c>
      <c r="V60" s="278">
        <f t="shared" ca="1" si="11"/>
        <v>712.06411406387724</v>
      </c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6">
      <c r="A61" s="263"/>
      <c r="B61" s="263"/>
      <c r="C61" s="275">
        <f t="shared" ref="C61:V61" ca="1" si="12">C60+C59</f>
        <v>482.58086117267089</v>
      </c>
      <c r="D61" s="275">
        <f t="shared" ca="1" si="12"/>
        <v>1414.246828185815</v>
      </c>
      <c r="E61" s="275">
        <f t="shared" ca="1" si="12"/>
        <v>1536.1951882036778</v>
      </c>
      <c r="F61" s="275">
        <f t="shared" ca="1" si="12"/>
        <v>1589.3574972193087</v>
      </c>
      <c r="G61" s="275">
        <f t="shared" ca="1" si="12"/>
        <v>1572.5852656852221</v>
      </c>
      <c r="H61" s="275">
        <f t="shared" ca="1" si="12"/>
        <v>1551.4516875030988</v>
      </c>
      <c r="I61" s="275">
        <f t="shared" ca="1" si="12"/>
        <v>1629.4715168666676</v>
      </c>
      <c r="J61" s="275">
        <f t="shared" ca="1" si="12"/>
        <v>1704.977435961008</v>
      </c>
      <c r="K61" s="275">
        <f t="shared" ca="1" si="12"/>
        <v>1739.3262426020419</v>
      </c>
      <c r="L61" s="275">
        <f t="shared" ca="1" si="12"/>
        <v>1762.0633435368281</v>
      </c>
      <c r="M61" s="275">
        <f t="shared" ca="1" si="12"/>
        <v>1797.2538026717293</v>
      </c>
      <c r="N61" s="275">
        <f t="shared" ca="1" si="12"/>
        <v>1823.8789726286993</v>
      </c>
      <c r="O61" s="275">
        <f t="shared" ca="1" si="12"/>
        <v>1908.3073223566885</v>
      </c>
      <c r="P61" s="275">
        <f t="shared" ca="1" si="12"/>
        <v>1931.1815369647561</v>
      </c>
      <c r="Q61" s="275">
        <f t="shared" ca="1" si="12"/>
        <v>2000.6404788751479</v>
      </c>
      <c r="R61" s="275">
        <f t="shared" ca="1" si="12"/>
        <v>2050.3777095713513</v>
      </c>
      <c r="S61" s="275">
        <f t="shared" ca="1" si="12"/>
        <v>2119.6948020427494</v>
      </c>
      <c r="T61" s="275">
        <f t="shared" ca="1" si="12"/>
        <v>2165.1305916774445</v>
      </c>
      <c r="U61" s="275">
        <f t="shared" ca="1" si="12"/>
        <v>2225.083763750702</v>
      </c>
      <c r="V61" s="275">
        <f t="shared" ca="1" si="12"/>
        <v>2224.3577585453804</v>
      </c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6">
      <c r="A62" s="263" t="s">
        <v>279</v>
      </c>
      <c r="B62" s="263"/>
      <c r="C62" s="279"/>
      <c r="D62" s="275">
        <f ca="1">IF(D6&lt;3,+D61-'ASSUM 1'!N31,D61-C61)-IF(D6='ASSUM 1'!D36,D61,0)</f>
        <v>0</v>
      </c>
      <c r="E62" s="275">
        <f ca="1">IF(E6&lt;3,+E61-'ASSUM 1'!N31,E61-D61)-IF(E6='ASSUM 1'!D36,E61,0)</f>
        <v>121.9483600178628</v>
      </c>
      <c r="F62" s="275">
        <f ca="1">IF(F6&lt;3,+F61-'ASSUM 1'!N31,F61-E61)-IF(F6='ASSUM 1'!D36,F61,0)</f>
        <v>53.162309015630854</v>
      </c>
      <c r="G62" s="275">
        <f ca="1">IF(G6&lt;3,+G61-'ASSUM 1'!N31,G61-F61)-IF(G6='ASSUM 1'!D36,G61,0)</f>
        <v>-16.772231534086586</v>
      </c>
      <c r="H62" s="275">
        <f ca="1">IF(H6&lt;3,+H61-'ASSUM 1'!N31,H61-G61)-IF(H6='ASSUM 1'!D36,H61,0)</f>
        <v>-21.133578182123301</v>
      </c>
      <c r="I62" s="275">
        <f ca="1">IF(I6&lt;3,+I61-'ASSUM 1'!N31,I61-H61)-IF(I6='ASSUM 1'!D36,I61,0)</f>
        <v>78.019829363568761</v>
      </c>
      <c r="J62" s="275">
        <f ca="1">IF(J6&lt;3,+J61-'ASSUM 1'!N31,J61-I61)-IF(J6='ASSUM 1'!D36,J61,0)</f>
        <v>75.50591909434047</v>
      </c>
      <c r="K62" s="275">
        <f ca="1">IF(K6&lt;3,+K61-'ASSUM 1'!N31,K61-J61)-IF(K6='ASSUM 1'!D36,K61,0)</f>
        <v>34.348806641033889</v>
      </c>
      <c r="L62" s="275">
        <f ca="1">IF(L6&lt;3,+L61-'ASSUM 1'!N31,L61-K61)-IF(L6='ASSUM 1'!D36,L61,0)</f>
        <v>22.737100934786213</v>
      </c>
      <c r="M62" s="275">
        <f ca="1">IF(M6&lt;3,+M61-'ASSUM 1'!N31,M61-L61)-IF(M6='ASSUM 1'!D36,M61,0)</f>
        <v>35.190459134901175</v>
      </c>
      <c r="N62" s="275">
        <f ca="1">IF(N6&lt;3,+N61-'ASSUM 1'!N31,N61-M61)-IF(N6='ASSUM 1'!D36,N61,0)</f>
        <v>26.625169956970012</v>
      </c>
      <c r="O62" s="275">
        <f ca="1">IF(O6&lt;3,+O61-'ASSUM 1'!N31,O61-N61)-IF(O6='ASSUM 1'!D36,O61,0)</f>
        <v>84.428349727989144</v>
      </c>
      <c r="P62" s="275">
        <f ca="1">IF(P6&lt;3,+P61-'ASSUM 1'!N31,P61-O61)-IF(P6='ASSUM 1'!D36,P61,0)</f>
        <v>22.874214608067632</v>
      </c>
      <c r="Q62" s="275">
        <f ca="1">IF(Q6&lt;3,+Q61-'ASSUM 1'!N31,Q61-P61)-IF(Q6='ASSUM 1'!D36,Q61,0)</f>
        <v>69.458941910391786</v>
      </c>
      <c r="R62" s="275">
        <f ca="1">IF(R6&lt;3,+R61-'ASSUM 1'!N31,R61-Q61)-IF(R6='ASSUM 1'!D36,R61,0)</f>
        <v>49.737230696203369</v>
      </c>
      <c r="S62" s="275">
        <f ca="1">IF(S6&lt;3,+S61-'ASSUM 1'!N31,S61-R61)-IF(S6='ASSUM 1'!D36,S61,0)</f>
        <v>69.317092471398155</v>
      </c>
      <c r="T62" s="275">
        <f ca="1">IF(T6&lt;3,+T61-'ASSUM 1'!N31,T61-S61)-IF(T6='ASSUM 1'!D36,T61,0)</f>
        <v>45.435789634695084</v>
      </c>
      <c r="U62" s="275">
        <f ca="1">IF(U6&lt;3,+U61-'ASSUM 1'!N31,U61-T61)-IF(U6='ASSUM 1'!D36,U61,0)</f>
        <v>59.95317207325752</v>
      </c>
      <c r="V62" s="275">
        <f ca="1">IF(V6&lt;3,+V61-'ASSUM 1'!N31,V61-U61)-IF(V6='ASSUM 1'!D36,V61,0)</f>
        <v>-2225.083763750702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6">
      <c r="A63" s="263"/>
      <c r="B63" s="280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6">
      <c r="B64" s="281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6"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6"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6"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6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6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6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6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6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6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6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6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6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6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6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6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6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6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6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6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6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6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6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6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6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6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6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6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6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6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6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6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6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6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6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6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6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6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6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6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6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6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6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6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6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6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6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6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6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6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6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6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6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6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6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6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6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6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6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6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6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6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6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6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6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6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6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6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6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6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6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6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6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6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6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6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6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6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6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6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6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6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6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6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6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6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6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6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6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6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6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6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6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6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6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6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6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6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6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6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6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6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6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6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6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6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6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6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6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6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6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6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6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6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I24" sqref="I24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-OandM!C43</f>
        <v>-17.9725</v>
      </c>
      <c r="D26" s="752">
        <f ca="1">-OandM!D43</f>
        <v>-90.326909399999991</v>
      </c>
      <c r="E26" s="752">
        <f ca="1">-OandM!E43</f>
        <v>-164.6348878538</v>
      </c>
      <c r="F26" s="752">
        <f ca="1">-OandM!F43</f>
        <v>-240.94918172585255</v>
      </c>
      <c r="G26" s="752">
        <f ca="1">-OandM!G43</f>
        <v>-319.32396153245054</v>
      </c>
      <c r="H26" s="752">
        <f ca="1">-OandM!H43</f>
        <v>-399.81486039382662</v>
      </c>
      <c r="I26" s="752">
        <f ca="1">-OandM!I43</f>
        <v>-482.4790135244599</v>
      </c>
      <c r="J26" s="752">
        <f ca="1">-OandM!J43</f>
        <v>-567.37509878962021</v>
      </c>
      <c r="K26" s="752">
        <f ca="1">-OandM!K43</f>
        <v>-654.56337835693989</v>
      </c>
      <c r="L26" s="752">
        <f ca="1">-OandM!L43</f>
        <v>-744.10574147257717</v>
      </c>
      <c r="M26" s="752">
        <f ca="1">-OandM!M43</f>
        <v>-836.06574839233656</v>
      </c>
      <c r="N26" s="752">
        <f ca="1">-OandM!N43</f>
        <v>-930.50867549892962</v>
      </c>
      <c r="O26" s="752">
        <f ca="1">-OandM!O43</f>
        <v>0</v>
      </c>
      <c r="P26" s="752">
        <f ca="1">-OandM!P43</f>
        <v>-99.611694064209701</v>
      </c>
      <c r="Q26" s="752">
        <f ca="1">-OandM!Q43</f>
        <v>-201.91290386815305</v>
      </c>
      <c r="R26" s="752">
        <f ca="1">-OandM!R43</f>
        <v>-306.97624633680289</v>
      </c>
      <c r="S26" s="752">
        <f ca="1">-OandM!S43</f>
        <v>-414.87629905210616</v>
      </c>
      <c r="T26" s="752">
        <f ca="1">-OandM!T43</f>
        <v>-525.68965319072265</v>
      </c>
      <c r="U26" s="752">
        <f ca="1">-OandM!U43</f>
        <v>-639.49496789108184</v>
      </c>
      <c r="V26" s="740">
        <f ca="1">-OandM!V43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81640625" defaultRowHeight="15.6"/>
  <cols>
    <col min="1" max="1" width="20.81640625" style="317" customWidth="1"/>
    <col min="2" max="2" width="10.4531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OandM!C62</f>
        <v>0</v>
      </c>
      <c r="D19" s="327">
        <f ca="1">OandM!D62</f>
        <v>0</v>
      </c>
      <c r="E19" s="327">
        <f ca="1">OandM!E62</f>
        <v>121.9483600178628</v>
      </c>
      <c r="F19" s="327">
        <f ca="1">OandM!F62</f>
        <v>53.162309015630854</v>
      </c>
      <c r="G19" s="327">
        <f ca="1">OandM!G62</f>
        <v>-16.772231534086586</v>
      </c>
      <c r="H19" s="327">
        <f ca="1">OandM!H62</f>
        <v>-21.133578182123301</v>
      </c>
      <c r="I19" s="327">
        <f ca="1">OandM!I62</f>
        <v>78.019829363568761</v>
      </c>
      <c r="J19" s="327">
        <f ca="1">OandM!J62</f>
        <v>75.50591909434047</v>
      </c>
      <c r="K19" s="327">
        <f ca="1">OandM!K62</f>
        <v>34.348806641033889</v>
      </c>
      <c r="L19" s="327">
        <f ca="1">OandM!L62</f>
        <v>22.737100934786213</v>
      </c>
      <c r="M19" s="327">
        <f ca="1">OandM!M62</f>
        <v>35.190459134901175</v>
      </c>
      <c r="N19" s="327">
        <f ca="1">OandM!N62</f>
        <v>26.625169956970012</v>
      </c>
      <c r="O19" s="327">
        <f ca="1">OandM!O62</f>
        <v>84.428349727989144</v>
      </c>
      <c r="P19" s="327">
        <f ca="1">OandM!P62</f>
        <v>22.874214608067632</v>
      </c>
      <c r="Q19" s="327">
        <f ca="1">OandM!Q62</f>
        <v>69.458941910391786</v>
      </c>
      <c r="R19" s="327">
        <f ca="1">OandM!R62</f>
        <v>49.737230696203369</v>
      </c>
      <c r="S19" s="327">
        <f ca="1">OandM!S62</f>
        <v>69.317092471398155</v>
      </c>
      <c r="T19" s="327">
        <f ca="1">OandM!T62</f>
        <v>45.435789634695084</v>
      </c>
      <c r="U19" s="327">
        <f ca="1">OandM!U62</f>
        <v>59.95317207325752</v>
      </c>
      <c r="V19" s="327">
        <f ca="1">OandM!V62</f>
        <v>-2225.083763750702</v>
      </c>
      <c r="W19" s="326"/>
    </row>
    <row r="20" spans="1:23">
      <c r="A20" s="331" t="s">
        <v>306</v>
      </c>
      <c r="C20" s="328">
        <f ca="1">IF(C6='ASSUM 1'!$D$36,-OandM!C42,0)</f>
        <v>0</v>
      </c>
      <c r="D20" s="328">
        <f ca="1">IF(D6='ASSUM 1'!$D$36,-OandM!D42,0)</f>
        <v>0</v>
      </c>
      <c r="E20" s="328">
        <f ca="1">IF(E6='ASSUM 1'!$D$36,-OandM!E42,0)</f>
        <v>0</v>
      </c>
      <c r="F20" s="328">
        <f ca="1">IF(F6='ASSUM 1'!$D$36,-OandM!F42,0)</f>
        <v>0</v>
      </c>
      <c r="G20" s="328">
        <f ca="1">IF(G6='ASSUM 1'!$D$36,-OandM!G42,0)</f>
        <v>0</v>
      </c>
      <c r="H20" s="328">
        <f ca="1">IF(H6='ASSUM 1'!$D$36,-OandM!H42,0)</f>
        <v>0</v>
      </c>
      <c r="I20" s="328">
        <f ca="1">IF(I6='ASSUM 1'!$D$36,-OandM!I42,0)</f>
        <v>0</v>
      </c>
      <c r="J20" s="328">
        <f ca="1">IF(J6='ASSUM 1'!$D$36,-OandM!J42,0)</f>
        <v>0</v>
      </c>
      <c r="K20" s="328">
        <f ca="1">IF(K6='ASSUM 1'!$D$36,-OandM!K42,0)</f>
        <v>0</v>
      </c>
      <c r="L20" s="328">
        <f ca="1">IF(L6='ASSUM 1'!$D$36,-OandM!L42,0)</f>
        <v>0</v>
      </c>
      <c r="M20" s="328">
        <f ca="1">IF(M6='ASSUM 1'!$D$36,-OandM!M42,0)</f>
        <v>0</v>
      </c>
      <c r="N20" s="328">
        <f ca="1">IF(N6='ASSUM 1'!$D$36,-OandM!N42,0)</f>
        <v>0</v>
      </c>
      <c r="O20" s="328">
        <f ca="1">IF(O6='ASSUM 1'!$D$36,-OandM!O42,0)</f>
        <v>0</v>
      </c>
      <c r="P20" s="328">
        <f ca="1">IF(P6='ASSUM 1'!$D$36,-OandM!P42,0)</f>
        <v>0</v>
      </c>
      <c r="Q20" s="328">
        <f ca="1">IF(Q6='ASSUM 1'!$D$36,-OandM!Q42,0)</f>
        <v>0</v>
      </c>
      <c r="R20" s="328">
        <f ca="1">IF(R6='ASSUM 1'!$D$36,-OandM!R42,0)</f>
        <v>0</v>
      </c>
      <c r="S20" s="328">
        <f ca="1">IF(S6='ASSUM 1'!$D$36,-OandM!S42,0)</f>
        <v>0</v>
      </c>
      <c r="T20" s="328">
        <f ca="1">IF(T6='ASSUM 1'!$D$36,-OandM!T42,0)</f>
        <v>0</v>
      </c>
      <c r="U20" s="328">
        <f ca="1">IF(U6='ASSUM 1'!$D$36,-OandM!U42,0)</f>
        <v>0</v>
      </c>
      <c r="V20" s="328">
        <f ca="1">IF(V6='ASSUM 1'!$D$36,-OandM!V42,0)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Havlíček Jan</cp:lastModifiedBy>
  <cp:lastPrinted>2000-02-06T23:55:50Z</cp:lastPrinted>
  <dcterms:created xsi:type="dcterms:W3CDTF">1999-12-08T16:02:11Z</dcterms:created>
  <dcterms:modified xsi:type="dcterms:W3CDTF">2023-09-10T11:56:25Z</dcterms:modified>
</cp:coreProperties>
</file>