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AX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AV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AV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<sst xmlns="http://schemas.openxmlformats.org/spreadsheetml/2006/main" count="2150" uniqueCount="589">
  <si>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</si>
  <si>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</si>
  <si>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</si>
  <si>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</si>
  <si>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</si>
  <si>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</si>
  <si>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</si>
  <si>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</si>
  <si>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</si>
  <si>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</si>
  <si>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</si>
  <si>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</si>
  <si>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</si>
  <si>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</si>
  <si>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</si>
  <si>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</si>
  <si>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</si>
  <si>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</si>
  <si>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</si>
  <si>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</si>
  <si>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</si>
  <si>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</si>
  <si>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</si>
  <si>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</si>
  <si>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</si>
  <si>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</si>
  <si>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</si>
  <si>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</si>
  <si>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</si>
  <si>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</si>
  <si>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</si>
  <si>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</si>
  <si>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</si>
  <si>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</si>
  <si>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</si>
  <si>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</si>
  <si>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</si>
  <si>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</si>
  <si>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</si>
  <si>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</si>
  <si>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</si>
  <si>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</si>
  <si>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</si>
  <si>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</si>
  <si>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</si>
  <si>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</si>
  <si>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</si>
  <si>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</si>
  <si>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</si>
  <si>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</si>
  <si>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</si>
  <si>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</si>
  <si>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</si>
  <si>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</si>
  <si>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</si>
  <si>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</si>
  <si>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</si>
  <si>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</si>
  <si>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</si>
  <si>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</si>
  <si>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</si>
  <si>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</si>
  <si>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</si>
  <si>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</si>
  <si>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</si>
  <si>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</si>
  <si>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</si>
  <si>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</si>
  <si>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</si>
  <si>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</si>
  <si>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</si>
  <si>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</si>
  <si>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</si>
  <si>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</si>
  <si>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</si>
  <si>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</si>
  <si>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</si>
  <si>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</si>
  <si>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</si>
  <si>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</si>
  <si>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</si>
  <si>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</si>
  <si>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</si>
  <si>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</si>
  <si>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</si>
  <si>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</si>
  <si>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</si>
  <si>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</si>
  <si>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</si>
  <si>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</si>
  <si>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</si>
  <si>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</si>
  <si>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</si>
  <si>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</si>
  <si>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</si>
  <si>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</si>
  <si>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</si>
  <si>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</si>
  <si>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</si>
  <si>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</si>
  <si>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</si>
  <si>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</si>
  <si>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</si>
  <si>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</si>
  <si>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</si>
  <si>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</si>
  <si>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</si>
  <si>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</si>
  <si>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</si>
  <si>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</si>
  <si>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</si>
  <si>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</si>
  <si>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</si>
  <si>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</si>
  <si>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</si>
  <si>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</si>
  <si>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</si>
  <si>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</si>
  <si>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</si>
  <si>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</si>
  <si>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</si>
  <si>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</si>
  <si>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</si>
  <si>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</si>
  <si>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</si>
  <si>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</si>
  <si>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</si>
  <si>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</si>
  <si>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</si>
  <si>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</si>
  <si>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</si>
  <si>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</si>
  <si>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</si>
  <si>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</si>
  <si>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</si>
  <si>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</si>
  <si>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</si>
  <si>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</si>
  <si>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</si>
  <si>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</si>
  <si>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</si>
  <si>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</si>
  <si>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</si>
  <si>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</si>
  <si>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</si>
  <si>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</si>
  <si>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</si>
  <si>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</si>
  <si>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</si>
  <si>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</si>
  <si>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</si>
  <si>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</si>
  <si>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</si>
  <si>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</si>
  <si>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</si>
  <si>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</si>
  <si>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</si>
  <si>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</si>
  <si>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</si>
  <si>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</si>
  <si>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</si>
  <si>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</si>
  <si>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</si>
  <si>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</si>
  <si>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</si>
  <si>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</si>
  <si>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</si>
  <si>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</si>
  <si>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</si>
  <si>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</si>
  <si>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</si>
  <si>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</si>
  <si>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</si>
  <si>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</si>
  <si>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</si>
  <si>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</si>
  <si>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</si>
  <si>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</si>
  <si>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</si>
  <si>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</si>
  <si>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</si>
  <si>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</si>
  <si>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</si>
  <si>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</si>
  <si>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</si>
  <si>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</si>
  <si>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</si>
  <si>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</si>
  <si>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</si>
  <si>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</si>
  <si>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</si>
  <si>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</si>
  <si>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</si>
  <si>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</si>
  <si>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</si>
  <si>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</si>
  <si>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</si>
  <si>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</si>
  <si>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</si>
  <si>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</si>
  <si>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</si>
  <si>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</si>
  <si>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</si>
  <si>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</si>
  <si>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</si>
  <si>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</si>
  <si>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</si>
  <si>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</si>
  <si>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</si>
  <si>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</si>
  <si>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</si>
  <si>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</si>
  <si>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</si>
  <si>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</si>
  <si>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</si>
  <si>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</si>
  <si>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</si>
  <si>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</si>
  <si>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</si>
  <si>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</si>
  <si>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</si>
  <si>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</si>
  <si>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</si>
  <si>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</si>
  <si>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</si>
  <si>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</si>
  <si>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</si>
  <si>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</si>
  <si>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</si>
  <si>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</si>
  <si>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</si>
  <si>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</si>
  <si>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</si>
  <si>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</si>
  <si>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</si>
  <si>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</si>
  <si>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</si>
  <si>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</si>
  <si>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</si>
  <si>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</si>
  <si>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</si>
  <si>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</si>
  <si>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</si>
  <si>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</si>
  <si>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</si>
  <si>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</si>
  <si>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</si>
  <si>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</si>
  <si>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</si>
  <si>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</si>
  <si>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</si>
  <si>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</si>
  <si>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</si>
  <si>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</si>
  <si>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</si>
  <si>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</si>
  <si>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</si>
  <si>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</si>
  <si>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</si>
  <si>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</si>
  <si>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</si>
  <si>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</si>
  <si>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</si>
  <si>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</si>
  <si>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</si>
  <si>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</si>
  <si>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</si>
  <si>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</si>
  <si>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</si>
  <si>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</si>
  <si>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</si>
  <si>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</si>
  <si>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</si>
  <si>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</si>
  <si>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</si>
  <si>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</si>
  <si>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</si>
  <si>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</si>
  <si>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</si>
  <si>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</si>
  <si>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</si>
  <si>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</si>
  <si>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</si>
  <si>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</si>
  <si>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</si>
  <si>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</si>
  <si>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</si>
  <si>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</si>
  <si>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</si>
  <si>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</si>
  <si>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</si>
  <si>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</si>
  <si>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</si>
  <si>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</si>
  <si>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</si>
  <si>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</si>
  <si>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</si>
  <si>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</si>
  <si>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</si>
  <si>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</si>
  <si>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</si>
  <si>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</si>
  <si>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</si>
  <si>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</si>
  <si>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</si>
  <si>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</si>
  <si>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</si>
  <si>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</si>
  <si>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</si>
  <si>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</si>
  <si>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</si>
  <si>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</si>
  <si>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</si>
  <si>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</si>
  <si>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</si>
  <si>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</si>
  <si>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</si>
  <si>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</si>
  <si>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</si>
  <si>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</si>
  <si>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</si>
  <si>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</si>
  <si>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</si>
  <si>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</si>
  <si>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</si>
  <si>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</si>
  <si>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</si>
  <si>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</si>
  <si>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</si>
  <si>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</si>
  <si>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</si>
  <si>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</si>
  <si>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</si>
  <si>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</si>
  <si>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</si>
  <si>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</si>
  <si>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</si>
  <si>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</si>
  <si>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</si>
  <si>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</si>
  <si>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</si>
  <si>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</si>
  <si>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</si>
  <si>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</si>
  <si>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</si>
  <si>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</si>
  <si>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</si>
  <si>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</si>
  <si>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</si>
  <si>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</si>
  <si>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</si>
  <si>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</si>
  <si>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</si>
  <si>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</si>
  <si>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</si>
  <si>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</si>
  <si>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</si>
  <si>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</si>
  <si>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</si>
  <si>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</si>
  <si>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</si>
  <si>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</si>
  <si>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</si>
  <si>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</si>
  <si>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</si>
  <si>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</si>
  <si>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</si>
  <si>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</si>
  <si>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</si>
  <si>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</si>
  <si>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</si>
  <si>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</si>
  <si>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</si>
  <si>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</si>
  <si>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</si>
  <si>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</si>
  <si>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</si>
  <si>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</si>
  <si>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</si>
  <si>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</si>
  <si>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</si>
  <si>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</si>
  <si>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</si>
  <si>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</si>
  <si>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</si>
  <si>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</si>
  <si>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</si>
  <si>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</si>
  <si>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</si>
  <si>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</si>
  <si>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</si>
  <si>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</si>
  <si>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</si>
  <si>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</si>
  <si>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</si>
  <si>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</si>
  <si>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</si>
  <si>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</si>
  <si>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</si>
  <si>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</si>
  <si>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</si>
  <si>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</si>
  <si>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</si>
  <si>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</si>
  <si>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</si>
  <si>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</si>
  <si>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</si>
  <si>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</si>
  <si>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</si>
  <si>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</si>
  <si>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</si>
  <si>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</si>
  <si>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</si>
  <si>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</si>
  <si>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</si>
  <si>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</si>
  <si>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</si>
  <si>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</si>
  <si>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</si>
  <si>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</si>
  <si>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</si>
  <si>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</si>
  <si>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</si>
  <si>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</si>
  <si>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</si>
  <si>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</si>
  <si>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</si>
  <si>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</si>
  <si>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</si>
  <si>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</si>
  <si>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</si>
  <si>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</si>
  <si>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</si>
  <si>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</si>
  <si>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</si>
  <si>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</si>
  <si>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</si>
  <si>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</si>
  <si>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</si>
  <si>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</si>
  <si>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</si>
  <si>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</si>
  <si>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</si>
  <si>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</si>
  <si>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</si>
  <si>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</si>
  <si>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</si>
  <si>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</si>
  <si>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</si>
  <si>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</si>
  <si>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</si>
  <si>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</si>
  <si>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</si>
  <si>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</si>
  <si>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</si>
  <si>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</si>
  <si>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</si>
  <si>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</si>
  <si>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</si>
  <si>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</si>
  <si>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</si>
  <si>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</si>
  <si>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</si>
  <si>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</si>
  <si>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</si>
  <si>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</si>
  <si>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</si>
  <si>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</si>
  <si>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</si>
  <si>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</si>
  <si>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</si>
  <si>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</si>
  <si>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</si>
  <si>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</si>
  <si>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</si>
  <si>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</si>
  <si>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</si>
  <si>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</si>
  <si>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</si>
  <si>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</si>
  <si>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</si>
  <si>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</si>
  <si>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</si>
  <si>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</si>
  <si>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</si>
  <si>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</si>
  <si>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</si>
  <si>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</si>
  <si>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</si>
  <si>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</si>
  <si>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</si>
  <si>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</si>
  <si>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</si>
  <si>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</si>
  <si>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</si>
  <si>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</si>
  <si>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</si>
  <si>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</si>
  <si>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</si>
  <si>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</si>
  <si>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</si>
  <si>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</si>
  <si>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</si>
  <si>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</si>
  <si>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</si>
  <si>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</si>
  <si>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</si>
  <si>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</si>
  <si>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</si>
  <si>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</si>
  <si>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</si>
  <si>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</si>
  <si>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</si>
  <si>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</si>
  <si>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</si>
  <si>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</si>
  <si>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</si>
  <si>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</si>
  <si>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</si>
  <si>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</si>
  <si>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</si>
  <si>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</si>
  <si>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</si>
  <si>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</si>
  <si>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</si>
  <si>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</si>
  <si>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</si>
  <si>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</si>
  <si>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</si>
  <si>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</si>
  <si>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</si>
  <si>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</si>
  <si>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</si>
  <si>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</si>
  <si>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</si>
  <si>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</si>
  <si>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</si>
  <si>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</si>
  <si>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</si>
  <si>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</si>
  <si>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</si>
  <si>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</si>
  <si>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</si>
  <si>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</si>
  <si>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</si>
  <si>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</si>
  <si>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</si>
  <si>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</si>
  <si>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</si>
  <si>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</si>
  <si>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</si>
  <si>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</si>
  <si>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</si>
  <si>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</si>
  <si>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</si>
  <si>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</si>
  <si>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</si>
  <si>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</si>
  <si>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</si>
  <si>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</si>
  <si>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</si>
  <si>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</si>
  <si>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</si>
  <si>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</si>
  <si>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</si>
  <si>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</si>
  <si>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</si>
  <si>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</si>
  <si>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</si>
  <si>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</si>
  <si>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</si>
  <si>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</si>
  <si>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</si>
  <si>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</si>
  <si>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</si>
  <si>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</si>
  <si>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</si>
  <si>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</si>
  <si>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</si>
  <si>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</si>
  <si>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</si>
  <si>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</si>
  <si>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</si>
  <si>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Mobilization Fee OEC</t>
  </si>
  <si>
    <t>Reimbursable Cost OEC</t>
  </si>
  <si>
    <t>Reimbursable Costs OEC</t>
  </si>
  <si>
    <t>Reimbursble Costs OEC</t>
  </si>
  <si>
    <t>Revision # 47</t>
  </si>
  <si>
    <t xml:space="preserve"> As of 3/3/00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</si>
</sst>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307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Q40">
            <v>1048965.8687712126</v>
          </cell>
          <cell r="Y40">
            <v>12281537.063464286</v>
          </cell>
        </row>
      </sheetData>
      <sheetData sheetId="4">
        <row r="40">
          <cell r="M40">
            <v>505668.93</v>
          </cell>
          <cell r="N40">
            <v>517447.92267638887</v>
          </cell>
          <cell r="O40">
            <v>557933.42322977481</v>
          </cell>
          <cell r="P40">
            <v>574337.94527365838</v>
          </cell>
          <cell r="Q40">
            <v>616751.79694111284</v>
          </cell>
          <cell r="R40">
            <v>657673.00806343276</v>
          </cell>
          <cell r="Z40">
            <v>11037904.51062776</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Y39">
            <v>9709934.9661760703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9" customWidth="1"/>
    <col min="14" max="14" width="15.33203125" style="379" hidden="1" customWidth="1"/>
    <col min="15" max="15" width="9.88671875" customWidth="1"/>
    <col min="16" max="16" width="41.109375" bestFit="1" customWidth="1"/>
    <col min="17" max="17" width="1.33203125" customWidth="1"/>
    <col min="18" max="19" width="30.664062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389</v>
      </c>
      <c r="G3" s="350" t="s">
        <v>478</v>
      </c>
      <c r="Q3" s="257"/>
    </row>
    <row r="4" spans="1:17" ht="24.6">
      <c r="A4" s="259"/>
      <c r="B4" s="259" t="s">
        <v>390</v>
      </c>
      <c r="C4" s="257"/>
      <c r="D4" s="257"/>
      <c r="E4" s="257"/>
      <c r="F4" s="257"/>
      <c r="G4" s="257"/>
      <c r="H4" s="260"/>
      <c r="I4" s="260"/>
      <c r="J4" s="260"/>
      <c r="K4" s="260"/>
      <c r="L4" s="381"/>
      <c r="M4" s="381"/>
      <c r="N4" s="381"/>
      <c r="O4" s="257"/>
      <c r="P4" s="257"/>
      <c r="Q4" s="257"/>
    </row>
    <row r="5" spans="1:17" ht="21">
      <c r="A5" s="261"/>
      <c r="B5" s="261" t="s">
        <v>391</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6" t="s">
        <v>392</v>
      </c>
      <c r="B7" s="469" t="s">
        <v>393</v>
      </c>
      <c r="C7" s="469" t="s">
        <v>394</v>
      </c>
      <c r="D7" s="469" t="s">
        <v>395</v>
      </c>
      <c r="E7" s="469" t="s">
        <v>396</v>
      </c>
      <c r="F7" s="469" t="s">
        <v>397</v>
      </c>
      <c r="G7" s="463" t="s">
        <v>398</v>
      </c>
      <c r="H7" s="463" t="s">
        <v>399</v>
      </c>
      <c r="I7" s="463" t="s">
        <v>400</v>
      </c>
      <c r="J7" s="463" t="s">
        <v>401</v>
      </c>
      <c r="K7" s="463" t="s">
        <v>402</v>
      </c>
      <c r="L7" s="382" t="s">
        <v>426</v>
      </c>
      <c r="M7" s="382"/>
      <c r="N7" s="382"/>
      <c r="O7" s="469" t="s">
        <v>403</v>
      </c>
      <c r="P7" s="460" t="s">
        <v>404</v>
      </c>
      <c r="Q7" s="262"/>
    </row>
    <row r="8" spans="1:17">
      <c r="A8" s="467"/>
      <c r="B8" s="470"/>
      <c r="C8" s="470"/>
      <c r="D8" s="470"/>
      <c r="E8" s="470"/>
      <c r="F8" s="470"/>
      <c r="G8" s="464"/>
      <c r="H8" s="464"/>
      <c r="I8" s="464"/>
      <c r="J8" s="464"/>
      <c r="K8" s="464"/>
      <c r="L8" s="383" t="s">
        <v>407</v>
      </c>
      <c r="M8" s="383" t="s">
        <v>555</v>
      </c>
      <c r="N8" s="383" t="s">
        <v>559</v>
      </c>
      <c r="O8" s="470"/>
      <c r="P8" s="461"/>
      <c r="Q8" s="263"/>
    </row>
    <row r="9" spans="1:17" ht="31.8" thickBot="1">
      <c r="A9" s="468"/>
      <c r="B9" s="471"/>
      <c r="C9" s="471"/>
      <c r="D9" s="471"/>
      <c r="E9" s="471"/>
      <c r="F9" s="471"/>
      <c r="G9" s="465"/>
      <c r="H9" s="465"/>
      <c r="I9" s="465"/>
      <c r="J9" s="465"/>
      <c r="K9" s="465"/>
      <c r="L9" s="384"/>
      <c r="M9" s="384" t="s">
        <v>558</v>
      </c>
      <c r="N9" s="384" t="s">
        <v>560</v>
      </c>
      <c r="O9" s="471"/>
      <c r="P9" s="462"/>
      <c r="Q9" s="264"/>
    </row>
    <row r="10" spans="1:17" ht="16.2"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405</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406</v>
      </c>
      <c r="B13" s="355" t="s">
        <v>473</v>
      </c>
      <c r="C13" s="335" t="s">
        <v>230</v>
      </c>
      <c r="D13" s="336">
        <v>36383</v>
      </c>
      <c r="E13" s="336">
        <v>36383</v>
      </c>
      <c r="F13" s="335" t="s">
        <v>488</v>
      </c>
      <c r="G13" s="337"/>
      <c r="H13" s="337">
        <v>1225177</v>
      </c>
      <c r="I13" s="338">
        <v>0</v>
      </c>
      <c r="J13" s="338">
        <v>0</v>
      </c>
      <c r="K13" s="338">
        <f>SUM(G13:J13)</f>
        <v>1225177</v>
      </c>
      <c r="L13" s="374">
        <f>-1161792+K13</f>
        <v>63385</v>
      </c>
      <c r="M13" s="374"/>
      <c r="N13" s="374"/>
      <c r="O13" s="335">
        <v>0</v>
      </c>
      <c r="P13" s="389" t="s">
        <v>513</v>
      </c>
      <c r="Q13" s="331"/>
    </row>
    <row r="14" spans="1:17" s="332" customFormat="1" ht="48" customHeight="1">
      <c r="A14" s="352" t="s">
        <v>504</v>
      </c>
      <c r="B14" s="355" t="s">
        <v>505</v>
      </c>
      <c r="C14" s="335" t="s">
        <v>230</v>
      </c>
      <c r="D14" s="336"/>
      <c r="E14" s="336"/>
      <c r="F14" s="335"/>
      <c r="G14" s="337"/>
      <c r="H14" s="337">
        <v>1865140</v>
      </c>
      <c r="I14" s="338"/>
      <c r="J14" s="338"/>
      <c r="K14" s="338">
        <f>SUM(G14:J14)</f>
        <v>1865140</v>
      </c>
      <c r="L14" s="374">
        <v>1707436</v>
      </c>
      <c r="M14" s="374">
        <v>1865140</v>
      </c>
      <c r="N14" s="374"/>
      <c r="O14" s="335"/>
      <c r="P14" s="389" t="s">
        <v>506</v>
      </c>
      <c r="Q14" s="331"/>
    </row>
    <row r="15" spans="1:17" s="332" customFormat="1" ht="91.5" customHeight="1">
      <c r="A15" s="352" t="s">
        <v>508</v>
      </c>
      <c r="B15" s="355" t="s">
        <v>509</v>
      </c>
      <c r="C15" s="335" t="s">
        <v>230</v>
      </c>
      <c r="D15" s="336"/>
      <c r="E15" s="336"/>
      <c r="F15" s="335"/>
      <c r="G15" s="337"/>
      <c r="H15" s="337">
        <v>2415377</v>
      </c>
      <c r="I15" s="338"/>
      <c r="J15" s="338"/>
      <c r="K15" s="338">
        <f>SUM(G15:J15)</f>
        <v>2415377</v>
      </c>
      <c r="L15" s="374">
        <v>0</v>
      </c>
      <c r="M15" s="374">
        <v>2169159</v>
      </c>
      <c r="N15" s="374"/>
      <c r="O15" s="335"/>
      <c r="P15" s="389" t="s">
        <v>510</v>
      </c>
      <c r="Q15" s="331"/>
    </row>
    <row r="16" spans="1:17" s="332" customFormat="1" ht="44.25" customHeight="1">
      <c r="A16" s="352" t="s">
        <v>507</v>
      </c>
      <c r="B16" s="355" t="s">
        <v>511</v>
      </c>
      <c r="C16" s="335" t="s">
        <v>230</v>
      </c>
      <c r="D16" s="336"/>
      <c r="E16" s="336"/>
      <c r="F16" s="335"/>
      <c r="G16" s="337"/>
      <c r="H16" s="337">
        <v>1992155</v>
      </c>
      <c r="I16" s="338"/>
      <c r="J16" s="338"/>
      <c r="K16" s="338">
        <f>SUM(G16:J16)</f>
        <v>1992155</v>
      </c>
      <c r="L16" s="374">
        <v>1258397</v>
      </c>
      <c r="M16" s="374">
        <v>1992155</v>
      </c>
      <c r="N16" s="374"/>
      <c r="O16" s="335"/>
      <c r="P16" s="389" t="s">
        <v>512</v>
      </c>
      <c r="Q16" s="331"/>
    </row>
    <row r="17" spans="1:17" s="332" customFormat="1" ht="44.25" customHeight="1">
      <c r="A17" s="352" t="s">
        <v>556</v>
      </c>
      <c r="B17" s="355" t="s">
        <v>557</v>
      </c>
      <c r="C17" s="335"/>
      <c r="D17" s="336"/>
      <c r="E17" s="336"/>
      <c r="F17" s="335"/>
      <c r="G17" s="337"/>
      <c r="H17" s="337"/>
      <c r="I17" s="338"/>
      <c r="J17" s="338"/>
      <c r="K17" s="338"/>
      <c r="L17" s="374"/>
      <c r="M17" s="374">
        <v>292550</v>
      </c>
      <c r="N17" s="374"/>
      <c r="O17" s="335"/>
      <c r="P17" s="389"/>
      <c r="Q17" s="331"/>
    </row>
    <row r="18" spans="1:17" s="332" customFormat="1">
      <c r="A18" s="352" t="s">
        <v>408</v>
      </c>
      <c r="B18" s="355" t="s">
        <v>409</v>
      </c>
      <c r="C18" s="326" t="s">
        <v>230</v>
      </c>
      <c r="D18" s="327">
        <v>36383</v>
      </c>
      <c r="E18" s="327">
        <v>36383</v>
      </c>
      <c r="F18" s="326" t="s">
        <v>410</v>
      </c>
      <c r="G18" s="328"/>
      <c r="H18" s="328">
        <v>0</v>
      </c>
      <c r="I18" s="329">
        <v>0</v>
      </c>
      <c r="J18" s="329">
        <v>0</v>
      </c>
      <c r="K18" s="329">
        <f t="shared" ref="K18:K41" si="0">SUM(G18:J18)</f>
        <v>0</v>
      </c>
      <c r="L18" s="373"/>
      <c r="M18" s="373"/>
      <c r="N18" s="373"/>
      <c r="O18" s="326">
        <v>0</v>
      </c>
      <c r="P18" s="330" t="s">
        <v>411</v>
      </c>
      <c r="Q18" s="331"/>
    </row>
    <row r="19" spans="1:17" s="332" customFormat="1" ht="51.75" customHeight="1">
      <c r="A19" s="352" t="s">
        <v>412</v>
      </c>
      <c r="B19" s="355" t="s">
        <v>480</v>
      </c>
      <c r="C19" s="335" t="s">
        <v>230</v>
      </c>
      <c r="D19" s="336">
        <v>36383</v>
      </c>
      <c r="E19" s="336"/>
      <c r="F19" s="335" t="s">
        <v>413</v>
      </c>
      <c r="G19" s="337"/>
      <c r="H19" s="337">
        <v>714015</v>
      </c>
      <c r="I19" s="338">
        <v>0</v>
      </c>
      <c r="J19" s="338">
        <v>0</v>
      </c>
      <c r="K19" s="338">
        <f t="shared" si="0"/>
        <v>714015</v>
      </c>
      <c r="L19" s="374">
        <v>381799</v>
      </c>
      <c r="M19" s="374">
        <v>443820</v>
      </c>
      <c r="N19" s="374">
        <f>-256057+698977</f>
        <v>442920</v>
      </c>
      <c r="O19" s="335">
        <v>0</v>
      </c>
      <c r="P19" s="339" t="s">
        <v>414</v>
      </c>
      <c r="Q19" s="331"/>
    </row>
    <row r="20" spans="1:17" s="400" customFormat="1" ht="102.75" customHeight="1">
      <c r="A20" s="390" t="s">
        <v>479</v>
      </c>
      <c r="B20" s="391" t="s">
        <v>481</v>
      </c>
      <c r="C20" s="392" t="s">
        <v>230</v>
      </c>
      <c r="D20" s="393">
        <v>36383</v>
      </c>
      <c r="E20" s="393"/>
      <c r="F20" s="394" t="s">
        <v>413</v>
      </c>
      <c r="G20" s="395"/>
      <c r="H20" s="395">
        <v>3249323</v>
      </c>
      <c r="I20" s="396">
        <v>0</v>
      </c>
      <c r="J20" s="396">
        <v>0</v>
      </c>
      <c r="K20" s="396">
        <f t="shared" si="0"/>
        <v>3249323</v>
      </c>
      <c r="L20" s="397">
        <v>2125513</v>
      </c>
      <c r="M20" s="397">
        <v>2474029</v>
      </c>
      <c r="N20" s="397">
        <f>3184986-1260263</f>
        <v>1924723</v>
      </c>
      <c r="O20" s="394">
        <v>0</v>
      </c>
      <c r="P20" s="398" t="s">
        <v>415</v>
      </c>
      <c r="Q20" s="399"/>
    </row>
    <row r="21" spans="1:17" s="411" customFormat="1" ht="31.5" customHeight="1">
      <c r="A21" s="401"/>
      <c r="B21" s="402" t="s">
        <v>471</v>
      </c>
      <c r="C21" s="403" t="s">
        <v>230</v>
      </c>
      <c r="D21" s="404">
        <v>36383</v>
      </c>
      <c r="E21" s="404"/>
      <c r="F21" s="405" t="s">
        <v>413</v>
      </c>
      <c r="G21" s="406"/>
      <c r="H21" s="406">
        <v>560292</v>
      </c>
      <c r="I21" s="407">
        <v>0</v>
      </c>
      <c r="J21" s="407">
        <v>0</v>
      </c>
      <c r="K21" s="407">
        <f t="shared" si="0"/>
        <v>560292</v>
      </c>
      <c r="L21" s="408">
        <v>0</v>
      </c>
      <c r="M21" s="408"/>
      <c r="N21" s="408"/>
      <c r="O21" s="405">
        <v>0</v>
      </c>
      <c r="P21" s="409" t="s">
        <v>415</v>
      </c>
      <c r="Q21" s="410"/>
    </row>
    <row r="22" spans="1:17" s="332" customFormat="1" ht="109.2">
      <c r="A22" s="352" t="s">
        <v>416</v>
      </c>
      <c r="B22" s="355" t="s">
        <v>472</v>
      </c>
      <c r="C22" s="345" t="s">
        <v>230</v>
      </c>
      <c r="D22" s="346">
        <v>36383</v>
      </c>
      <c r="E22" s="346">
        <v>36454</v>
      </c>
      <c r="F22" s="345" t="s">
        <v>410</v>
      </c>
      <c r="G22" s="347"/>
      <c r="H22" s="347">
        <v>796634</v>
      </c>
      <c r="I22" s="348">
        <v>0</v>
      </c>
      <c r="J22" s="348">
        <v>0</v>
      </c>
      <c r="K22" s="348">
        <f t="shared" si="0"/>
        <v>796634</v>
      </c>
      <c r="L22" s="388">
        <f>K22-28680-15617</f>
        <v>752337</v>
      </c>
      <c r="M22" s="388">
        <v>687700</v>
      </c>
      <c r="N22" s="388"/>
      <c r="O22" s="345">
        <v>0</v>
      </c>
      <c r="P22" s="349"/>
      <c r="Q22" s="331"/>
    </row>
    <row r="23" spans="1:17" s="332" customFormat="1" ht="78">
      <c r="A23" s="352" t="s">
        <v>417</v>
      </c>
      <c r="B23" s="355" t="s">
        <v>486</v>
      </c>
      <c r="C23" s="335" t="s">
        <v>230</v>
      </c>
      <c r="D23" s="336">
        <v>36383</v>
      </c>
      <c r="E23" s="336">
        <v>36454</v>
      </c>
      <c r="F23" s="335" t="s">
        <v>410</v>
      </c>
      <c r="G23" s="337"/>
      <c r="H23" s="337">
        <v>156452</v>
      </c>
      <c r="I23" s="338">
        <v>0</v>
      </c>
      <c r="J23" s="338">
        <v>0</v>
      </c>
      <c r="K23" s="338">
        <f t="shared" si="0"/>
        <v>156452</v>
      </c>
      <c r="L23" s="374">
        <v>156452</v>
      </c>
      <c r="M23" s="374">
        <v>156675</v>
      </c>
      <c r="N23" s="374"/>
      <c r="O23" s="335">
        <v>0</v>
      </c>
      <c r="P23" s="339"/>
      <c r="Q23" s="331"/>
    </row>
    <row r="24" spans="1:17" s="332" customFormat="1">
      <c r="A24" s="353" t="s">
        <v>418</v>
      </c>
      <c r="B24" s="355" t="s">
        <v>419</v>
      </c>
      <c r="C24" s="326" t="s">
        <v>230</v>
      </c>
      <c r="D24" s="327">
        <v>36383</v>
      </c>
      <c r="E24" s="327">
        <v>36383</v>
      </c>
      <c r="F24" s="326" t="s">
        <v>410</v>
      </c>
      <c r="G24" s="328"/>
      <c r="H24" s="328">
        <v>0</v>
      </c>
      <c r="I24" s="329">
        <v>0</v>
      </c>
      <c r="J24" s="329">
        <v>0</v>
      </c>
      <c r="K24" s="362">
        <f t="shared" si="0"/>
        <v>0</v>
      </c>
      <c r="L24" s="373"/>
      <c r="M24" s="373">
        <v>0</v>
      </c>
      <c r="N24" s="373"/>
      <c r="O24" s="326">
        <v>0</v>
      </c>
      <c r="P24" s="330" t="s">
        <v>411</v>
      </c>
      <c r="Q24" s="331"/>
    </row>
    <row r="25" spans="1:17" s="332" customFormat="1" ht="78">
      <c r="A25" s="352" t="s">
        <v>420</v>
      </c>
      <c r="B25" s="355" t="s">
        <v>482</v>
      </c>
      <c r="C25" s="335" t="s">
        <v>230</v>
      </c>
      <c r="D25" s="336">
        <v>36383</v>
      </c>
      <c r="E25" s="336">
        <v>36454</v>
      </c>
      <c r="F25" s="335" t="s">
        <v>410</v>
      </c>
      <c r="G25" s="337"/>
      <c r="H25" s="337">
        <v>496034</v>
      </c>
      <c r="I25" s="338">
        <v>0</v>
      </c>
      <c r="J25" s="338">
        <v>0</v>
      </c>
      <c r="K25" s="363">
        <f t="shared" si="0"/>
        <v>496034</v>
      </c>
      <c r="L25" s="374">
        <v>486308</v>
      </c>
      <c r="M25" s="374">
        <v>486424</v>
      </c>
      <c r="N25" s="374"/>
      <c r="O25" s="335">
        <v>0</v>
      </c>
      <c r="P25" s="339"/>
      <c r="Q25" s="331"/>
    </row>
    <row r="26" spans="1:17" s="332" customFormat="1" ht="46.8">
      <c r="A26" s="352" t="s">
        <v>421</v>
      </c>
      <c r="B26" s="355" t="s">
        <v>474</v>
      </c>
      <c r="C26" s="335" t="s">
        <v>230</v>
      </c>
      <c r="D26" s="336">
        <v>36383</v>
      </c>
      <c r="E26" s="336">
        <v>36454</v>
      </c>
      <c r="F26" s="335" t="s">
        <v>410</v>
      </c>
      <c r="G26" s="337"/>
      <c r="H26" s="337">
        <v>38207</v>
      </c>
      <c r="I26" s="338">
        <v>0</v>
      </c>
      <c r="J26" s="338">
        <v>0</v>
      </c>
      <c r="K26" s="363">
        <f t="shared" si="0"/>
        <v>38207</v>
      </c>
      <c r="L26" s="374">
        <f>K26-78-525-749</f>
        <v>36855</v>
      </c>
      <c r="M26" s="374">
        <v>37261</v>
      </c>
      <c r="N26" s="374"/>
      <c r="O26" s="335">
        <v>0</v>
      </c>
      <c r="P26" s="339"/>
      <c r="Q26" s="331"/>
    </row>
    <row r="27" spans="1:17" s="332" customFormat="1" ht="62.4">
      <c r="A27" s="352" t="s">
        <v>422</v>
      </c>
      <c r="B27" s="355" t="s">
        <v>475</v>
      </c>
      <c r="C27" s="335" t="s">
        <v>230</v>
      </c>
      <c r="D27" s="336">
        <v>36383</v>
      </c>
      <c r="E27" s="336">
        <v>36454</v>
      </c>
      <c r="F27" s="335" t="s">
        <v>410</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c r="A29" s="353" t="s">
        <v>423</v>
      </c>
      <c r="B29" s="355" t="s">
        <v>476</v>
      </c>
      <c r="C29" s="326" t="s">
        <v>236</v>
      </c>
      <c r="D29" s="327">
        <v>36458</v>
      </c>
      <c r="E29" s="327">
        <v>36458</v>
      </c>
      <c r="F29" s="326" t="s">
        <v>407</v>
      </c>
      <c r="G29" s="328"/>
      <c r="H29" s="328">
        <v>0</v>
      </c>
      <c r="I29" s="329">
        <v>5000</v>
      </c>
      <c r="J29" s="329">
        <v>0</v>
      </c>
      <c r="K29" s="362">
        <f t="shared" si="0"/>
        <v>5000</v>
      </c>
      <c r="L29" s="373">
        <v>5000</v>
      </c>
      <c r="M29" s="373">
        <v>5000</v>
      </c>
      <c r="N29" s="373"/>
      <c r="O29" s="326">
        <v>0</v>
      </c>
      <c r="P29" s="330"/>
      <c r="Q29" s="331"/>
    </row>
    <row r="30" spans="1:17" ht="18">
      <c r="A30" s="279"/>
      <c r="B30" s="295" t="s">
        <v>430</v>
      </c>
      <c r="C30" s="280"/>
      <c r="D30" s="280"/>
      <c r="E30" s="280"/>
      <c r="F30" s="280" t="s">
        <v>407</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431</v>
      </c>
      <c r="C31" s="280"/>
      <c r="D31" s="280"/>
      <c r="E31" s="280"/>
      <c r="F31" s="280" t="s">
        <v>410</v>
      </c>
      <c r="G31" s="296"/>
      <c r="H31" s="296">
        <v>0</v>
      </c>
      <c r="I31" s="296">
        <v>0</v>
      </c>
      <c r="J31" s="296">
        <v>0</v>
      </c>
      <c r="K31" s="360">
        <v>0</v>
      </c>
      <c r="L31" s="377"/>
      <c r="M31" s="377"/>
      <c r="N31" s="377"/>
      <c r="O31" s="280"/>
      <c r="P31" s="284"/>
      <c r="Q31" s="285"/>
    </row>
    <row r="32" spans="1:17">
      <c r="A32" s="279"/>
      <c r="B32" s="295" t="s">
        <v>432</v>
      </c>
      <c r="C32" s="280"/>
      <c r="D32" s="280"/>
      <c r="E32" s="280"/>
      <c r="F32" s="280" t="s">
        <v>413</v>
      </c>
      <c r="G32" s="296"/>
      <c r="H32" s="296">
        <v>0</v>
      </c>
      <c r="I32" s="296">
        <v>0</v>
      </c>
      <c r="J32" s="296">
        <v>0</v>
      </c>
      <c r="K32" s="360">
        <v>0</v>
      </c>
      <c r="L32" s="377"/>
      <c r="M32" s="377"/>
      <c r="N32" s="377"/>
      <c r="O32" s="280"/>
      <c r="P32" s="284"/>
      <c r="Q32" s="285"/>
    </row>
    <row r="33" spans="1:17">
      <c r="A33" s="279"/>
      <c r="B33" s="295" t="s">
        <v>433</v>
      </c>
      <c r="C33" s="280"/>
      <c r="D33" s="280"/>
      <c r="E33" s="280"/>
      <c r="F33" s="280" t="s">
        <v>434</v>
      </c>
      <c r="G33" s="296"/>
      <c r="H33" s="296">
        <v>0</v>
      </c>
      <c r="I33" s="296">
        <v>0</v>
      </c>
      <c r="J33" s="296">
        <v>0</v>
      </c>
      <c r="K33" s="360">
        <v>0</v>
      </c>
      <c r="L33" s="377"/>
      <c r="M33" s="377"/>
      <c r="N33" s="377"/>
      <c r="O33" s="280"/>
      <c r="P33" s="284"/>
      <c r="Q33" s="285"/>
    </row>
    <row r="34" spans="1:17" ht="16.2"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514</v>
      </c>
      <c r="C37" s="412"/>
      <c r="D37" s="413"/>
      <c r="E37" s="413"/>
      <c r="F37" s="412"/>
      <c r="G37" s="414"/>
      <c r="H37" s="414"/>
      <c r="I37" s="415"/>
      <c r="J37" s="415"/>
      <c r="K37" s="416"/>
      <c r="L37" s="417"/>
      <c r="M37" s="417"/>
      <c r="N37" s="417"/>
      <c r="O37" s="412"/>
      <c r="P37" s="418"/>
      <c r="Q37" s="419"/>
    </row>
    <row r="38" spans="1:17" s="332" customFormat="1">
      <c r="A38" s="353" t="s">
        <v>424</v>
      </c>
      <c r="B38" s="355" t="s">
        <v>425</v>
      </c>
      <c r="C38" s="326" t="s">
        <v>426</v>
      </c>
      <c r="D38" s="327">
        <v>36210</v>
      </c>
      <c r="E38" s="327">
        <v>36210</v>
      </c>
      <c r="F38" s="326" t="s">
        <v>407</v>
      </c>
      <c r="G38" s="328">
        <v>480000</v>
      </c>
      <c r="H38" s="328">
        <v>0</v>
      </c>
      <c r="I38" s="329">
        <v>0</v>
      </c>
      <c r="J38" s="329">
        <v>0</v>
      </c>
      <c r="K38" s="362">
        <f t="shared" si="0"/>
        <v>480000</v>
      </c>
      <c r="L38" s="373">
        <v>480000</v>
      </c>
      <c r="M38" s="373"/>
      <c r="N38" s="373"/>
      <c r="O38" s="326">
        <v>0</v>
      </c>
      <c r="P38" s="330"/>
      <c r="Q38" s="331"/>
    </row>
    <row r="39" spans="1:17" s="332" customFormat="1" ht="46.8">
      <c r="A39" s="352" t="s">
        <v>427</v>
      </c>
      <c r="B39" s="355" t="s">
        <v>477</v>
      </c>
      <c r="C39" s="335" t="s">
        <v>426</v>
      </c>
      <c r="D39" s="336">
        <v>36416</v>
      </c>
      <c r="E39" s="336">
        <v>36416</v>
      </c>
      <c r="F39" s="335" t="s">
        <v>407</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428</v>
      </c>
      <c r="B41" s="355" t="s">
        <v>429</v>
      </c>
      <c r="C41" s="326" t="s">
        <v>426</v>
      </c>
      <c r="D41" s="327">
        <v>36413</v>
      </c>
      <c r="E41" s="327">
        <v>36413</v>
      </c>
      <c r="F41" s="326" t="s">
        <v>407</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3.8">
      <c r="A45" s="279"/>
      <c r="B45" s="295" t="s">
        <v>430</v>
      </c>
      <c r="C45" s="280"/>
      <c r="D45" s="280"/>
      <c r="E45" s="280"/>
      <c r="F45" s="280" t="s">
        <v>407</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431</v>
      </c>
      <c r="C46" s="280"/>
      <c r="D46" s="280"/>
      <c r="E46" s="280"/>
      <c r="F46" s="280" t="s">
        <v>410</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432</v>
      </c>
      <c r="C47" s="280"/>
      <c r="D47" s="280"/>
      <c r="E47" s="280"/>
      <c r="F47" s="280" t="s">
        <v>413</v>
      </c>
      <c r="G47" s="296">
        <f t="shared" si="3"/>
        <v>0</v>
      </c>
      <c r="H47" s="296">
        <v>0</v>
      </c>
      <c r="I47" s="296">
        <f t="shared" si="3"/>
        <v>0</v>
      </c>
      <c r="J47" s="296">
        <f t="shared" si="3"/>
        <v>0</v>
      </c>
      <c r="K47" s="360">
        <v>0</v>
      </c>
      <c r="L47" s="377"/>
      <c r="M47" s="377"/>
      <c r="N47" s="377"/>
      <c r="O47" s="280"/>
      <c r="P47" s="284"/>
      <c r="Q47" s="285"/>
    </row>
    <row r="48" spans="1:17">
      <c r="A48" s="279"/>
      <c r="B48" s="295" t="s">
        <v>433</v>
      </c>
      <c r="C48" s="280"/>
      <c r="D48" s="280"/>
      <c r="E48" s="280"/>
      <c r="F48" s="280" t="s">
        <v>434</v>
      </c>
      <c r="G48" s="296">
        <f t="shared" si="3"/>
        <v>0</v>
      </c>
      <c r="H48" s="296">
        <f t="shared" si="3"/>
        <v>0</v>
      </c>
      <c r="I48" s="296">
        <f t="shared" si="3"/>
        <v>0</v>
      </c>
      <c r="J48" s="296">
        <f t="shared" si="3"/>
        <v>0</v>
      </c>
      <c r="K48" s="360">
        <f t="shared" si="3"/>
        <v>0</v>
      </c>
      <c r="L48" s="377"/>
      <c r="M48" s="377"/>
      <c r="N48" s="377"/>
      <c r="O48" s="280"/>
      <c r="P48" s="284"/>
      <c r="Q48" s="285"/>
    </row>
    <row r="49" spans="1:14" ht="13.2">
      <c r="L49"/>
      <c r="M49"/>
      <c r="N49"/>
    </row>
    <row r="50" spans="1:14">
      <c r="K50" s="366"/>
    </row>
    <row r="51" spans="1:14">
      <c r="B51" s="24" t="s">
        <v>515</v>
      </c>
      <c r="K51" s="366"/>
    </row>
    <row r="52" spans="1:14">
      <c r="K52" s="425"/>
      <c r="L52" s="424"/>
      <c r="M52" s="424"/>
      <c r="N52" s="424"/>
    </row>
    <row r="55" spans="1:14" ht="15">
      <c r="A55" s="429" t="s">
        <v>543</v>
      </c>
      <c r="B55" s="430"/>
      <c r="L55"/>
      <c r="M55"/>
      <c r="N55"/>
    </row>
    <row r="56" spans="1:14" s="18" customFormat="1" ht="15">
      <c r="A56" s="436" t="s">
        <v>568</v>
      </c>
      <c r="B56" s="435" t="s">
        <v>569</v>
      </c>
      <c r="H56" s="68">
        <v>385857</v>
      </c>
    </row>
    <row r="57" spans="1:14" s="18" customFormat="1" ht="15">
      <c r="A57" s="436" t="s">
        <v>570</v>
      </c>
      <c r="B57" s="435" t="s">
        <v>571</v>
      </c>
      <c r="H57" s="68">
        <v>-67189</v>
      </c>
    </row>
    <row r="58" spans="1:14" s="18" customFormat="1" ht="15">
      <c r="A58" s="436" t="s">
        <v>548</v>
      </c>
      <c r="B58" s="435" t="s">
        <v>572</v>
      </c>
      <c r="H58" s="68">
        <v>38441</v>
      </c>
    </row>
    <row r="59" spans="1:14" s="18" customFormat="1" ht="15">
      <c r="A59" s="436" t="s">
        <v>573</v>
      </c>
      <c r="B59" s="435" t="s">
        <v>574</v>
      </c>
      <c r="H59" s="68">
        <v>99963</v>
      </c>
    </row>
    <row r="60" spans="1:14" s="18" customFormat="1" ht="15">
      <c r="A60" s="436" t="s">
        <v>550</v>
      </c>
      <c r="B60" s="435" t="s">
        <v>575</v>
      </c>
      <c r="H60" s="68">
        <v>-64133</v>
      </c>
    </row>
    <row r="61" spans="1:14" s="18" customFormat="1" ht="15">
      <c r="A61" s="436" t="s">
        <v>576</v>
      </c>
      <c r="B61" s="435" t="s">
        <v>577</v>
      </c>
      <c r="H61" s="68">
        <v>-85517</v>
      </c>
    </row>
    <row r="62" spans="1:14" s="18" customFormat="1" ht="15">
      <c r="A62" s="436" t="s">
        <v>578</v>
      </c>
      <c r="B62" s="435" t="s">
        <v>579</v>
      </c>
      <c r="H62" s="68">
        <v>93106</v>
      </c>
    </row>
    <row r="63" spans="1:14" s="18" customFormat="1" ht="15">
      <c r="A63" s="436" t="s">
        <v>550</v>
      </c>
      <c r="B63" s="435" t="s">
        <v>575</v>
      </c>
      <c r="H63" s="68">
        <v>24659</v>
      </c>
    </row>
    <row r="64" spans="1:14" s="307" customFormat="1" ht="15">
      <c r="A64" s="433" t="s">
        <v>436</v>
      </c>
      <c r="B64" s="433"/>
      <c r="H64" s="437">
        <f>SUM(H56:H63)</f>
        <v>425187</v>
      </c>
    </row>
    <row r="65" spans="1:14" ht="13.2">
      <c r="A65" s="30"/>
      <c r="B65" s="30"/>
      <c r="L65"/>
      <c r="M65"/>
      <c r="N65"/>
    </row>
    <row r="66" spans="1:14" ht="13.2">
      <c r="A66" s="30"/>
      <c r="B66" s="30"/>
      <c r="L66"/>
      <c r="M66"/>
      <c r="N66"/>
    </row>
    <row r="67" spans="1:14" ht="18" thickBot="1">
      <c r="B67" s="441" t="s">
        <v>567</v>
      </c>
      <c r="C67" s="442"/>
      <c r="D67" s="442"/>
      <c r="E67" s="442"/>
      <c r="F67" s="442"/>
      <c r="G67" s="442"/>
      <c r="H67" s="454">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6"/>
      <c r="I1" s="256"/>
      <c r="J1" s="256"/>
      <c r="K1" s="256"/>
      <c r="L1" s="49"/>
      <c r="M1" s="49"/>
    </row>
    <row r="2" spans="1:19" ht="11.25" customHeight="1">
      <c r="N2" s="257"/>
    </row>
    <row r="3" spans="1:19" ht="40.5" customHeight="1">
      <c r="A3" s="258"/>
      <c r="B3" s="258" t="s">
        <v>389</v>
      </c>
      <c r="G3" s="350" t="s">
        <v>381</v>
      </c>
      <c r="N3" s="257"/>
    </row>
    <row r="4" spans="1:19" ht="24.6">
      <c r="A4" s="259"/>
      <c r="B4" s="259" t="s">
        <v>390</v>
      </c>
      <c r="C4" s="257"/>
      <c r="D4" s="257"/>
      <c r="E4" s="257"/>
      <c r="F4" s="257"/>
      <c r="G4" s="257"/>
      <c r="H4" s="260"/>
      <c r="I4" s="260"/>
      <c r="J4" s="260"/>
      <c r="K4" s="260"/>
      <c r="L4" s="257"/>
      <c r="M4" s="257"/>
      <c r="N4" s="257"/>
    </row>
    <row r="5" spans="1:19" ht="21">
      <c r="A5" s="261"/>
      <c r="B5" s="261" t="s">
        <v>391</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6" t="s">
        <v>392</v>
      </c>
      <c r="B7" s="469" t="s">
        <v>393</v>
      </c>
      <c r="C7" s="469" t="s">
        <v>394</v>
      </c>
      <c r="D7" s="469" t="s">
        <v>395</v>
      </c>
      <c r="E7" s="469" t="s">
        <v>396</v>
      </c>
      <c r="F7" s="469" t="s">
        <v>397</v>
      </c>
      <c r="G7" s="463" t="s">
        <v>398</v>
      </c>
      <c r="H7" s="463" t="s">
        <v>399</v>
      </c>
      <c r="I7" s="463" t="s">
        <v>400</v>
      </c>
      <c r="J7" s="463" t="s">
        <v>401</v>
      </c>
      <c r="K7" s="463" t="s">
        <v>402</v>
      </c>
      <c r="L7" s="469" t="s">
        <v>403</v>
      </c>
      <c r="M7" s="460" t="s">
        <v>404</v>
      </c>
      <c r="N7" s="262"/>
    </row>
    <row r="8" spans="1:19" ht="13.8">
      <c r="A8" s="467"/>
      <c r="B8" s="470"/>
      <c r="C8" s="470"/>
      <c r="D8" s="470"/>
      <c r="E8" s="470"/>
      <c r="F8" s="470"/>
      <c r="G8" s="464"/>
      <c r="H8" s="464"/>
      <c r="I8" s="464"/>
      <c r="J8" s="464"/>
      <c r="K8" s="464"/>
      <c r="L8" s="470"/>
      <c r="M8" s="461"/>
      <c r="N8" s="263"/>
    </row>
    <row r="9" spans="1:19" ht="14.4" thickBot="1">
      <c r="A9" s="468"/>
      <c r="B9" s="471"/>
      <c r="C9" s="471"/>
      <c r="D9" s="471"/>
      <c r="E9" s="471"/>
      <c r="F9" s="471"/>
      <c r="G9" s="465"/>
      <c r="H9" s="465"/>
      <c r="I9" s="465"/>
      <c r="J9" s="465"/>
      <c r="K9" s="465"/>
      <c r="L9" s="471"/>
      <c r="M9" s="462"/>
      <c r="N9" s="264"/>
    </row>
    <row r="10" spans="1:19" ht="14.4" thickBot="1">
      <c r="A10" s="265"/>
      <c r="B10" s="266"/>
      <c r="C10" s="266"/>
      <c r="D10" s="266"/>
      <c r="E10" s="266"/>
      <c r="F10" s="266"/>
      <c r="G10" s="266"/>
      <c r="H10" s="265"/>
      <c r="I10" s="265"/>
      <c r="J10" s="265"/>
      <c r="K10" s="265"/>
      <c r="L10" s="266"/>
      <c r="M10" s="266"/>
      <c r="N10" s="267"/>
    </row>
    <row r="11" spans="1:19" s="30" customFormat="1" ht="18.75" customHeight="1" thickBot="1">
      <c r="A11" s="268" t="s">
        <v>437</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93.6">
      <c r="A13" s="351" t="s">
        <v>438</v>
      </c>
      <c r="B13" s="357" t="s">
        <v>484</v>
      </c>
      <c r="C13" s="340" t="s">
        <v>230</v>
      </c>
      <c r="D13" s="341">
        <v>36369</v>
      </c>
      <c r="E13" s="341"/>
      <c r="F13" s="340" t="s">
        <v>413</v>
      </c>
      <c r="G13" s="342"/>
      <c r="H13" s="342">
        <v>3822297</v>
      </c>
      <c r="I13" s="343">
        <v>0</v>
      </c>
      <c r="J13" s="343">
        <v>0</v>
      </c>
      <c r="K13" s="343">
        <f>SUM(G13:J13)</f>
        <v>3822297</v>
      </c>
      <c r="L13" s="340" t="s">
        <v>439</v>
      </c>
      <c r="M13" s="344"/>
      <c r="N13" s="333"/>
    </row>
    <row r="14" spans="1:19" s="334" customFormat="1" ht="140.4">
      <c r="A14" s="351" t="s">
        <v>440</v>
      </c>
      <c r="B14" s="357" t="s">
        <v>483</v>
      </c>
      <c r="C14" s="340" t="s">
        <v>230</v>
      </c>
      <c r="D14" s="341">
        <v>36464</v>
      </c>
      <c r="E14" s="341"/>
      <c r="F14" s="340" t="s">
        <v>413</v>
      </c>
      <c r="G14" s="342"/>
      <c r="H14" s="342">
        <v>2906759</v>
      </c>
      <c r="I14" s="343">
        <v>0</v>
      </c>
      <c r="J14" s="343">
        <v>0</v>
      </c>
      <c r="K14" s="343">
        <f>SUM(G14:J14)</f>
        <v>2906759</v>
      </c>
      <c r="L14" s="340" t="s">
        <v>439</v>
      </c>
      <c r="M14" s="344"/>
      <c r="N14" s="333"/>
    </row>
    <row r="15" spans="1:19" s="438" customFormat="1" ht="13.8">
      <c r="A15" s="341"/>
      <c r="B15" s="453" t="s">
        <v>562</v>
      </c>
      <c r="C15" s="341"/>
      <c r="D15" s="341"/>
      <c r="E15" s="341"/>
      <c r="F15" s="341"/>
      <c r="G15" s="341"/>
      <c r="H15" s="439">
        <v>263743</v>
      </c>
      <c r="I15" s="341"/>
      <c r="J15" s="341"/>
      <c r="K15" s="440">
        <f>SUM(C15:J15)</f>
        <v>263743</v>
      </c>
      <c r="L15" s="341"/>
      <c r="M15" s="341"/>
      <c r="N15" s="341"/>
      <c r="O15" s="341"/>
      <c r="P15" s="341"/>
      <c r="Q15" s="341"/>
      <c r="R15" s="341"/>
      <c r="S15" s="341"/>
    </row>
    <row r="16" spans="1:19" ht="15.6">
      <c r="A16" s="279" t="s">
        <v>441</v>
      </c>
      <c r="B16" s="358"/>
      <c r="C16" s="280" t="s">
        <v>426</v>
      </c>
      <c r="D16" s="281">
        <v>36350</v>
      </c>
      <c r="E16" s="281">
        <v>36350</v>
      </c>
      <c r="F16" s="280" t="s">
        <v>407</v>
      </c>
      <c r="G16" s="282">
        <v>436901</v>
      </c>
      <c r="H16" s="282">
        <v>0</v>
      </c>
      <c r="I16" s="283">
        <v>0</v>
      </c>
      <c r="J16" s="283">
        <v>0</v>
      </c>
      <c r="K16" s="283">
        <f>SUM(G16:J16)</f>
        <v>436901</v>
      </c>
      <c r="L16" s="280">
        <v>0</v>
      </c>
      <c r="M16" s="284"/>
      <c r="N16" s="285"/>
    </row>
    <row r="17" spans="1:14" ht="15.6">
      <c r="A17" s="279" t="s">
        <v>442</v>
      </c>
      <c r="B17" s="358" t="s">
        <v>443</v>
      </c>
      <c r="C17" s="280" t="s">
        <v>426</v>
      </c>
      <c r="D17" s="281">
        <v>36425</v>
      </c>
      <c r="E17" s="281">
        <v>36425</v>
      </c>
      <c r="F17" s="280" t="s">
        <v>407</v>
      </c>
      <c r="G17" s="282">
        <v>900</v>
      </c>
      <c r="H17" s="282">
        <v>0</v>
      </c>
      <c r="I17" s="283">
        <v>0</v>
      </c>
      <c r="J17" s="283">
        <v>0</v>
      </c>
      <c r="K17" s="283">
        <f>SUM(G17:J17)</f>
        <v>900</v>
      </c>
      <c r="L17" s="280">
        <v>0</v>
      </c>
      <c r="M17" s="284"/>
      <c r="N17" s="285"/>
    </row>
    <row r="18" spans="1:14" ht="15.6">
      <c r="A18" s="279"/>
      <c r="B18" s="358"/>
      <c r="C18" s="280"/>
      <c r="D18" s="281"/>
      <c r="E18" s="281"/>
      <c r="F18" s="280"/>
      <c r="G18" s="282"/>
      <c r="H18" s="282"/>
      <c r="I18" s="283"/>
      <c r="J18" s="283"/>
      <c r="K18" s="283"/>
      <c r="L18" s="280"/>
      <c r="M18" s="284"/>
      <c r="N18" s="285"/>
    </row>
    <row r="19" spans="1:14" ht="15.6">
      <c r="A19" s="279" t="s">
        <v>444</v>
      </c>
      <c r="B19" s="358" t="s">
        <v>445</v>
      </c>
      <c r="C19" s="280" t="s">
        <v>426</v>
      </c>
      <c r="D19" s="281">
        <v>36423</v>
      </c>
      <c r="E19" s="281">
        <v>36423</v>
      </c>
      <c r="F19" s="280" t="s">
        <v>407</v>
      </c>
      <c r="G19" s="282">
        <v>1099800</v>
      </c>
      <c r="H19" s="282">
        <v>0</v>
      </c>
      <c r="I19" s="282">
        <v>0</v>
      </c>
      <c r="J19" s="282">
        <v>0</v>
      </c>
      <c r="K19" s="283">
        <f>SUM(G19:J19)</f>
        <v>1099800</v>
      </c>
      <c r="L19" s="280">
        <v>0</v>
      </c>
      <c r="M19" s="284"/>
      <c r="N19" s="285"/>
    </row>
    <row r="20" spans="1:14" ht="15.6">
      <c r="A20" s="279" t="s">
        <v>446</v>
      </c>
      <c r="B20" s="358" t="s">
        <v>447</v>
      </c>
      <c r="C20" s="280" t="s">
        <v>426</v>
      </c>
      <c r="D20" s="281">
        <v>36425</v>
      </c>
      <c r="E20" s="281">
        <v>36425</v>
      </c>
      <c r="F20" s="280" t="s">
        <v>407</v>
      </c>
      <c r="G20" s="282">
        <v>16100</v>
      </c>
      <c r="H20" s="282">
        <v>0</v>
      </c>
      <c r="I20" s="282">
        <v>0</v>
      </c>
      <c r="J20" s="282">
        <v>0</v>
      </c>
      <c r="K20" s="283">
        <f>SUM(G20:J20)</f>
        <v>16100</v>
      </c>
      <c r="L20" s="280">
        <v>0</v>
      </c>
      <c r="M20" s="284"/>
      <c r="N20" s="285"/>
    </row>
    <row r="21" spans="1:14" ht="15.6">
      <c r="A21" s="279" t="s">
        <v>446</v>
      </c>
      <c r="B21" s="358" t="s">
        <v>448</v>
      </c>
      <c r="C21" s="280" t="s">
        <v>426</v>
      </c>
      <c r="D21" s="281">
        <v>36425</v>
      </c>
      <c r="E21" s="281">
        <v>36425</v>
      </c>
      <c r="F21" s="280" t="s">
        <v>407</v>
      </c>
      <c r="G21" s="282">
        <v>29800</v>
      </c>
      <c r="H21" s="282">
        <v>0</v>
      </c>
      <c r="I21" s="282">
        <v>0</v>
      </c>
      <c r="J21" s="282">
        <v>0</v>
      </c>
      <c r="K21" s="283">
        <f>SUM(G21:J21)</f>
        <v>29800</v>
      </c>
      <c r="L21" s="280">
        <v>0</v>
      </c>
      <c r="M21" s="284"/>
      <c r="N21" s="285"/>
    </row>
    <row r="22" spans="1:14" ht="15.6">
      <c r="A22" s="279" t="s">
        <v>449</v>
      </c>
      <c r="B22" s="358" t="s">
        <v>450</v>
      </c>
      <c r="C22" s="280" t="s">
        <v>426</v>
      </c>
      <c r="D22" s="281">
        <v>36425</v>
      </c>
      <c r="E22" s="281">
        <v>36425</v>
      </c>
      <c r="F22" s="280" t="s">
        <v>407</v>
      </c>
      <c r="G22" s="282">
        <v>22900</v>
      </c>
      <c r="H22" s="282">
        <v>0</v>
      </c>
      <c r="I22" s="282">
        <v>0</v>
      </c>
      <c r="J22" s="282">
        <v>0</v>
      </c>
      <c r="K22" s="283">
        <f>SUM(G22:J22)</f>
        <v>22900</v>
      </c>
      <c r="L22" s="280">
        <v>0</v>
      </c>
      <c r="M22" s="284"/>
      <c r="N22" s="285"/>
    </row>
    <row r="23" spans="1:14" ht="15.6">
      <c r="A23" s="279" t="s">
        <v>449</v>
      </c>
      <c r="B23" s="358" t="s">
        <v>451</v>
      </c>
      <c r="C23" s="280" t="s">
        <v>426</v>
      </c>
      <c r="D23" s="281">
        <v>36425</v>
      </c>
      <c r="E23" s="281">
        <v>36425</v>
      </c>
      <c r="F23" s="280" t="s">
        <v>407</v>
      </c>
      <c r="G23" s="282">
        <v>39315</v>
      </c>
      <c r="H23" s="282">
        <v>0</v>
      </c>
      <c r="I23" s="282">
        <v>0</v>
      </c>
      <c r="J23" s="282">
        <v>0</v>
      </c>
      <c r="K23" s="283">
        <f>SUM(G23:J23)</f>
        <v>39315</v>
      </c>
      <c r="L23" s="280">
        <v>0</v>
      </c>
      <c r="M23" s="284"/>
      <c r="N23" s="285"/>
    </row>
    <row r="24" spans="1:14" ht="15.6">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ht="13.8">
      <c r="A27" s="279"/>
      <c r="B27" s="295" t="s">
        <v>430</v>
      </c>
      <c r="C27" s="280"/>
      <c r="D27" s="280"/>
      <c r="E27" s="280"/>
      <c r="F27" s="280" t="s">
        <v>407</v>
      </c>
      <c r="G27" s="296">
        <f t="shared" ref="G27:K30" si="0">SUMIF($F$12:$F$25,$F27,G$12:G$25)</f>
        <v>1645716</v>
      </c>
      <c r="H27" s="296">
        <f t="shared" si="0"/>
        <v>0</v>
      </c>
      <c r="I27" s="296">
        <f t="shared" si="0"/>
        <v>0</v>
      </c>
      <c r="J27" s="296">
        <f t="shared" si="0"/>
        <v>0</v>
      </c>
      <c r="K27" s="296">
        <f>SUM(K16:K23)</f>
        <v>1645716</v>
      </c>
      <c r="L27" s="280"/>
      <c r="M27" s="284"/>
      <c r="N27" s="285"/>
    </row>
    <row r="28" spans="1:14" ht="13.8">
      <c r="A28" s="279"/>
      <c r="B28" s="295" t="s">
        <v>431</v>
      </c>
      <c r="C28" s="280"/>
      <c r="D28" s="280"/>
      <c r="E28" s="280"/>
      <c r="F28" s="280" t="s">
        <v>410</v>
      </c>
      <c r="G28" s="296">
        <f t="shared" si="0"/>
        <v>0</v>
      </c>
      <c r="H28" s="296">
        <f>SUM(H13:H15)</f>
        <v>6992799</v>
      </c>
      <c r="I28" s="296">
        <f t="shared" si="0"/>
        <v>0</v>
      </c>
      <c r="J28" s="296">
        <f t="shared" si="0"/>
        <v>0</v>
      </c>
      <c r="K28" s="296">
        <f>SUM(K13:K15)</f>
        <v>6992799</v>
      </c>
      <c r="L28" s="280"/>
      <c r="M28" s="284"/>
      <c r="N28" s="285"/>
    </row>
    <row r="29" spans="1:14" ht="13.8">
      <c r="A29" s="279"/>
      <c r="B29" s="295" t="s">
        <v>432</v>
      </c>
      <c r="C29" s="280"/>
      <c r="D29" s="280"/>
      <c r="E29" s="280"/>
      <c r="F29" s="280" t="s">
        <v>413</v>
      </c>
      <c r="G29" s="296">
        <f t="shared" si="0"/>
        <v>0</v>
      </c>
      <c r="H29" s="296">
        <v>0</v>
      </c>
      <c r="I29" s="296">
        <f t="shared" si="0"/>
        <v>0</v>
      </c>
      <c r="J29" s="296">
        <f t="shared" si="0"/>
        <v>0</v>
      </c>
      <c r="K29" s="296">
        <v>0</v>
      </c>
      <c r="L29" s="280"/>
      <c r="M29" s="284"/>
      <c r="N29" s="285"/>
    </row>
    <row r="30" spans="1:14" ht="13.8">
      <c r="A30" s="279"/>
      <c r="B30" s="295" t="s">
        <v>433</v>
      </c>
      <c r="C30" s="280"/>
      <c r="D30" s="280"/>
      <c r="E30" s="280"/>
      <c r="F30" s="280" t="s">
        <v>434</v>
      </c>
      <c r="G30" s="296">
        <f t="shared" si="0"/>
        <v>0</v>
      </c>
      <c r="H30" s="296">
        <f t="shared" si="0"/>
        <v>0</v>
      </c>
      <c r="I30" s="296">
        <f t="shared" si="0"/>
        <v>0</v>
      </c>
      <c r="J30" s="296">
        <f t="shared" si="0"/>
        <v>0</v>
      </c>
      <c r="K30" s="296">
        <f t="shared" si="0"/>
        <v>0</v>
      </c>
      <c r="L30" s="280"/>
      <c r="M30" s="284"/>
      <c r="N30" s="285"/>
    </row>
    <row r="31" spans="1:14" ht="14.4" thickBot="1">
      <c r="A31" s="297"/>
      <c r="B31" s="298" t="s">
        <v>452</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ht="13.8">
      <c r="A32" s="309"/>
      <c r="B32" s="310"/>
      <c r="C32" s="311"/>
      <c r="D32" s="311"/>
      <c r="E32" s="311"/>
      <c r="F32" s="270"/>
      <c r="G32" s="312"/>
      <c r="H32" s="312"/>
      <c r="I32" s="312"/>
      <c r="J32" s="312"/>
      <c r="K32" s="312"/>
      <c r="L32" s="311"/>
      <c r="M32" s="284"/>
      <c r="N32" s="313"/>
    </row>
    <row r="33" spans="1:8" ht="15">
      <c r="A33" s="308" t="s">
        <v>453</v>
      </c>
    </row>
    <row r="34" spans="1:8" ht="15">
      <c r="A34" s="308"/>
    </row>
    <row r="35" spans="1:8" s="122" customFormat="1" ht="15.6">
      <c r="A35" s="122" t="s">
        <v>435</v>
      </c>
      <c r="H35" s="304">
        <f>H24+H25</f>
        <v>0</v>
      </c>
    </row>
    <row r="37" spans="1:8" s="305" customFormat="1" ht="15">
      <c r="A37" s="305" t="s">
        <v>454</v>
      </c>
      <c r="H37" s="306">
        <v>0</v>
      </c>
    </row>
    <row r="39" spans="1:8" ht="15">
      <c r="A39" s="429" t="s">
        <v>543</v>
      </c>
      <c r="B39" s="430"/>
    </row>
    <row r="40" spans="1:8" s="18" customFormat="1" ht="15">
      <c r="A40" s="436" t="s">
        <v>544</v>
      </c>
      <c r="B40" s="435" t="s">
        <v>547</v>
      </c>
      <c r="H40" s="68">
        <v>317897</v>
      </c>
    </row>
    <row r="41" spans="1:8" s="18" customFormat="1" ht="15">
      <c r="A41" s="436" t="s">
        <v>548</v>
      </c>
      <c r="B41" s="435" t="s">
        <v>551</v>
      </c>
      <c r="H41" s="68">
        <v>-739008</v>
      </c>
    </row>
    <row r="42" spans="1:8" s="18" customFormat="1" ht="15">
      <c r="A42" s="436" t="s">
        <v>550</v>
      </c>
      <c r="B42" s="435" t="s">
        <v>563</v>
      </c>
      <c r="H42" s="68">
        <v>421112</v>
      </c>
    </row>
    <row r="43" spans="1:8" s="307" customFormat="1" ht="15">
      <c r="A43" s="433" t="s">
        <v>436</v>
      </c>
      <c r="B43" s="433"/>
      <c r="H43" s="437">
        <f>SUM(H40:H42)</f>
        <v>1</v>
      </c>
    </row>
    <row r="44" spans="1:8">
      <c r="H44" s="256"/>
    </row>
    <row r="46" spans="1:8" ht="18" thickBot="1">
      <c r="B46" s="441" t="s">
        <v>567</v>
      </c>
      <c r="C46" s="442"/>
      <c r="D46" s="442"/>
      <c r="E46" s="442"/>
      <c r="F46" s="442"/>
      <c r="G46" s="442"/>
      <c r="H46" s="443">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389</v>
      </c>
      <c r="G3" s="350" t="s">
        <v>382</v>
      </c>
      <c r="N3" s="257"/>
    </row>
    <row r="4" spans="1:14" ht="24.6">
      <c r="A4" s="259"/>
      <c r="B4" s="259" t="s">
        <v>390</v>
      </c>
      <c r="C4" s="257"/>
      <c r="D4" s="257"/>
      <c r="E4" s="257"/>
      <c r="F4" s="257"/>
      <c r="G4" s="257"/>
      <c r="H4" s="260"/>
      <c r="I4" s="260"/>
      <c r="J4" s="260"/>
      <c r="K4" s="260"/>
      <c r="L4" s="257"/>
      <c r="M4" s="257"/>
      <c r="N4" s="257"/>
    </row>
    <row r="5" spans="1:14" ht="21">
      <c r="A5" s="261"/>
      <c r="B5" s="261" t="s">
        <v>391</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6" t="s">
        <v>392</v>
      </c>
      <c r="B7" s="469" t="s">
        <v>393</v>
      </c>
      <c r="C7" s="469" t="s">
        <v>394</v>
      </c>
      <c r="D7" s="469" t="s">
        <v>395</v>
      </c>
      <c r="E7" s="469" t="s">
        <v>396</v>
      </c>
      <c r="F7" s="469" t="s">
        <v>397</v>
      </c>
      <c r="G7" s="463" t="s">
        <v>398</v>
      </c>
      <c r="H7" s="463" t="s">
        <v>399</v>
      </c>
      <c r="I7" s="463" t="s">
        <v>400</v>
      </c>
      <c r="J7" s="463" t="s">
        <v>401</v>
      </c>
      <c r="K7" s="463" t="s">
        <v>402</v>
      </c>
      <c r="L7" s="469" t="s">
        <v>403</v>
      </c>
      <c r="M7" s="460" t="s">
        <v>404</v>
      </c>
      <c r="N7" s="262"/>
    </row>
    <row r="8" spans="1:14" ht="13.8">
      <c r="A8" s="467"/>
      <c r="B8" s="470"/>
      <c r="C8" s="470"/>
      <c r="D8" s="470"/>
      <c r="E8" s="470"/>
      <c r="F8" s="470"/>
      <c r="G8" s="464"/>
      <c r="H8" s="464"/>
      <c r="I8" s="464"/>
      <c r="J8" s="464"/>
      <c r="K8" s="464"/>
      <c r="L8" s="470"/>
      <c r="M8" s="461"/>
      <c r="N8" s="263"/>
    </row>
    <row r="9" spans="1:14" ht="14.4" thickBot="1">
      <c r="A9" s="468"/>
      <c r="B9" s="471"/>
      <c r="C9" s="471"/>
      <c r="D9" s="471"/>
      <c r="E9" s="471"/>
      <c r="F9" s="471"/>
      <c r="G9" s="465"/>
      <c r="H9" s="465"/>
      <c r="I9" s="465"/>
      <c r="J9" s="465"/>
      <c r="K9" s="465"/>
      <c r="L9" s="471"/>
      <c r="M9" s="462"/>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456</v>
      </c>
      <c r="B11" s="269"/>
      <c r="C11" s="270"/>
      <c r="D11" s="270"/>
      <c r="E11" s="270"/>
      <c r="F11" s="270"/>
      <c r="G11" s="270"/>
      <c r="H11" s="271"/>
      <c r="I11" s="271"/>
      <c r="J11" s="271"/>
      <c r="K11" s="271"/>
      <c r="L11" s="270"/>
      <c r="M11" s="267"/>
      <c r="N11" s="267"/>
    </row>
    <row r="12" spans="1:14" s="334" customFormat="1" ht="74.25" customHeight="1">
      <c r="A12" s="351" t="s">
        <v>457</v>
      </c>
      <c r="B12" s="357" t="s">
        <v>485</v>
      </c>
      <c r="C12" s="340" t="s">
        <v>230</v>
      </c>
      <c r="D12" s="341">
        <v>36388</v>
      </c>
      <c r="E12" s="341"/>
      <c r="F12" s="340" t="s">
        <v>413</v>
      </c>
      <c r="G12" s="342"/>
      <c r="H12" s="342">
        <v>3953393</v>
      </c>
      <c r="I12" s="343">
        <v>0</v>
      </c>
      <c r="J12" s="343">
        <v>0</v>
      </c>
      <c r="K12" s="343">
        <f>SUM(G12:J12)</f>
        <v>3953393</v>
      </c>
      <c r="L12" s="340" t="s">
        <v>439</v>
      </c>
      <c r="M12" s="344"/>
      <c r="N12" s="333"/>
    </row>
    <row r="13" spans="1:14" s="334" customFormat="1" ht="89.25" customHeight="1">
      <c r="A13" s="351" t="s">
        <v>458</v>
      </c>
      <c r="B13" s="357" t="s">
        <v>487</v>
      </c>
      <c r="C13" s="340" t="s">
        <v>230</v>
      </c>
      <c r="D13" s="341">
        <v>36464</v>
      </c>
      <c r="E13" s="341"/>
      <c r="F13" s="340" t="s">
        <v>413</v>
      </c>
      <c r="G13" s="342"/>
      <c r="H13" s="342">
        <v>2321129</v>
      </c>
      <c r="I13" s="343">
        <v>0</v>
      </c>
      <c r="J13" s="343">
        <v>0</v>
      </c>
      <c r="K13" s="343">
        <f>SUM(G13:J13)</f>
        <v>2321129</v>
      </c>
      <c r="L13" s="340" t="s">
        <v>439</v>
      </c>
      <c r="M13" s="344"/>
      <c r="N13" s="333"/>
    </row>
    <row r="14" spans="1:14" s="452" customFormat="1" ht="23.25" customHeight="1">
      <c r="A14" s="444"/>
      <c r="B14" s="445" t="s">
        <v>562</v>
      </c>
      <c r="C14" s="446"/>
      <c r="D14" s="447"/>
      <c r="E14" s="447"/>
      <c r="F14" s="446"/>
      <c r="G14" s="448"/>
      <c r="H14" s="448">
        <v>294693</v>
      </c>
      <c r="I14" s="449"/>
      <c r="J14" s="449"/>
      <c r="K14" s="449">
        <f>SUM(H14:J14)</f>
        <v>294693</v>
      </c>
      <c r="L14" s="446"/>
      <c r="M14" s="450"/>
      <c r="N14" s="451"/>
    </row>
    <row r="15" spans="1:14" ht="15.6">
      <c r="A15" s="279"/>
      <c r="B15" s="358"/>
      <c r="C15" s="280"/>
      <c r="D15" s="281"/>
      <c r="E15" s="281"/>
      <c r="F15" s="280"/>
      <c r="G15" s="282"/>
      <c r="H15" s="282"/>
      <c r="I15" s="283"/>
      <c r="J15" s="283"/>
      <c r="K15" s="283"/>
      <c r="L15" s="280"/>
      <c r="M15" s="284"/>
      <c r="N15" s="285"/>
    </row>
    <row r="16" spans="1:14" ht="15.6">
      <c r="A16" s="279" t="s">
        <v>459</v>
      </c>
      <c r="B16" s="358" t="s">
        <v>460</v>
      </c>
      <c r="C16" s="280" t="s">
        <v>426</v>
      </c>
      <c r="D16" s="281">
        <v>36342</v>
      </c>
      <c r="E16" s="281">
        <v>36342</v>
      </c>
      <c r="F16" s="280" t="s">
        <v>407</v>
      </c>
      <c r="G16" s="282">
        <v>-100000</v>
      </c>
      <c r="H16" s="282">
        <v>0</v>
      </c>
      <c r="I16" s="283">
        <v>0</v>
      </c>
      <c r="J16" s="283">
        <v>0</v>
      </c>
      <c r="K16" s="283">
        <f>SUM(G16:J16)</f>
        <v>-100000</v>
      </c>
      <c r="L16" s="280">
        <v>0</v>
      </c>
      <c r="M16" s="284"/>
      <c r="N16" s="285"/>
    </row>
    <row r="17" spans="1:14" ht="15.6">
      <c r="A17" s="279" t="s">
        <v>461</v>
      </c>
      <c r="B17" s="358" t="s">
        <v>462</v>
      </c>
      <c r="C17" s="280" t="s">
        <v>426</v>
      </c>
      <c r="D17" s="281">
        <v>36348</v>
      </c>
      <c r="E17" s="281">
        <v>36348</v>
      </c>
      <c r="F17" s="280" t="s">
        <v>407</v>
      </c>
      <c r="G17" s="282">
        <v>353801</v>
      </c>
      <c r="H17" s="282">
        <v>0</v>
      </c>
      <c r="I17" s="283">
        <v>0</v>
      </c>
      <c r="J17" s="283">
        <v>0</v>
      </c>
      <c r="K17" s="283">
        <f>SUM(G17:J17)</f>
        <v>353801</v>
      </c>
      <c r="L17" s="280">
        <v>0</v>
      </c>
      <c r="M17" s="284"/>
      <c r="N17" s="285"/>
    </row>
    <row r="18" spans="1:14" ht="15.6">
      <c r="A18" s="279" t="s">
        <v>463</v>
      </c>
      <c r="B18" s="358" t="s">
        <v>464</v>
      </c>
      <c r="C18" s="280" t="s">
        <v>426</v>
      </c>
      <c r="D18" s="281">
        <v>36398</v>
      </c>
      <c r="E18" s="281">
        <v>36398</v>
      </c>
      <c r="F18" s="280" t="s">
        <v>407</v>
      </c>
      <c r="G18" s="282">
        <v>-22200</v>
      </c>
      <c r="H18" s="282">
        <v>0</v>
      </c>
      <c r="I18" s="283">
        <v>0</v>
      </c>
      <c r="J18" s="283">
        <v>0</v>
      </c>
      <c r="K18" s="283">
        <f>SUM(G18:J18)</f>
        <v>-22200</v>
      </c>
      <c r="L18" s="280">
        <v>0</v>
      </c>
      <c r="M18" s="284"/>
      <c r="N18" s="285"/>
    </row>
    <row r="19" spans="1:14" ht="13.8">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ht="13.8">
      <c r="A22" s="279"/>
      <c r="B22" s="295" t="s">
        <v>430</v>
      </c>
      <c r="C22" s="280"/>
      <c r="D22" s="280"/>
      <c r="E22" s="280"/>
      <c r="F22" s="280" t="s">
        <v>407</v>
      </c>
      <c r="G22" s="296">
        <f t="shared" ref="G22:K25" si="0">SUMIF($F$12:$F$20,$F22,G$12:G$20)</f>
        <v>231601</v>
      </c>
      <c r="H22" s="296">
        <f t="shared" si="0"/>
        <v>0</v>
      </c>
      <c r="I22" s="296">
        <f t="shared" si="0"/>
        <v>0</v>
      </c>
      <c r="J22" s="296">
        <f t="shared" si="0"/>
        <v>0</v>
      </c>
      <c r="K22" s="296">
        <f t="shared" si="0"/>
        <v>231601</v>
      </c>
      <c r="L22" s="280"/>
      <c r="M22" s="284"/>
      <c r="N22" s="285"/>
    </row>
    <row r="23" spans="1:14" ht="13.8">
      <c r="A23" s="279"/>
      <c r="B23" s="295" t="s">
        <v>431</v>
      </c>
      <c r="C23" s="280"/>
      <c r="D23" s="280"/>
      <c r="E23" s="280"/>
      <c r="F23" s="280" t="s">
        <v>410</v>
      </c>
      <c r="G23" s="296">
        <f t="shared" si="0"/>
        <v>0</v>
      </c>
      <c r="H23" s="296">
        <f>SUM(H12:H19)</f>
        <v>6569215</v>
      </c>
      <c r="I23" s="296">
        <f t="shared" si="0"/>
        <v>0</v>
      </c>
      <c r="J23" s="296">
        <f t="shared" si="0"/>
        <v>0</v>
      </c>
      <c r="K23" s="296">
        <f t="shared" si="0"/>
        <v>0</v>
      </c>
      <c r="L23" s="280"/>
      <c r="M23" s="284"/>
      <c r="N23" s="285"/>
    </row>
    <row r="24" spans="1:14" ht="13.8">
      <c r="A24" s="279"/>
      <c r="B24" s="295" t="s">
        <v>432</v>
      </c>
      <c r="C24" s="280"/>
      <c r="D24" s="280"/>
      <c r="E24" s="280"/>
      <c r="F24" s="280" t="s">
        <v>413</v>
      </c>
      <c r="G24" s="296">
        <f t="shared" si="0"/>
        <v>0</v>
      </c>
      <c r="H24" s="296"/>
      <c r="I24" s="296">
        <f t="shared" si="0"/>
        <v>0</v>
      </c>
      <c r="J24" s="296">
        <f t="shared" si="0"/>
        <v>0</v>
      </c>
      <c r="K24" s="296">
        <f t="shared" si="0"/>
        <v>6274522</v>
      </c>
      <c r="L24" s="280"/>
      <c r="M24" s="284"/>
      <c r="N24" s="285"/>
    </row>
    <row r="25" spans="1:14" ht="13.8">
      <c r="A25" s="279"/>
      <c r="B25" s="295" t="s">
        <v>433</v>
      </c>
      <c r="C25" s="280"/>
      <c r="D25" s="280"/>
      <c r="E25" s="280"/>
      <c r="F25" s="280" t="s">
        <v>434</v>
      </c>
      <c r="G25" s="296">
        <f t="shared" si="0"/>
        <v>0</v>
      </c>
      <c r="H25" s="296">
        <f t="shared" si="0"/>
        <v>0</v>
      </c>
      <c r="I25" s="296">
        <f t="shared" si="0"/>
        <v>0</v>
      </c>
      <c r="J25" s="296">
        <f t="shared" si="0"/>
        <v>0</v>
      </c>
      <c r="K25" s="296">
        <f t="shared" si="0"/>
        <v>0</v>
      </c>
      <c r="L25" s="280"/>
      <c r="M25" s="284"/>
      <c r="N25" s="285"/>
    </row>
    <row r="26" spans="1:14" ht="14.4" thickBot="1">
      <c r="A26" s="279"/>
      <c r="B26" s="295" t="s">
        <v>465</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453</v>
      </c>
      <c r="B28" s="30"/>
    </row>
    <row r="29" spans="1:14" ht="15">
      <c r="A29" s="434"/>
      <c r="B29" s="30"/>
    </row>
    <row r="30" spans="1:14" s="122" customFormat="1" ht="15.6">
      <c r="A30" s="431" t="s">
        <v>435</v>
      </c>
      <c r="B30" s="431"/>
      <c r="H30" s="304">
        <f>H19+H20</f>
        <v>0</v>
      </c>
    </row>
    <row r="31" spans="1:14">
      <c r="A31" s="30"/>
      <c r="B31" s="30"/>
    </row>
    <row r="32" spans="1:14" s="305" customFormat="1" ht="15">
      <c r="A32" s="432" t="s">
        <v>454</v>
      </c>
      <c r="B32" s="432"/>
      <c r="H32" s="306">
        <v>0</v>
      </c>
    </row>
    <row r="33" spans="1:8">
      <c r="A33" s="30"/>
      <c r="B33" s="30"/>
    </row>
    <row r="34" spans="1:8">
      <c r="A34" s="30"/>
      <c r="B34" s="30"/>
    </row>
    <row r="35" spans="1:8" ht="15">
      <c r="A35" s="429" t="s">
        <v>543</v>
      </c>
      <c r="B35" s="430"/>
    </row>
    <row r="36" spans="1:8" s="18" customFormat="1" ht="15">
      <c r="A36" s="436" t="s">
        <v>544</v>
      </c>
      <c r="B36" s="435" t="s">
        <v>545</v>
      </c>
      <c r="H36" s="68">
        <v>-124695</v>
      </c>
    </row>
    <row r="37" spans="1:8" s="18" customFormat="1" ht="15">
      <c r="A37" s="436" t="s">
        <v>546</v>
      </c>
      <c r="B37" s="435" t="s">
        <v>547</v>
      </c>
      <c r="H37" s="68">
        <v>-95805</v>
      </c>
    </row>
    <row r="38" spans="1:8" s="18" customFormat="1" ht="15">
      <c r="A38" s="436" t="s">
        <v>548</v>
      </c>
      <c r="B38" s="435" t="s">
        <v>549</v>
      </c>
      <c r="H38" s="68">
        <v>-477220</v>
      </c>
    </row>
    <row r="39" spans="1:8" s="18" customFormat="1" ht="15">
      <c r="A39" s="436" t="s">
        <v>550</v>
      </c>
      <c r="B39" s="435" t="s">
        <v>551</v>
      </c>
      <c r="H39" s="68">
        <v>745403</v>
      </c>
    </row>
    <row r="40" spans="1:8" s="307" customFormat="1" ht="15">
      <c r="A40" s="433" t="s">
        <v>436</v>
      </c>
      <c r="B40" s="433"/>
      <c r="H40" s="437">
        <f>SUM(H36:H39)</f>
        <v>47683</v>
      </c>
    </row>
    <row r="41" spans="1:8">
      <c r="A41" s="30"/>
      <c r="B41" s="30"/>
    </row>
    <row r="42" spans="1:8">
      <c r="A42" s="30"/>
      <c r="B42" s="30"/>
    </row>
    <row r="43" spans="1:8" ht="18" thickBot="1">
      <c r="B43" s="441" t="s">
        <v>567</v>
      </c>
      <c r="C43" s="442"/>
      <c r="D43" s="442"/>
      <c r="E43" s="442"/>
      <c r="F43" s="442"/>
      <c r="G43" s="442"/>
      <c r="H43" s="443">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4" t="s">
        <v>386</v>
      </c>
    </row>
    <row r="3" spans="1:79">
      <c r="A3" s="24" t="s">
        <v>380</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383</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384</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385</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387</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381</v>
      </c>
    </row>
    <row r="14" spans="1:79">
      <c r="B14" t="s">
        <v>383</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384</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385</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387</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382</v>
      </c>
    </row>
    <row r="25" spans="1:79">
      <c r="B25" t="s">
        <v>383</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384</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385</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387</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388</v>
      </c>
    </row>
    <row r="37" spans="1:79">
      <c r="B37" t="s">
        <v>383</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384</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385</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387</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8" thickBot="1">
      <c r="A45" s="21"/>
      <c r="G45" s="4" t="s">
        <v>496</v>
      </c>
      <c r="I45" s="367">
        <v>19947.871999999999</v>
      </c>
      <c r="J45" s="20">
        <f>I45+10717.074</f>
        <v>30664.946</v>
      </c>
    </row>
    <row r="46" spans="1:79" ht="16.2" thickBot="1">
      <c r="D46" t="s">
        <v>470</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topLeftCell="D1" zoomScale="90" zoomScaleNormal="90" zoomScaleSheetLayoutView="100" workbookViewId="0">
      <selection activeCell="O5" sqref="O5"/>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127</v>
      </c>
    </row>
    <row r="2" spans="1:29" ht="15.6">
      <c r="A2" s="174" t="s">
        <v>170</v>
      </c>
      <c r="G2" s="176"/>
      <c r="J2" s="177" t="s">
        <v>124</v>
      </c>
      <c r="O2" s="176">
        <f ca="1">NOW()</f>
        <v>36591.455736111115</v>
      </c>
    </row>
    <row r="3" spans="1:29" ht="15.6">
      <c r="A3" s="178" t="s">
        <v>189</v>
      </c>
      <c r="G3" s="176"/>
      <c r="J3" s="177"/>
      <c r="O3" s="176"/>
    </row>
    <row r="4" spans="1:29" ht="15.6">
      <c r="A4" s="174" t="s">
        <v>185</v>
      </c>
      <c r="J4" s="177" t="s">
        <v>125</v>
      </c>
      <c r="O4" s="98" t="s">
        <v>588</v>
      </c>
    </row>
    <row r="5" spans="1:29" ht="15.6">
      <c r="A5" s="178" t="s">
        <v>587</v>
      </c>
      <c r="I5" s="26"/>
      <c r="O5" s="179"/>
    </row>
    <row r="6" spans="1:29" ht="16.2" thickBot="1">
      <c r="A6" s="174"/>
      <c r="I6" s="26"/>
      <c r="O6" s="179"/>
    </row>
    <row r="7" spans="1:29" ht="16.2" thickBot="1">
      <c r="A7" s="174"/>
      <c r="G7" s="165" t="s">
        <v>122</v>
      </c>
      <c r="H7" s="166"/>
      <c r="I7" s="166"/>
      <c r="J7" s="166"/>
      <c r="K7" s="167"/>
      <c r="L7" s="174"/>
      <c r="M7" s="174"/>
    </row>
    <row r="8" spans="1:29">
      <c r="A8" s="226" t="s">
        <v>273</v>
      </c>
      <c r="C8" s="180"/>
      <c r="E8" s="27" t="s">
        <v>43</v>
      </c>
      <c r="G8" s="86" t="s">
        <v>44</v>
      </c>
      <c r="H8" s="181"/>
      <c r="I8" s="87" t="s">
        <v>51</v>
      </c>
      <c r="J8" s="181"/>
      <c r="K8" s="88" t="s">
        <v>128</v>
      </c>
      <c r="M8" s="27" t="s">
        <v>141</v>
      </c>
      <c r="O8" s="27" t="s">
        <v>45</v>
      </c>
    </row>
    <row r="9" spans="1:29">
      <c r="A9" s="29" t="s">
        <v>285</v>
      </c>
      <c r="C9" s="29" t="s">
        <v>47</v>
      </c>
      <c r="E9" s="151" t="s">
        <v>287</v>
      </c>
      <c r="G9" s="89" t="str">
        <f>+O4</f>
        <v xml:space="preserve"> As of 3/3/00</v>
      </c>
      <c r="H9" s="182"/>
      <c r="I9" s="53" t="str">
        <f>+O4</f>
        <v xml:space="preserve"> As of 3/3/00</v>
      </c>
      <c r="J9" s="182"/>
      <c r="K9" s="90" t="str">
        <f>+O4</f>
        <v xml:space="preserve"> As of 3/3/00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195129.88151325384</v>
      </c>
      <c r="H11" s="182"/>
      <c r="I11" s="188">
        <f>K11-G11</f>
        <v>59716.598100210453</v>
      </c>
      <c r="J11" s="182"/>
      <c r="K11" s="190">
        <f>Wilton!BR213/1000</f>
        <v>254846.4796134643</v>
      </c>
      <c r="M11" s="188">
        <f>+E11-K11</f>
        <v>-12104.253863464284</v>
      </c>
      <c r="O11" s="191">
        <f>+G11/K11</f>
        <v>0.76567618987405683</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122506.62241618437</v>
      </c>
      <c r="H13" s="182"/>
      <c r="I13" s="188">
        <f>K13-G13</f>
        <v>53453.063194443414</v>
      </c>
      <c r="J13" s="182"/>
      <c r="K13" s="190">
        <f>Gleason!BT255/1000</f>
        <v>175959.68561062778</v>
      </c>
      <c r="M13" s="188">
        <f>+E13-K13</f>
        <v>-2317.9756106277928</v>
      </c>
      <c r="O13" s="191">
        <f>+G13/K13</f>
        <v>0.69621983007672017</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114897.10211701866</v>
      </c>
      <c r="H15" s="182"/>
      <c r="I15" s="188">
        <f>K15-G15</f>
        <v>47840.328929157404</v>
      </c>
      <c r="J15" s="182"/>
      <c r="K15" s="190">
        <f>Wheatland!BR212/1000</f>
        <v>162737.43104617606</v>
      </c>
      <c r="M15" s="188">
        <f>+E15-K15</f>
        <v>-1219.4829461760819</v>
      </c>
      <c r="O15" s="191">
        <f>+G15/K15</f>
        <v>0.70602750318958329</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432533.60604645684</v>
      </c>
      <c r="H17" s="204"/>
      <c r="I17" s="203">
        <f>SUM(I11:I15)</f>
        <v>161009.99022381127</v>
      </c>
      <c r="J17" s="182"/>
      <c r="K17" s="206">
        <f>SUM(K11:K15)</f>
        <v>593543.59627026808</v>
      </c>
      <c r="L17" s="182"/>
      <c r="M17" s="203">
        <f>SUM(M10:M15)</f>
        <v>-15641.712420268159</v>
      </c>
      <c r="N17" s="182"/>
      <c r="O17" s="207">
        <f>+G17/K17</f>
        <v>0.72873097909644391</v>
      </c>
    </row>
    <row r="18" spans="1:29" ht="13.8" thickBot="1">
      <c r="A18" s="208" t="s">
        <v>50</v>
      </c>
      <c r="B18" s="201"/>
      <c r="C18" s="208"/>
      <c r="D18" s="182"/>
      <c r="E18" s="209">
        <f>E17/C17</f>
        <v>364.14737482671705</v>
      </c>
      <c r="F18" s="204"/>
      <c r="G18" s="210"/>
      <c r="H18" s="211"/>
      <c r="I18" s="212"/>
      <c r="J18" s="213"/>
      <c r="K18" s="214">
        <f>+K17/C17</f>
        <v>374.00352632026977</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122</v>
      </c>
      <c r="H20" s="166"/>
      <c r="I20" s="166"/>
      <c r="J20" s="166"/>
      <c r="K20" s="167"/>
      <c r="L20" s="174"/>
      <c r="M20" s="174"/>
      <c r="O20"/>
    </row>
    <row r="21" spans="1:29" hidden="1">
      <c r="A21" s="226" t="s">
        <v>272</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3/3/00</v>
      </c>
      <c r="H22" s="182"/>
      <c r="I22" s="53" t="str">
        <f>I9</f>
        <v xml:space="preserve"> As of 3/3/00</v>
      </c>
      <c r="J22" s="182"/>
      <c r="K22" s="90" t="str">
        <f>K9</f>
        <v xml:space="preserve"> As of 3/3/00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3/3/00</v>
      </c>
      <c r="H35" s="182"/>
      <c r="I35" s="53" t="str">
        <f>O4</f>
        <v xml:space="preserve"> As of 3/3/00</v>
      </c>
      <c r="J35" s="182"/>
      <c r="K35" s="90" t="str">
        <f>O4</f>
        <v xml:space="preserve"> As of 3/3/00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295</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8"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286</v>
      </c>
      <c r="F49" s="33"/>
      <c r="G49"/>
      <c r="H49" s="33"/>
      <c r="I49" s="33"/>
      <c r="J49" s="33"/>
      <c r="K49" s="33"/>
      <c r="L49"/>
      <c r="M49"/>
      <c r="N49"/>
      <c r="O49"/>
    </row>
    <row r="50" spans="1:15" ht="13.8" thickBot="1">
      <c r="A50"/>
      <c r="B50"/>
      <c r="C50"/>
      <c r="D50"/>
      <c r="E50"/>
      <c r="F50"/>
      <c r="G50"/>
      <c r="H50"/>
      <c r="I50"/>
      <c r="J50"/>
      <c r="K50"/>
      <c r="L50"/>
      <c r="M50"/>
      <c r="N50"/>
      <c r="O50"/>
    </row>
    <row r="51" spans="1:15" s="233" customFormat="1" hidden="1">
      <c r="O51" s="232"/>
    </row>
    <row r="52" spans="1:15" hidden="1"/>
    <row r="53" spans="1:15" ht="13.8" hidden="1" thickBot="1"/>
    <row r="54" spans="1:15" ht="13.8"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280</v>
      </c>
      <c r="F57" s="219"/>
      <c r="G57" s="219"/>
      <c r="H57" s="219"/>
      <c r="I57" s="219"/>
      <c r="J57" s="219"/>
    </row>
    <row r="58" spans="1:15">
      <c r="A58" s="182"/>
      <c r="C58" s="228">
        <f>Wilton!BT124/1000</f>
        <v>-10411.332</v>
      </c>
      <c r="E58" s="175" t="s">
        <v>467</v>
      </c>
    </row>
    <row r="59" spans="1:15">
      <c r="A59" s="182"/>
      <c r="C59" s="228">
        <f>Wilton!BT12/1000</f>
        <v>-1832</v>
      </c>
      <c r="E59" s="175" t="s">
        <v>374</v>
      </c>
    </row>
    <row r="60" spans="1:15">
      <c r="A60" s="182"/>
      <c r="C60" s="228">
        <f>Wilton!BT15/1000</f>
        <v>-37.448</v>
      </c>
      <c r="E60" s="175" t="s">
        <v>377</v>
      </c>
    </row>
    <row r="61" spans="1:15">
      <c r="A61" s="182"/>
      <c r="C61" s="228">
        <f>Wilton!BT178/1000</f>
        <v>-3000</v>
      </c>
      <c r="E61" s="175" t="s">
        <v>375</v>
      </c>
    </row>
    <row r="62" spans="1:15">
      <c r="A62" s="182"/>
      <c r="C62" s="228">
        <f>(Wilton!BT167+Wilton!BT134+Wilton!BT143)/1000</f>
        <v>-198.09028000000026</v>
      </c>
      <c r="E62" s="175" t="s">
        <v>495</v>
      </c>
    </row>
    <row r="63" spans="1:15">
      <c r="A63" s="182"/>
      <c r="C63" s="228">
        <f>Wilton!BT176/1000</f>
        <v>-200</v>
      </c>
      <c r="E63" s="175" t="s">
        <v>566</v>
      </c>
    </row>
    <row r="64" spans="1:15">
      <c r="A64" s="182"/>
      <c r="C64" s="228">
        <f>Wilton!BT206/1000</f>
        <v>526.58693653571424</v>
      </c>
      <c r="E64" s="175" t="s">
        <v>565</v>
      </c>
    </row>
    <row r="65" spans="1:12">
      <c r="A65" s="182"/>
      <c r="C65" s="228">
        <f>(Wilton!BT197-Wilton!BT196-Wilton!BT195)/1000</f>
        <v>-325.49294000000003</v>
      </c>
      <c r="E65" s="175" t="s">
        <v>580</v>
      </c>
    </row>
    <row r="66" spans="1:12">
      <c r="A66" s="182"/>
      <c r="C66" s="228">
        <f>-Wilton!BR195/1000</f>
        <v>-191.01289000000003</v>
      </c>
      <c r="E66" s="175" t="s">
        <v>492</v>
      </c>
    </row>
    <row r="67" spans="1:12">
      <c r="A67" s="182"/>
      <c r="C67" s="228">
        <f>Wilton!BT204/1000</f>
        <v>-301.67212999999998</v>
      </c>
      <c r="E67" s="175" t="s">
        <v>501</v>
      </c>
    </row>
    <row r="68" spans="1:12">
      <c r="A68" s="182"/>
      <c r="C68" s="315">
        <v>4408.0720000000001</v>
      </c>
      <c r="E68" s="182" t="s">
        <v>376</v>
      </c>
      <c r="F68" s="182"/>
      <c r="G68" s="182"/>
      <c r="H68" s="182"/>
      <c r="I68" s="182"/>
    </row>
    <row r="69" spans="1:12">
      <c r="A69" s="182"/>
      <c r="C69" s="315">
        <f>Wilton!BT186/1000</f>
        <v>-116.24850000000001</v>
      </c>
      <c r="E69" s="182" t="s">
        <v>489</v>
      </c>
      <c r="F69" s="182"/>
      <c r="G69" s="182"/>
      <c r="H69" s="182"/>
      <c r="I69" s="182"/>
    </row>
    <row r="70" spans="1:12">
      <c r="A70" s="182"/>
      <c r="C70" s="247">
        <f>Wilton!BT156/1000</f>
        <v>-218.55581000000004</v>
      </c>
      <c r="D70" s="248"/>
      <c r="E70" s="248" t="s">
        <v>494</v>
      </c>
      <c r="F70" s="248"/>
      <c r="G70" s="248"/>
      <c r="H70" s="248"/>
      <c r="I70" s="248"/>
      <c r="J70" s="248"/>
      <c r="K70" s="248"/>
    </row>
    <row r="71" spans="1:12">
      <c r="A71" s="182"/>
      <c r="C71" s="455">
        <f>SUM(C57:C70)</f>
        <v>-12104.253613464287</v>
      </c>
      <c r="D71" s="182"/>
      <c r="E71" s="427" t="s">
        <v>469</v>
      </c>
      <c r="F71" s="182"/>
      <c r="G71" s="182"/>
      <c r="H71" s="182"/>
      <c r="I71" s="182"/>
      <c r="J71" s="182"/>
      <c r="K71" s="182"/>
      <c r="L71" s="182"/>
    </row>
    <row r="72" spans="1:12">
      <c r="A72" s="182"/>
      <c r="C72" s="456"/>
    </row>
    <row r="73" spans="1:12">
      <c r="A73" s="182"/>
      <c r="C73" s="456">
        <f>-'Wilton - Nepco Scope Changes'!M15/1000</f>
        <v>-2169.1590000000001</v>
      </c>
      <c r="E73" s="175" t="s">
        <v>581</v>
      </c>
    </row>
    <row r="74" spans="1:12" ht="13.8" thickBot="1">
      <c r="A74" s="182"/>
      <c r="C74" s="322">
        <f>SUM(C71:C73)</f>
        <v>-14273.412613464287</v>
      </c>
      <c r="D74" s="316"/>
      <c r="E74" s="317" t="s">
        <v>469</v>
      </c>
      <c r="F74" s="316"/>
      <c r="G74" s="316"/>
      <c r="H74" s="316"/>
      <c r="I74" s="316"/>
      <c r="J74" s="316"/>
      <c r="K74" s="316"/>
    </row>
    <row r="75" spans="1:12" ht="13.8" thickTop="1">
      <c r="A75" s="182"/>
      <c r="C75" s="228"/>
    </row>
    <row r="76" spans="1:12">
      <c r="A76" s="227" t="s">
        <v>296</v>
      </c>
      <c r="C76" s="228">
        <f>Gleason!BV238/1000</f>
        <v>-32.203279999999999</v>
      </c>
      <c r="E76" s="219" t="s">
        <v>280</v>
      </c>
      <c r="F76" s="219"/>
      <c r="G76" s="219"/>
      <c r="H76" s="219"/>
      <c r="I76" s="219"/>
    </row>
    <row r="77" spans="1:12">
      <c r="A77" s="227"/>
      <c r="C77" s="315">
        <f>Gleason!BV133/1000</f>
        <v>-3860.0135599999985</v>
      </c>
      <c r="D77" s="182"/>
      <c r="E77" s="175" t="s">
        <v>467</v>
      </c>
      <c r="F77" s="217"/>
      <c r="G77" s="217"/>
      <c r="H77" s="217"/>
      <c r="I77" s="217"/>
      <c r="J77" s="182"/>
      <c r="K77" s="182"/>
    </row>
    <row r="78" spans="1:12">
      <c r="A78" s="227"/>
      <c r="C78" s="315">
        <f>Gleason!BV16/1000</f>
        <v>-1981.0440000000001</v>
      </c>
      <c r="E78" s="175" t="s">
        <v>374</v>
      </c>
      <c r="F78" s="217"/>
      <c r="G78" s="217"/>
      <c r="H78" s="217"/>
      <c r="I78" s="217"/>
      <c r="J78" s="182"/>
      <c r="K78" s="182"/>
    </row>
    <row r="79" spans="1:12">
      <c r="A79" s="227"/>
      <c r="C79" s="315">
        <f>Gleason!BV33/1000</f>
        <v>-138.80000000000001</v>
      </c>
      <c r="E79" s="175" t="s">
        <v>534</v>
      </c>
      <c r="F79" s="217"/>
      <c r="G79" s="217"/>
      <c r="H79" s="217"/>
      <c r="I79" s="217"/>
      <c r="J79" s="182"/>
      <c r="K79" s="182"/>
    </row>
    <row r="80" spans="1:12">
      <c r="A80" s="227"/>
      <c r="C80" s="315">
        <f>Gleason!BV218/1000</f>
        <v>-1690.117</v>
      </c>
      <c r="E80" s="175" t="s">
        <v>497</v>
      </c>
      <c r="F80" s="217"/>
      <c r="G80" s="217"/>
      <c r="H80" s="217"/>
      <c r="I80" s="217"/>
      <c r="J80" s="182"/>
      <c r="K80" s="182"/>
    </row>
    <row r="81" spans="1:15">
      <c r="A81" s="227"/>
      <c r="C81" s="315">
        <f>Gleason!BV237/1000</f>
        <v>-191.01290000000003</v>
      </c>
      <c r="E81" s="175" t="s">
        <v>492</v>
      </c>
      <c r="F81" s="217"/>
      <c r="G81" s="217"/>
      <c r="H81" s="217"/>
      <c r="I81" s="217"/>
      <c r="J81" s="182"/>
      <c r="K81" s="182"/>
    </row>
    <row r="82" spans="1:15">
      <c r="A82" s="227"/>
      <c r="C82" s="315">
        <f>Gleason!BV247/1000</f>
        <v>302.1394893722404</v>
      </c>
      <c r="E82" s="175" t="s">
        <v>565</v>
      </c>
      <c r="F82" s="217"/>
      <c r="G82" s="217"/>
      <c r="H82" s="217"/>
      <c r="I82" s="217"/>
      <c r="J82" s="182"/>
      <c r="K82" s="182"/>
    </row>
    <row r="83" spans="1:15">
      <c r="A83" s="227"/>
      <c r="C83" s="315">
        <f>Gleason!BV245/1000</f>
        <v>-252.20846000000003</v>
      </c>
      <c r="E83" s="175" t="s">
        <v>502</v>
      </c>
      <c r="F83" s="217"/>
      <c r="G83" s="217"/>
      <c r="H83" s="217"/>
      <c r="I83" s="217"/>
      <c r="J83" s="182"/>
      <c r="K83" s="182"/>
    </row>
    <row r="84" spans="1:15">
      <c r="A84" s="227"/>
      <c r="C84" s="315">
        <f>Gleason!BV185/1000</f>
        <v>-39.51</v>
      </c>
      <c r="E84" s="175" t="s">
        <v>535</v>
      </c>
      <c r="F84" s="217"/>
      <c r="G84" s="217"/>
      <c r="H84" s="217"/>
      <c r="I84" s="217"/>
      <c r="J84" s="182"/>
      <c r="K84" s="182"/>
    </row>
    <row r="85" spans="1:15">
      <c r="A85" s="227"/>
      <c r="C85" s="315">
        <f>Gleason!BV195/1000</f>
        <v>-43.13025999999995</v>
      </c>
      <c r="E85" s="175" t="s">
        <v>536</v>
      </c>
      <c r="F85" s="217"/>
      <c r="G85" s="217"/>
      <c r="H85" s="217"/>
      <c r="I85" s="217"/>
      <c r="J85" s="182"/>
      <c r="K85" s="182"/>
    </row>
    <row r="86" spans="1:15">
      <c r="A86" s="227"/>
      <c r="C86" s="315">
        <f>Gleason!BV236/1000</f>
        <v>-64.638389999999987</v>
      </c>
      <c r="E86" s="175" t="s">
        <v>580</v>
      </c>
      <c r="F86" s="217"/>
      <c r="G86" s="217"/>
      <c r="H86" s="217"/>
      <c r="I86" s="217"/>
      <c r="J86" s="182"/>
      <c r="K86" s="182"/>
    </row>
    <row r="87" spans="1:15">
      <c r="A87" s="227"/>
      <c r="C87" s="315">
        <f>Gleason!BV251/1000</f>
        <v>5423.4979999999996</v>
      </c>
      <c r="D87" s="182"/>
      <c r="E87" s="182" t="s">
        <v>376</v>
      </c>
      <c r="F87" s="217"/>
      <c r="G87" s="217"/>
      <c r="H87" s="217"/>
      <c r="I87" s="217"/>
      <c r="J87" s="182"/>
      <c r="K87" s="182"/>
    </row>
    <row r="88" spans="1:15" s="30" customFormat="1">
      <c r="A88" s="227"/>
      <c r="B88" s="182"/>
      <c r="C88" s="247">
        <f>Gleason!BV141/1000</f>
        <v>250</v>
      </c>
      <c r="D88" s="248"/>
      <c r="E88" s="369" t="s">
        <v>498</v>
      </c>
      <c r="F88" s="314"/>
      <c r="G88" s="314"/>
      <c r="H88" s="314"/>
      <c r="I88" s="314"/>
      <c r="J88" s="248"/>
      <c r="K88" s="248"/>
      <c r="L88" s="182"/>
      <c r="M88" s="182"/>
      <c r="N88" s="182"/>
      <c r="O88" s="182"/>
    </row>
    <row r="89" spans="1:15">
      <c r="A89" s="227"/>
      <c r="C89" s="455">
        <f>SUM(C76:C88)</f>
        <v>-2317.0403606277596</v>
      </c>
      <c r="D89" s="182"/>
      <c r="E89" s="323" t="s">
        <v>466</v>
      </c>
      <c r="F89" s="217"/>
      <c r="G89" s="217"/>
      <c r="H89" s="217"/>
      <c r="I89" s="217"/>
      <c r="J89" s="182"/>
      <c r="K89" s="182"/>
    </row>
    <row r="90" spans="1:15">
      <c r="A90" s="182"/>
      <c r="C90" s="228"/>
      <c r="E90" s="219"/>
      <c r="F90" s="219"/>
      <c r="G90" s="219"/>
      <c r="H90" s="219"/>
      <c r="I90" s="219"/>
    </row>
    <row r="91" spans="1:15">
      <c r="A91" s="182"/>
      <c r="C91" s="228">
        <f>Gleason!BT129/1000</f>
        <v>-3387.761</v>
      </c>
      <c r="E91" s="175" t="s">
        <v>582</v>
      </c>
    </row>
    <row r="92" spans="1:15" ht="13.8" thickBot="1">
      <c r="A92" s="182"/>
      <c r="C92" s="321">
        <f>SUM(C89:C91)</f>
        <v>-5704.80136062776</v>
      </c>
      <c r="D92" s="316"/>
      <c r="E92" s="317" t="s">
        <v>469</v>
      </c>
      <c r="F92" s="316"/>
      <c r="G92" s="318"/>
      <c r="H92" s="319"/>
      <c r="I92" s="320"/>
      <c r="J92" s="316"/>
      <c r="K92" s="316"/>
    </row>
    <row r="93" spans="1:15" ht="13.8" thickTop="1">
      <c r="A93" s="182"/>
      <c r="C93" s="228"/>
      <c r="E93" s="219"/>
      <c r="F93" s="219"/>
      <c r="G93" s="219"/>
      <c r="H93" s="219"/>
      <c r="I93" s="219"/>
    </row>
    <row r="94" spans="1:15">
      <c r="A94" s="227" t="s">
        <v>194</v>
      </c>
      <c r="C94" s="228">
        <f>Wheatland!BT195/1000</f>
        <v>-168.35607999999999</v>
      </c>
      <c r="E94" s="219" t="s">
        <v>280</v>
      </c>
    </row>
    <row r="95" spans="1:15">
      <c r="C95" s="228">
        <f>Wheatland!BT127/1000</f>
        <v>-2702.085</v>
      </c>
      <c r="E95" s="175" t="s">
        <v>468</v>
      </c>
    </row>
    <row r="96" spans="1:15">
      <c r="A96" s="231"/>
      <c r="B96" s="232"/>
      <c r="C96" s="228">
        <f>Wheatland!BT12/1000</f>
        <v>-297.80099999999999</v>
      </c>
      <c r="D96" s="232"/>
      <c r="E96" s="175" t="s">
        <v>374</v>
      </c>
      <c r="F96" s="232"/>
      <c r="G96" s="232"/>
      <c r="H96" s="232"/>
      <c r="I96" s="232"/>
      <c r="J96" s="232"/>
      <c r="K96" s="232"/>
      <c r="L96" s="232"/>
      <c r="M96" s="232"/>
      <c r="N96" s="232"/>
    </row>
    <row r="97" spans="1:15">
      <c r="C97" s="228">
        <f>Wheatland!BT32/1000</f>
        <v>-78.48</v>
      </c>
      <c r="E97" s="175" t="s">
        <v>377</v>
      </c>
    </row>
    <row r="98" spans="1:15">
      <c r="C98" s="228">
        <f>Wheatland!BT166/1000</f>
        <v>-1122.58996</v>
      </c>
      <c r="E98" s="175" t="s">
        <v>455</v>
      </c>
    </row>
    <row r="99" spans="1:15">
      <c r="C99" s="228">
        <f>Wheatland!BT194/1000</f>
        <v>-195.04080999999999</v>
      </c>
      <c r="E99" s="175" t="s">
        <v>503</v>
      </c>
    </row>
    <row r="100" spans="1:15">
      <c r="C100" s="228">
        <f>Wheatland!BT203/1000</f>
        <v>-301.67212999999998</v>
      </c>
      <c r="E100" s="175" t="s">
        <v>502</v>
      </c>
    </row>
    <row r="101" spans="1:15">
      <c r="C101" s="228">
        <f>Wheatland!BT205/1000</f>
        <v>322.39003382392974</v>
      </c>
      <c r="E101" s="175" t="s">
        <v>541</v>
      </c>
    </row>
    <row r="102" spans="1:15">
      <c r="A102" s="231"/>
      <c r="B102" s="232"/>
      <c r="C102" s="247">
        <v>3324.1521000000002</v>
      </c>
      <c r="D102" s="428"/>
      <c r="E102" s="248" t="s">
        <v>376</v>
      </c>
      <c r="F102" s="428"/>
      <c r="G102" s="428"/>
      <c r="H102" s="428"/>
      <c r="I102" s="428"/>
      <c r="J102" s="427"/>
      <c r="K102" s="427"/>
      <c r="L102" s="232"/>
      <c r="M102" s="232"/>
    </row>
    <row r="103" spans="1:15" ht="14.25" customHeight="1">
      <c r="C103" s="457">
        <f>SUM(C94:C102)</f>
        <v>-1219.4828461760699</v>
      </c>
      <c r="D103" s="182"/>
      <c r="E103" s="427" t="s">
        <v>469</v>
      </c>
      <c r="F103" s="182"/>
      <c r="G103" s="182"/>
      <c r="H103" s="182"/>
      <c r="I103" s="182"/>
      <c r="J103" s="182"/>
      <c r="K103" s="182"/>
    </row>
    <row r="105" spans="1:15">
      <c r="C105" s="228">
        <f>Wheatland!BR123/1000</f>
        <v>-3953.393</v>
      </c>
      <c r="E105" s="175" t="s">
        <v>582</v>
      </c>
    </row>
    <row r="106" spans="1:15" ht="13.8" thickBot="1">
      <c r="A106"/>
      <c r="B106"/>
      <c r="C106" s="321">
        <f>C103+C105</f>
        <v>-5172.8758461760699</v>
      </c>
      <c r="D106" s="316"/>
      <c r="E106" s="317" t="s">
        <v>469</v>
      </c>
      <c r="F106" s="316"/>
      <c r="G106" s="318"/>
      <c r="H106" s="319"/>
      <c r="I106" s="320"/>
      <c r="J106" s="316"/>
      <c r="K106" s="316"/>
      <c r="L106"/>
      <c r="M106"/>
      <c r="N106"/>
      <c r="O106"/>
    </row>
    <row r="107" spans="1:15" ht="13.8" thickTop="1">
      <c r="A107"/>
      <c r="B107"/>
      <c r="C107"/>
      <c r="D107"/>
      <c r="E107"/>
      <c r="F107"/>
      <c r="G107"/>
      <c r="H107"/>
      <c r="I107"/>
      <c r="J107"/>
      <c r="K107"/>
      <c r="L107"/>
      <c r="M107"/>
      <c r="N107"/>
      <c r="O107"/>
    </row>
    <row r="108" spans="1:15">
      <c r="B108" s="26"/>
      <c r="C108" s="177"/>
    </row>
    <row r="109" spans="1:15">
      <c r="A109" s="220" t="str">
        <f ca="1">CELL("FILENAME")</f>
        <v>O:\Fin_Ops\Engysvc\PowerPlants\2000 Plants\Weekly Report\[2000 Weekly Report - 030700.xls]Summary</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V9" activePane="bottomRight" state="frozen"/>
      <selection activeCell="C53" sqref="C53"/>
      <selection pane="topRight" activeCell="C53" sqref="C53"/>
      <selection pane="bottomLeft" activeCell="C53" sqref="C53"/>
      <selection pane="bottomRight" activeCell="B5" sqref="B5"/>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- 030700.xls]Summary</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36591.455736111115</v>
      </c>
      <c r="BR3" s="23"/>
      <c r="BT3" s="78" t="str">
        <f>Summary!A5</f>
        <v>Revision # 47</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371</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c r="AJ7" s="82" t="str">
        <f>+Summary!$O$4</f>
        <v xml:space="preserve"> As of 3/3/00</v>
      </c>
      <c r="AK7"/>
      <c r="AL7" s="82" t="str">
        <f>+Summary!$O$4</f>
        <v xml:space="preserve"> As of 3/3/00</v>
      </c>
      <c r="AM7"/>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82"/>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L7" s="71" t="str">
        <f>+Summary!$O$4</f>
        <v xml:space="preserve"> As of 3/3/00</v>
      </c>
      <c r="BN7" s="64" t="str">
        <f>+Summary!$O$4</f>
        <v xml:space="preserve"> As of 3/3/00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311</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299</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300</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301</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302</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303</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304</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305</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306</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307</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308</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537</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309</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310</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538</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331</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332</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312</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313</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314</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315</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316</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317</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318</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319</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320</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321</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322</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323</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324</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325</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326</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327</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328</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329</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330</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333</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361</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334</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335</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336</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337</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338</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339</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340</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341</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342</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372</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343</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344</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345</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346</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347</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348</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349</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350</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351</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352</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353</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354</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355</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356</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357</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358</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359</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360</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552</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553</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362</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364</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363</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379</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378</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0</v>
      </c>
      <c r="AZ127" s="6">
        <v>0</v>
      </c>
      <c r="BB127" s="6">
        <v>0</v>
      </c>
      <c r="BD127" s="6">
        <v>0</v>
      </c>
      <c r="BF127" s="6">
        <v>0</v>
      </c>
      <c r="BH127" s="6">
        <v>0</v>
      </c>
      <c r="BJ127" s="6">
        <v>0</v>
      </c>
      <c r="BK127" s="6"/>
      <c r="BL127" s="6">
        <f t="shared" ref="BL127:BL132" si="25">SUM(T127:BK127)</f>
        <v>628466.34333333327</v>
      </c>
      <c r="BM127" s="6"/>
      <c r="BN127" s="6">
        <v>5000</v>
      </c>
      <c r="BO127" s="6"/>
      <c r="BP127" s="6">
        <f t="shared" ref="BP127:BP133" si="26">IF(+R127-BL127+BN127&gt;0,R127-BL127+BN127,0)</f>
        <v>311733.65666666673</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0</v>
      </c>
      <c r="AZ128" s="6">
        <v>0</v>
      </c>
      <c r="BB128" s="6">
        <v>0</v>
      </c>
      <c r="BD128" s="6">
        <v>0</v>
      </c>
      <c r="BF128" s="6">
        <v>0</v>
      </c>
      <c r="BH128" s="6">
        <v>0</v>
      </c>
      <c r="BJ128" s="6">
        <v>0</v>
      </c>
      <c r="BK128" s="6"/>
      <c r="BL128" s="6">
        <f t="shared" si="25"/>
        <v>1883194</v>
      </c>
      <c r="BM128" s="6"/>
      <c r="BN128" s="6">
        <v>0</v>
      </c>
      <c r="BO128" s="6"/>
      <c r="BP128" s="6">
        <f t="shared" si="26"/>
        <v>941606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2511660.3433333333</v>
      </c>
      <c r="BM134" s="115"/>
      <c r="BN134" s="116">
        <f>SUM(BN127:BN133)</f>
        <v>5000</v>
      </c>
      <c r="BO134" s="115"/>
      <c r="BP134" s="116">
        <f>SUM(BP127:BP133)</f>
        <v>4320039.6566666663</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583</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0</v>
      </c>
      <c r="AZ149" s="6">
        <v>0</v>
      </c>
      <c r="BB149" s="6">
        <v>0</v>
      </c>
      <c r="BD149" s="6">
        <v>0</v>
      </c>
      <c r="BF149" s="6">
        <v>0</v>
      </c>
      <c r="BH149" s="6">
        <v>0</v>
      </c>
      <c r="BJ149" s="6">
        <v>0</v>
      </c>
      <c r="BK149" s="6"/>
      <c r="BL149" s="6">
        <f>SUM(T149:BK149)</f>
        <v>37000</v>
      </c>
      <c r="BM149" s="6"/>
      <c r="BN149" s="6">
        <v>0</v>
      </c>
      <c r="BO149" s="6"/>
      <c r="BP149" s="6">
        <f>IF(+R149-BL149+BN149&gt;0,R149-BL149+BN149,0)</f>
        <v>148000</v>
      </c>
      <c r="BQ149" s="22"/>
      <c r="BR149" s="6">
        <f>+BL149+BP149</f>
        <v>185000</v>
      </c>
      <c r="BS149" s="22"/>
      <c r="BT149" s="6">
        <f>+R149-BR149</f>
        <v>0</v>
      </c>
      <c r="BU149" s="6"/>
    </row>
    <row r="150" spans="1:73">
      <c r="A150" s="61"/>
      <c r="B150" s="17" t="s">
        <v>585</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X150" s="6">
        <v>0</v>
      </c>
      <c r="AZ150" s="6">
        <v>0</v>
      </c>
      <c r="BB150" s="6">
        <v>0</v>
      </c>
      <c r="BD150" s="6">
        <v>0</v>
      </c>
      <c r="BF150" s="6">
        <v>0</v>
      </c>
      <c r="BH150" s="6">
        <v>0</v>
      </c>
      <c r="BJ150" s="6">
        <v>0</v>
      </c>
      <c r="BK150" s="6"/>
      <c r="BL150" s="6">
        <f>SUM(T150:BK150)</f>
        <v>0</v>
      </c>
      <c r="BM150" s="6"/>
      <c r="BN150" s="6">
        <v>0</v>
      </c>
      <c r="BO150" s="6"/>
      <c r="BP150" s="6">
        <f>+R150-BL150+BN150</f>
        <v>723786</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37000</v>
      </c>
      <c r="BM152" s="9"/>
      <c r="BN152" s="102">
        <f>SUM(BN149:BN151)</f>
        <v>0</v>
      </c>
      <c r="BO152" s="9"/>
      <c r="BP152" s="102">
        <f>SUM(BP149:BP151)</f>
        <v>871786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6">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564</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0</v>
      </c>
      <c r="AY192" s="12"/>
      <c r="AZ192" s="12">
        <v>0</v>
      </c>
      <c r="BA192" s="12"/>
      <c r="BB192" s="12">
        <v>0</v>
      </c>
      <c r="BC192" s="12"/>
      <c r="BD192" s="12">
        <v>0</v>
      </c>
      <c r="BE192" s="12"/>
      <c r="BF192" s="12">
        <v>0</v>
      </c>
      <c r="BG192" s="12"/>
      <c r="BH192" s="12">
        <v>0</v>
      </c>
      <c r="BI192" s="12"/>
      <c r="BJ192" s="12">
        <v>0</v>
      </c>
      <c r="BK192" s="12"/>
      <c r="BL192" s="12">
        <f t="shared" si="30"/>
        <v>71891.88</v>
      </c>
      <c r="BM192" s="12"/>
      <c r="BN192" s="12">
        <v>6683</v>
      </c>
      <c r="BO192" s="12"/>
      <c r="BP192" s="6">
        <f t="shared" si="31"/>
        <v>0</v>
      </c>
      <c r="BQ192" s="12"/>
      <c r="BR192" s="6">
        <f t="shared" si="32"/>
        <v>71891.88</v>
      </c>
      <c r="BS192" s="12"/>
      <c r="BT192" s="6">
        <f t="shared" si="33"/>
        <v>-26891.880000000005</v>
      </c>
      <c r="BU192" s="12"/>
    </row>
    <row r="193" spans="1:122" s="11" customFormat="1">
      <c r="A193" s="17"/>
      <c r="B193" s="11" t="s">
        <v>373</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v>0</v>
      </c>
      <c r="AY194" s="12"/>
      <c r="AZ194" s="12">
        <v>0</v>
      </c>
      <c r="BA194" s="12"/>
      <c r="BB194" s="12">
        <v>0</v>
      </c>
      <c r="BC194" s="12"/>
      <c r="BD194" s="12">
        <v>0</v>
      </c>
      <c r="BE194" s="12"/>
      <c r="BF194" s="12">
        <v>0</v>
      </c>
      <c r="BG194" s="12"/>
      <c r="BH194" s="12">
        <v>0</v>
      </c>
      <c r="BI194" s="12"/>
      <c r="BJ194" s="12">
        <v>0</v>
      </c>
      <c r="BK194" s="12"/>
      <c r="BL194" s="12">
        <f t="shared" si="30"/>
        <v>216689.38999999998</v>
      </c>
      <c r="BM194" s="12"/>
      <c r="BN194" s="12">
        <v>106842</v>
      </c>
      <c r="BO194" s="12"/>
      <c r="BP194" s="6">
        <f t="shared" si="31"/>
        <v>24745.610000000015</v>
      </c>
      <c r="BQ194" s="12"/>
      <c r="BR194" s="6">
        <f t="shared" si="32"/>
        <v>241435</v>
      </c>
      <c r="BS194" s="12"/>
      <c r="BT194" s="6">
        <f t="shared" si="33"/>
        <v>-106842</v>
      </c>
      <c r="BU194" s="12"/>
    </row>
    <row r="195" spans="1:122" s="11" customFormat="1">
      <c r="A195" s="17"/>
      <c r="B195" s="11" t="s">
        <v>491</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284</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42246.16</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913412.24</v>
      </c>
      <c r="BM197" s="102">
        <f t="shared" ref="BM197:BT197" si="36">SUM(BM191:BM196)</f>
        <v>0</v>
      </c>
      <c r="BN197" s="102">
        <f t="shared" si="36"/>
        <v>402684</v>
      </c>
      <c r="BO197" s="102">
        <f t="shared" si="36"/>
        <v>0</v>
      </c>
      <c r="BP197" s="102">
        <f t="shared" si="36"/>
        <v>24746.589999999997</v>
      </c>
      <c r="BQ197" s="102">
        <f t="shared" si="36"/>
        <v>0</v>
      </c>
      <c r="BR197" s="102">
        <f t="shared" si="36"/>
        <v>938158.83</v>
      </c>
      <c r="BS197" s="102">
        <f t="shared" si="36"/>
        <v>0</v>
      </c>
      <c r="BT197" s="102">
        <f t="shared" si="36"/>
        <v>-723565.83000000007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500</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f>[1]Wilton!$Q$40</f>
        <v>1048965.8687712126</v>
      </c>
      <c r="AW206" s="10"/>
      <c r="AX206" s="10">
        <v>0</v>
      </c>
      <c r="AY206" s="10"/>
      <c r="AZ206" s="10">
        <v>0</v>
      </c>
      <c r="BA206" s="10"/>
      <c r="BB206" s="10">
        <v>0</v>
      </c>
      <c r="BC206" s="10"/>
      <c r="BD206" s="10">
        <v>0</v>
      </c>
      <c r="BE206" s="10"/>
      <c r="BF206" s="10">
        <v>0</v>
      </c>
      <c r="BG206" s="10"/>
      <c r="BH206" s="10">
        <v>0</v>
      </c>
      <c r="BI206" s="10"/>
      <c r="BJ206" s="10">
        <v>0</v>
      </c>
      <c r="BK206" s="10"/>
      <c r="BL206" s="10">
        <f>SUM(T206:BK206)</f>
        <v>7223533.1999205276</v>
      </c>
      <c r="BM206" s="10"/>
      <c r="BN206" s="10">
        <v>0</v>
      </c>
      <c r="BO206" s="10"/>
      <c r="BP206" s="6">
        <f>IF(+R206-BL206+BN206&gt;0,R206-BL206+BN206,0)-R206+[1]Wilton!$Y$40</f>
        <v>5058003.8635437582</v>
      </c>
      <c r="BQ206" s="10"/>
      <c r="BR206" s="9">
        <f>+BL206+BP206</f>
        <v>12281537.063464286</v>
      </c>
      <c r="BS206" s="10"/>
      <c r="BT206" s="9">
        <f>+R206-BR206</f>
        <v>526586.93653571419</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1562901.6987712125</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12591027.149920531</v>
      </c>
      <c r="BM208" s="120">
        <f t="shared" si="37"/>
        <v>0</v>
      </c>
      <c r="BN208" s="120">
        <f t="shared" si="37"/>
        <v>3628502</v>
      </c>
      <c r="BO208" s="120">
        <f t="shared" si="37"/>
        <v>0</v>
      </c>
      <c r="BP208" s="120">
        <f t="shared" si="37"/>
        <v>16607213.463543758</v>
      </c>
      <c r="BQ208" s="120">
        <f t="shared" si="37"/>
        <v>0</v>
      </c>
      <c r="BR208" s="120">
        <f t="shared" si="37"/>
        <v>29198240.613464285</v>
      </c>
      <c r="BS208" s="120">
        <f t="shared" si="37"/>
        <v>0</v>
      </c>
      <c r="BT208" s="120">
        <f>BT206+BT197+BT188+BT186+BT184+BT178+BT174+BT167+BT160+BT158+BT156+BT154+BT152+BT204+BT176</f>
        <v>-4226105.6134642866</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29307937.27877121</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195129881.51325384</v>
      </c>
      <c r="BM213" s="168">
        <f t="shared" si="39"/>
        <v>2030320</v>
      </c>
      <c r="BN213" s="168">
        <f t="shared" si="39"/>
        <v>9056102</v>
      </c>
      <c r="BO213" s="168">
        <f t="shared" si="39"/>
        <v>2030320</v>
      </c>
      <c r="BP213" s="168">
        <f t="shared" si="39"/>
        <v>59716598.100210421</v>
      </c>
      <c r="BQ213" s="168">
        <f t="shared" si="39"/>
        <v>2030320</v>
      </c>
      <c r="BR213" s="168">
        <f t="shared" si="39"/>
        <v>254846479.6134643</v>
      </c>
      <c r="BS213" s="168">
        <f t="shared" si="39"/>
        <v>2030320</v>
      </c>
      <c r="BT213" s="168">
        <f t="shared" si="39"/>
        <v>-12104253.863464287</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419155.39410109259</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370</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29307937.27877121</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194975252.02325383</v>
      </c>
      <c r="BM222" s="10">
        <f>BM213+BM216+BM218</f>
        <v>2030320</v>
      </c>
      <c r="BN222" s="10">
        <f>BN213+BN216+BN218</f>
        <v>9056102</v>
      </c>
      <c r="BO222" s="10">
        <f>BO213+BO216+BO218</f>
        <v>2030320</v>
      </c>
      <c r="BP222" s="6">
        <f>IF(+R222-BL222+BN222&gt;0,R222-BL222+BN222,0)</f>
        <v>56760498.726746172</v>
      </c>
      <c r="BQ222" s="10">
        <f>BQ213+BQ216+BQ218</f>
        <v>2030320</v>
      </c>
      <c r="BR222" s="10">
        <f>BR213+BR216+BR218+BR220</f>
        <v>254691850.12346429</v>
      </c>
      <c r="BS222" s="10">
        <f>BS213+BS216+BS218</f>
        <v>2030320</v>
      </c>
      <c r="BT222" s="10">
        <f>BT213+BT216+BT218</f>
        <v>-12104253.863464287</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6">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8"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8"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271</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29307937.27877121</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195274776.29325384</v>
      </c>
      <c r="BM236" s="121">
        <f t="shared" si="44"/>
        <v>2030320</v>
      </c>
      <c r="BN236" s="121">
        <f t="shared" si="44"/>
        <v>9056102</v>
      </c>
      <c r="BO236" s="121">
        <f t="shared" si="44"/>
        <v>2030320</v>
      </c>
      <c r="BP236" s="121">
        <f t="shared" si="44"/>
        <v>56760498.726746172</v>
      </c>
      <c r="BQ236" s="121">
        <f t="shared" si="44"/>
        <v>2030320</v>
      </c>
      <c r="BR236" s="121">
        <f t="shared" si="44"/>
        <v>254991374.3934643</v>
      </c>
      <c r="BS236" s="121">
        <f t="shared" si="44"/>
        <v>2030320</v>
      </c>
      <c r="BT236" s="121">
        <f t="shared" si="44"/>
        <v>-12104253.863464287</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9" activePane="bottomRight" state="frozen"/>
      <selection activeCell="C53" sqref="C53"/>
      <selection pane="topRight" activeCell="C53" sqref="C53"/>
      <selection pane="bottomLeft" activeCell="C53" sqref="C53"/>
      <selection pane="bottomRight" activeCell="BN9" sqref="BN9"/>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- 030700.xls]Summary</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36591.455736111115</v>
      </c>
      <c r="BT3" s="23"/>
      <c r="BV3" s="78" t="str">
        <f>Summary!A5</f>
        <v>Revision # 47</v>
      </c>
    </row>
    <row r="4" spans="1:76" s="18" customFormat="1" ht="15.6">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288</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s="69"/>
      <c r="AJ7" s="82" t="str">
        <f>+Summary!$O$4</f>
        <v xml:space="preserve"> As of 3/3/00</v>
      </c>
      <c r="AK7" s="69"/>
      <c r="AL7" s="82" t="str">
        <f>+Summary!$O$4</f>
        <v xml:space="preserve"> As of 3/3/00</v>
      </c>
      <c r="AM7" s="69"/>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69"/>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K7" s="82"/>
      <c r="BL7" s="82" t="str">
        <f>+Summary!$O$4</f>
        <v xml:space="preserve"> As of 3/3/00</v>
      </c>
      <c r="BN7" s="71" t="str">
        <f>+Summary!$O$4</f>
        <v xml:space="preserve"> As of 3/3/00</v>
      </c>
      <c r="BP7" s="64" t="str">
        <f>+Summary!$O$4</f>
        <v xml:space="preserve"> As of 3/3/00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281</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498</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583</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584</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274</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275</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276</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277</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278</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283</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490</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zoomScale="80" zoomScaleNormal="66" workbookViewId="0">
      <pane xSplit="19" ySplit="8" topLeftCell="AX244" activePane="bottomRight" state="frozen"/>
      <selection activeCell="C53" sqref="C53"/>
      <selection pane="topRight" activeCell="C53" sqref="C53"/>
      <selection pane="bottomLeft" activeCell="C53" sqref="C53"/>
      <selection pane="bottomRight" activeCell="S1" sqref="S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0.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0.1093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499</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- 030700.xls]Summary</v>
      </c>
    </row>
    <row r="3" spans="1:76" s="18" customFormat="1" ht="15.6">
      <c r="A3" s="99" t="s">
        <v>296</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36591.455736111115</v>
      </c>
      <c r="BT3" s="23"/>
      <c r="BV3" s="78" t="str">
        <f>Summary!A5</f>
        <v>Revision # 47</v>
      </c>
    </row>
    <row r="4" spans="1:76" s="18" customFormat="1" ht="15.6">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294</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s="69"/>
      <c r="AJ7" s="82" t="str">
        <f>+Summary!$O$4</f>
        <v xml:space="preserve"> As of 3/3/00</v>
      </c>
      <c r="AK7" s="69"/>
      <c r="AL7" s="82" t="str">
        <f>+Summary!$O$4</f>
        <v xml:space="preserve"> As of 3/3/00</v>
      </c>
      <c r="AM7" s="69"/>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69"/>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K7" s="82"/>
      <c r="BL7" s="82" t="str">
        <f>+Summary!$O$4</f>
        <v xml:space="preserve"> As of 3/3/00</v>
      </c>
      <c r="BN7" s="71" t="str">
        <f>+Summary!$O$4</f>
        <v xml:space="preserve"> As of 3/3/00</v>
      </c>
      <c r="BP7" s="64" t="str">
        <f>+Summary!$O$4</f>
        <v xml:space="preserve"> As of 3/3/00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311</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299</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300</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301</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302</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303</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304</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305</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306</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307</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308</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537</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309</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310</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538</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540</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561</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331</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332</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312</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313</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314</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315</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316</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317</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318</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319</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320</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321</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322</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323</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324</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325</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367</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326</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327</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368</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328</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369</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330</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333</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361</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334</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335</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336</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337</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338</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339</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340</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341</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342</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372</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343</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344</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345</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346</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347</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348</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349</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350</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351</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352</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353</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366</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354</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355</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356</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357</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358</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359</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362</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364</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363</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542</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365</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0</v>
      </c>
      <c r="BB136" s="6">
        <v>0</v>
      </c>
      <c r="BD136" s="6">
        <v>0</v>
      </c>
      <c r="BF136" s="6">
        <v>0</v>
      </c>
      <c r="BH136" s="6">
        <v>0</v>
      </c>
      <c r="BJ136" s="6">
        <v>0</v>
      </c>
      <c r="BL136" s="6">
        <v>0</v>
      </c>
      <c r="BM136" s="6"/>
      <c r="BN136" s="6">
        <f t="shared" ref="BN136:BN141" si="30">SUM(T136:BM136)</f>
        <v>619866.67999999993</v>
      </c>
      <c r="BO136" s="6"/>
      <c r="BP136" s="6">
        <v>0</v>
      </c>
      <c r="BQ136" s="6"/>
      <c r="BR136" s="6">
        <f t="shared" ref="BR136:BR142" si="31">IF(+R136-BN136+BP136&gt;0,R136-BN136+BP136,0)</f>
        <v>309933.32000000007</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0</v>
      </c>
      <c r="BB137" s="6">
        <v>0</v>
      </c>
      <c r="BD137" s="6">
        <v>0</v>
      </c>
      <c r="BF137" s="6">
        <v>0</v>
      </c>
      <c r="BH137" s="6">
        <v>0</v>
      </c>
      <c r="BJ137" s="6">
        <v>0</v>
      </c>
      <c r="BL137" s="6">
        <v>0</v>
      </c>
      <c r="BM137" s="6"/>
      <c r="BN137" s="6">
        <f t="shared" si="30"/>
        <v>1893782.66</v>
      </c>
      <c r="BO137" s="6"/>
      <c r="BP137" s="6">
        <v>0</v>
      </c>
      <c r="BQ137" s="6"/>
      <c r="BR137" s="6">
        <f t="shared" si="31"/>
        <v>946917.34000000008</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498</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2263649.34</v>
      </c>
      <c r="BO143" s="115"/>
      <c r="BP143" s="116">
        <f>SUM(BP136:BP142)</f>
        <v>0</v>
      </c>
      <c r="BQ143" s="115"/>
      <c r="BR143" s="116">
        <f>SUM(BR136:BR142)</f>
        <v>4323550.66</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583</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0</v>
      </c>
      <c r="BB167" s="6">
        <v>0</v>
      </c>
      <c r="BD167" s="6">
        <v>0</v>
      </c>
      <c r="BF167" s="6">
        <v>0</v>
      </c>
      <c r="BH167" s="6">
        <v>0</v>
      </c>
      <c r="BJ167" s="6">
        <v>0</v>
      </c>
      <c r="BL167" s="6">
        <v>0</v>
      </c>
      <c r="BM167" s="6"/>
      <c r="BN167" s="6">
        <f>SUM(T167:BM167)</f>
        <v>37000</v>
      </c>
      <c r="BO167" s="6"/>
      <c r="BP167" s="6">
        <v>0</v>
      </c>
      <c r="BQ167" s="6"/>
      <c r="BR167" s="6">
        <f>IF(+R167-BN167+BP167&gt;0,R167-BN167+BP167,0)</f>
        <v>148000</v>
      </c>
      <c r="BS167" s="22"/>
      <c r="BT167" s="6">
        <f>+BN167+BR167</f>
        <v>185000</v>
      </c>
      <c r="BU167" s="22"/>
      <c r="BV167" s="6">
        <f>+R167-BT167</f>
        <v>0</v>
      </c>
      <c r="BW167" s="6"/>
    </row>
    <row r="168" spans="1:75">
      <c r="A168" s="61"/>
      <c r="B168" s="17" t="s">
        <v>585</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723786</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37000</v>
      </c>
      <c r="BO170" s="9"/>
      <c r="BP170" s="102">
        <f>SUM(BP167:BP169)</f>
        <v>0</v>
      </c>
      <c r="BQ170" s="9"/>
      <c r="BR170" s="102">
        <f>SUM(BR167:BR169)</f>
        <v>871786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298</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BL193" s="6"/>
      <c r="BM193" s="6"/>
      <c r="BN193" s="6">
        <f t="shared" si="39"/>
        <v>513711.25999999995</v>
      </c>
      <c r="BO193" s="6"/>
      <c r="BP193" s="229">
        <v>0</v>
      </c>
      <c r="BQ193" s="6"/>
      <c r="BR193" s="6">
        <f t="shared" si="40"/>
        <v>0</v>
      </c>
      <c r="BT193" s="6">
        <f t="shared" si="41"/>
        <v>513711.25999999995</v>
      </c>
      <c r="BV193" s="6">
        <f>+R193-BT193</f>
        <v>-43130.259999999951</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583130.26</v>
      </c>
      <c r="BO195" s="9"/>
      <c r="BP195" s="102">
        <f>SUM(BP188:BP194)</f>
        <v>0</v>
      </c>
      <c r="BQ195" s="9"/>
      <c r="BR195" s="102">
        <f>SUM(BR188:BR194)</f>
        <v>0</v>
      </c>
      <c r="BS195" s="9"/>
      <c r="BT195" s="102">
        <f>SUM(BT188:BT194)</f>
        <v>583130.26</v>
      </c>
      <c r="BU195" s="9"/>
      <c r="BV195" s="102">
        <f>SUM(BV188:BV194)</f>
        <v>-43130.259999999951</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290</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275</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276</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516</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517</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518</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519</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520</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521</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522</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523</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524</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525</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526</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527</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528</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529</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530</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531</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532</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533</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278</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291</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292</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0</v>
      </c>
      <c r="BA236" s="12"/>
      <c r="BB236" s="12">
        <v>0</v>
      </c>
      <c r="BC236" s="12"/>
      <c r="BD236" s="12">
        <v>0</v>
      </c>
      <c r="BE236" s="12"/>
      <c r="BF236" s="12">
        <v>0</v>
      </c>
      <c r="BG236" s="12"/>
      <c r="BH236" s="12">
        <v>0</v>
      </c>
      <c r="BI236" s="12"/>
      <c r="BJ236" s="12">
        <v>0</v>
      </c>
      <c r="BK236" s="12"/>
      <c r="BL236" s="12">
        <v>0</v>
      </c>
      <c r="BM236" s="12"/>
      <c r="BN236" s="12">
        <f t="shared" si="46"/>
        <v>190403.38999999998</v>
      </c>
      <c r="BO236" s="12"/>
      <c r="BP236" s="12">
        <v>0</v>
      </c>
      <c r="BQ236" s="12"/>
      <c r="BR236" s="6">
        <f t="shared" si="47"/>
        <v>0</v>
      </c>
      <c r="BS236" s="12"/>
      <c r="BT236" s="6">
        <f t="shared" si="48"/>
        <v>190403.38999999998</v>
      </c>
      <c r="BU236" s="12"/>
      <c r="BV236" s="6">
        <f t="shared" si="49"/>
        <v>-64638.389999999985</v>
      </c>
      <c r="BW236" s="12"/>
    </row>
    <row r="237" spans="1:124" s="11" customFormat="1">
      <c r="A237" s="17"/>
      <c r="B237" s="11" t="s">
        <v>493</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283</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544747.45000000007</v>
      </c>
      <c r="BO239" s="102">
        <f t="shared" si="51"/>
        <v>0</v>
      </c>
      <c r="BP239" s="102">
        <f t="shared" si="51"/>
        <v>0</v>
      </c>
      <c r="BQ239" s="102">
        <f t="shared" si="51"/>
        <v>0</v>
      </c>
      <c r="BR239" s="102">
        <f t="shared" si="51"/>
        <v>143107.12000000002</v>
      </c>
      <c r="BS239" s="102">
        <f t="shared" si="51"/>
        <v>0</v>
      </c>
      <c r="BT239" s="102">
        <f t="shared" si="51"/>
        <v>687854.57000000007</v>
      </c>
      <c r="BU239" s="102">
        <f t="shared" si="51"/>
        <v>0</v>
      </c>
      <c r="BV239" s="102">
        <f t="shared" si="51"/>
        <v>-287854.57</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297</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502</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f>[1]Gleason!$R$40</f>
        <v>657673.00806343276</v>
      </c>
      <c r="AY247" s="10"/>
      <c r="AZ247" s="10">
        <v>0</v>
      </c>
      <c r="BA247" s="10"/>
      <c r="BB247" s="10">
        <v>0</v>
      </c>
      <c r="BC247" s="10"/>
      <c r="BD247" s="10">
        <v>0</v>
      </c>
      <c r="BE247" s="10"/>
      <c r="BF247" s="10">
        <v>0</v>
      </c>
      <c r="BG247" s="10"/>
      <c r="BH247" s="10">
        <v>0</v>
      </c>
      <c r="BI247" s="10"/>
      <c r="BJ247" s="10">
        <v>0</v>
      </c>
      <c r="BK247" s="10"/>
      <c r="BL247" s="10">
        <v>0</v>
      </c>
      <c r="BM247" s="10"/>
      <c r="BN247" s="10">
        <f>SUM(T247:BM247)</f>
        <v>7762753.026184367</v>
      </c>
      <c r="BO247" s="10"/>
      <c r="BP247" s="10">
        <v>0</v>
      </c>
      <c r="BQ247" s="10"/>
      <c r="BR247" s="6">
        <f>IF(+R247-BN247+BP247&gt;0,R247-BN247+BP247,0)-R247+[1]Gleason!$Z$40</f>
        <v>3275151.4844433926</v>
      </c>
      <c r="BS247" s="10"/>
      <c r="BT247" s="9">
        <f>+BN247+BR247</f>
        <v>11037904.51062776</v>
      </c>
      <c r="BU247" s="10"/>
      <c r="BV247" s="9">
        <f>+R247-BT247</f>
        <v>302139.48937224038</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769171.72806343273</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9926789.7961843666</v>
      </c>
      <c r="BO249" s="120">
        <f t="shared" si="52"/>
        <v>0</v>
      </c>
      <c r="BP249" s="120">
        <f t="shared" si="52"/>
        <v>0</v>
      </c>
      <c r="BQ249" s="120">
        <f t="shared" si="52"/>
        <v>0</v>
      </c>
      <c r="BR249" s="120">
        <f t="shared" si="52"/>
        <v>8374587.2544433931</v>
      </c>
      <c r="BS249" s="120">
        <f t="shared" si="52"/>
        <v>0</v>
      </c>
      <c r="BT249" s="120">
        <f>BT247+BT239+BT230+BT228+BT226+BT220+BT195+BT185+BT178+BT176+BT174+BT172+BT170+BT245</f>
        <v>18301377.050627761</v>
      </c>
      <c r="BU249" s="120">
        <f>BU247+BU239+BU230+BU228+BU226+BU220+BU195+BU185+BU178+BU176+BU174+BU172+BU170+BU245</f>
        <v>0</v>
      </c>
      <c r="BV249" s="120">
        <f>BV247+BV239+BV230+BV228+BV226+BV220+BV195+BV185+BV178+BV176+BV174+BV172+BV170+BV245</f>
        <v>-321499.0506277596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293</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7595603.0680634324</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122506622.41618437</v>
      </c>
      <c r="BO255" s="168">
        <f t="shared" si="54"/>
        <v>0</v>
      </c>
      <c r="BP255" s="168">
        <f t="shared" si="54"/>
        <v>4808902</v>
      </c>
      <c r="BQ255" s="168">
        <f t="shared" si="54"/>
        <v>2030320</v>
      </c>
      <c r="BR255" s="168">
        <f>BR37+BR143+BR133+BR218+BR148+BR249+BR251+BR253</f>
        <v>54587283.194443397</v>
      </c>
      <c r="BS255" s="168">
        <f t="shared" si="54"/>
        <v>2030320</v>
      </c>
      <c r="BT255" s="168">
        <f t="shared" si="54"/>
        <v>175959685.61062777</v>
      </c>
      <c r="BU255" s="168">
        <f t="shared" si="54"/>
        <v>2030320</v>
      </c>
      <c r="BV255" s="168">
        <f>R255-BT255</f>
        <v>-2317975.6106277704</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8" thickBot="1">
      <c r="A261" s="84" t="s">
        <v>289</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7595603.0680634324</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122504487.41618437</v>
      </c>
      <c r="BO261" s="121">
        <f t="shared" si="55"/>
        <v>0</v>
      </c>
      <c r="BP261" s="121">
        <f t="shared" si="55"/>
        <v>4808902</v>
      </c>
      <c r="BQ261" s="121">
        <f t="shared" si="55"/>
        <v>2030320</v>
      </c>
      <c r="BR261" s="121">
        <f t="shared" si="55"/>
        <v>54587283.194443397</v>
      </c>
      <c r="BS261" s="121">
        <f t="shared" si="55"/>
        <v>2030320</v>
      </c>
      <c r="BT261" s="121">
        <f t="shared" si="55"/>
        <v>175957550.61062777</v>
      </c>
      <c r="BU261" s="121">
        <f t="shared" si="55"/>
        <v>2030320</v>
      </c>
      <c r="BV261" s="121">
        <f t="shared" si="55"/>
        <v>-2315840.6106277704</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8"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7"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V8" activePane="bottomRight" state="frozen"/>
      <selection activeCell="C53" sqref="C53"/>
      <selection pane="topRight" activeCell="C53" sqref="C53"/>
      <selection pane="bottomLeft" activeCell="C53" sqref="C53"/>
      <selection pane="bottomRight" activeCell="AV1" sqref="AV1:AV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16.664062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- 030700.xls]Summary</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36591.455736111115</v>
      </c>
      <c r="BR3" s="23"/>
      <c r="BT3" s="78" t="str">
        <f>Summary!A5</f>
        <v>Revision # 47</v>
      </c>
    </row>
    <row r="4" spans="1:74" s="18" customFormat="1" ht="15.6">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3/3/00</v>
      </c>
      <c r="U7" s="96"/>
      <c r="V7" s="82" t="str">
        <f>+Summary!$O$4</f>
        <v xml:space="preserve"> As of 3/3/00</v>
      </c>
      <c r="W7" s="69"/>
      <c r="X7" s="82" t="str">
        <f>+Summary!$O$4</f>
        <v xml:space="preserve"> As of 3/3/00</v>
      </c>
      <c r="Y7" s="69"/>
      <c r="Z7" s="82" t="str">
        <f>+Summary!$O$4</f>
        <v xml:space="preserve"> As of 3/3/00</v>
      </c>
      <c r="AA7" s="69"/>
      <c r="AB7" s="82" t="str">
        <f>+Summary!$O$4</f>
        <v xml:space="preserve"> As of 3/3/00</v>
      </c>
      <c r="AC7" s="69"/>
      <c r="AD7" s="82" t="str">
        <f>+Summary!$O$4</f>
        <v xml:space="preserve"> As of 3/3/00</v>
      </c>
      <c r="AE7" s="69"/>
      <c r="AF7" s="82" t="str">
        <f>+Summary!$O$4</f>
        <v xml:space="preserve"> As of 3/3/00</v>
      </c>
      <c r="AG7" s="69"/>
      <c r="AH7" s="82" t="str">
        <f>+Summary!$O$4</f>
        <v xml:space="preserve"> As of 3/3/00</v>
      </c>
      <c r="AI7" s="69"/>
      <c r="AJ7" s="82" t="str">
        <f>+Summary!$O$4</f>
        <v xml:space="preserve"> As of 3/3/00</v>
      </c>
      <c r="AK7" s="69"/>
      <c r="AL7" s="82" t="str">
        <f>+Summary!$O$4</f>
        <v xml:space="preserve"> As of 3/3/00</v>
      </c>
      <c r="AM7" s="69"/>
      <c r="AN7" s="82" t="str">
        <f>+Summary!$O$4</f>
        <v xml:space="preserve"> As of 3/3/00</v>
      </c>
      <c r="AO7" s="69"/>
      <c r="AP7" s="82" t="str">
        <f>+Summary!$O$4</f>
        <v xml:space="preserve"> As of 3/3/00</v>
      </c>
      <c r="AQ7" s="69"/>
      <c r="AR7" s="82" t="str">
        <f>+Summary!$O$4</f>
        <v xml:space="preserve"> As of 3/3/00</v>
      </c>
      <c r="AS7" s="69"/>
      <c r="AT7" s="82" t="str">
        <f>+Summary!$O$4</f>
        <v xml:space="preserve"> As of 3/3/00</v>
      </c>
      <c r="AU7" s="82"/>
      <c r="AV7" s="82" t="str">
        <f>+Summary!$O$4</f>
        <v xml:space="preserve"> As of 3/3/00</v>
      </c>
      <c r="AW7" s="82"/>
      <c r="AX7" s="82" t="str">
        <f>+Summary!$O$4</f>
        <v xml:space="preserve"> As of 3/3/00</v>
      </c>
      <c r="AY7" s="82"/>
      <c r="AZ7" s="82" t="str">
        <f>+Summary!$O$4</f>
        <v xml:space="preserve"> As of 3/3/00</v>
      </c>
      <c r="BA7" s="82"/>
      <c r="BB7" s="82" t="str">
        <f>+Summary!$O$4</f>
        <v xml:space="preserve"> As of 3/3/00</v>
      </c>
      <c r="BC7" s="82"/>
      <c r="BD7" s="82" t="str">
        <f>+Summary!$O$4</f>
        <v xml:space="preserve"> As of 3/3/00</v>
      </c>
      <c r="BE7" s="82"/>
      <c r="BF7" s="82" t="str">
        <f>+Summary!$O$4</f>
        <v xml:space="preserve"> As of 3/3/00</v>
      </c>
      <c r="BG7" s="82"/>
      <c r="BH7" s="82" t="str">
        <f>+Summary!$O$4</f>
        <v xml:space="preserve"> As of 3/3/00</v>
      </c>
      <c r="BI7" s="82"/>
      <c r="BJ7" s="82" t="str">
        <f>+Summary!$O$4</f>
        <v xml:space="preserve"> As of 3/3/00</v>
      </c>
      <c r="BL7" s="71" t="str">
        <f>+Summary!$O$4</f>
        <v xml:space="preserve"> As of 3/3/00</v>
      </c>
      <c r="BN7" s="64" t="str">
        <f>+Summary!$O$4</f>
        <v xml:space="preserve"> As of 3/3/00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282</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311</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299</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300</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301</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302</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303</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304</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305</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306</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307</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308</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537</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309</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310</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538</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331</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332</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312</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313</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314</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315</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316</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317</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318</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319</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320</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321</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322</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323</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324</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325</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326</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327</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328</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329</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330</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333</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361</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334</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539</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335</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336</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337</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338</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339</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340</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341</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342</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372</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343</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344</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345</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346</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347</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348</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349</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350</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351</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352</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353</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366</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354</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355</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356</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357</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358</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359</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362</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364</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363</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542</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365</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0</v>
      </c>
      <c r="AZ131" s="6">
        <v>0</v>
      </c>
      <c r="BB131" s="6">
        <v>0</v>
      </c>
      <c r="BD131" s="6">
        <v>0</v>
      </c>
      <c r="BF131" s="6">
        <v>0</v>
      </c>
      <c r="BH131" s="6">
        <v>0</v>
      </c>
      <c r="BJ131" s="6">
        <v>0</v>
      </c>
      <c r="BK131" s="6"/>
      <c r="BL131" s="6">
        <f t="shared" ref="BL131:BL136" si="24">SUM(T131:BK131)</f>
        <v>619866.65333333332</v>
      </c>
      <c r="BM131" s="6"/>
      <c r="BN131" s="6">
        <v>0</v>
      </c>
      <c r="BO131" s="6"/>
      <c r="BP131" s="6">
        <f t="shared" ref="BP131:BP137" si="25">IF(+R131-BL131+BN131&gt;0,R131-BL131+BN131,0)</f>
        <v>309933.34666666668</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0</v>
      </c>
      <c r="AZ132" s="6">
        <v>0</v>
      </c>
      <c r="BB132" s="6">
        <v>0</v>
      </c>
      <c r="BD132" s="6">
        <v>0</v>
      </c>
      <c r="BF132" s="6">
        <v>0</v>
      </c>
      <c r="BH132" s="6">
        <v>0</v>
      </c>
      <c r="BJ132" s="6">
        <v>0</v>
      </c>
      <c r="BK132" s="6"/>
      <c r="BL132" s="6">
        <f t="shared" si="24"/>
        <v>1591126.3466666667</v>
      </c>
      <c r="BM132" s="6"/>
      <c r="BN132" s="6">
        <v>0</v>
      </c>
      <c r="BO132" s="6"/>
      <c r="BP132" s="6">
        <f t="shared" si="25"/>
        <v>795573.65333333332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2210993</v>
      </c>
      <c r="BM138" s="115"/>
      <c r="BN138" s="116">
        <f>SUM(BN131:BN137)</f>
        <v>0</v>
      </c>
      <c r="BO138" s="115"/>
      <c r="BP138" s="116">
        <f>SUM(BP131:BP137)</f>
        <v>4172207</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583</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0</v>
      </c>
      <c r="AZ148" s="6">
        <v>0</v>
      </c>
      <c r="BB148" s="6">
        <v>0</v>
      </c>
      <c r="BD148" s="6">
        <v>0</v>
      </c>
      <c r="BF148" s="6">
        <v>0</v>
      </c>
      <c r="BH148" s="6">
        <v>0</v>
      </c>
      <c r="BJ148" s="6">
        <v>0</v>
      </c>
      <c r="BK148" s="6"/>
      <c r="BL148" s="6">
        <f>SUM(T148:BK148)</f>
        <v>37000</v>
      </c>
      <c r="BM148" s="6"/>
      <c r="BN148" s="6">
        <v>0</v>
      </c>
      <c r="BO148" s="6"/>
      <c r="BP148" s="6">
        <f>IF(+R148-BL148+BN148&gt;0,R148-BL148+BN148,0)</f>
        <v>148000</v>
      </c>
      <c r="BQ148" s="22"/>
      <c r="BR148" s="6">
        <f>+BL148+BP148</f>
        <v>185000</v>
      </c>
      <c r="BS148" s="22"/>
      <c r="BT148" s="6">
        <f>+R148-BR148</f>
        <v>0</v>
      </c>
      <c r="BU148" s="6"/>
    </row>
    <row r="149" spans="1:73">
      <c r="A149" s="61"/>
      <c r="B149" s="17" t="s">
        <v>586</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723786</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37000</v>
      </c>
      <c r="BM151" s="9"/>
      <c r="BN151" s="102">
        <f>SUM(BN148:BN150)</f>
        <v>0</v>
      </c>
      <c r="BO151" s="9"/>
      <c r="BP151" s="102">
        <f>SUM(BP148:BP150)</f>
        <v>871786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0</v>
      </c>
      <c r="AY155" s="9"/>
      <c r="AZ155" s="9">
        <v>0</v>
      </c>
      <c r="BA155" s="9"/>
      <c r="BB155" s="9">
        <v>0</v>
      </c>
      <c r="BC155" s="9"/>
      <c r="BD155" s="9">
        <v>0</v>
      </c>
      <c r="BE155" s="9"/>
      <c r="BF155" s="9">
        <v>0</v>
      </c>
      <c r="BG155" s="9"/>
      <c r="BH155" s="9">
        <v>0</v>
      </c>
      <c r="BI155" s="9"/>
      <c r="BJ155" s="9">
        <v>0</v>
      </c>
      <c r="BK155" s="9"/>
      <c r="BL155" s="9">
        <f>SUM(T155:BK155)</f>
        <v>54881</v>
      </c>
      <c r="BM155" s="9"/>
      <c r="BN155" s="9">
        <v>0</v>
      </c>
      <c r="BO155" s="9"/>
      <c r="BP155" s="6">
        <f>IF(+R155-BL155+BN155&gt;0,R155-BL155+BN155,0)</f>
        <v>1445119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0</v>
      </c>
      <c r="AZ162" s="6">
        <v>0</v>
      </c>
      <c r="BB162" s="6">
        <v>0</v>
      </c>
      <c r="BD162" s="6">
        <v>0</v>
      </c>
      <c r="BF162" s="6">
        <v>0</v>
      </c>
      <c r="BH162" s="6">
        <v>0</v>
      </c>
      <c r="BJ162" s="6">
        <v>0</v>
      </c>
      <c r="BK162" s="6"/>
      <c r="BL162" s="6">
        <f>SUM(T162:BK162)</f>
        <v>59000</v>
      </c>
      <c r="BM162" s="6"/>
      <c r="BN162" s="6">
        <v>1000</v>
      </c>
      <c r="BO162" s="6"/>
      <c r="BP162" s="6">
        <f>IF(+R162-BL162+BN162&gt;0,R162-BL162+BN162,0)</f>
        <v>0</v>
      </c>
      <c r="BR162" s="6">
        <f>+BL162+BP162</f>
        <v>59000</v>
      </c>
      <c r="BT162" s="6">
        <f>+R162-BR162</f>
        <v>-16500</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0</v>
      </c>
      <c r="AZ164" s="6">
        <v>0</v>
      </c>
      <c r="BB164" s="6">
        <v>0</v>
      </c>
      <c r="BD164" s="6">
        <v>0</v>
      </c>
      <c r="BF164" s="6">
        <v>0</v>
      </c>
      <c r="BH164" s="6">
        <v>0</v>
      </c>
      <c r="BJ164" s="6">
        <v>0</v>
      </c>
      <c r="BK164" s="6"/>
      <c r="BL164" s="6">
        <f>SUM(T164:BK164)</f>
        <v>1833589.96</v>
      </c>
      <c r="BM164" s="6"/>
      <c r="BN164" s="6">
        <v>341944</v>
      </c>
      <c r="BO164" s="6"/>
      <c r="BP164" s="6">
        <f>IF(+R164-BL164+BN164&gt;0,R164-BL164+BN164,0)</f>
        <v>0</v>
      </c>
      <c r="BR164" s="6">
        <f>+BL164+BP164</f>
        <v>1833589.96</v>
      </c>
      <c r="BT164" s="6">
        <f>+R164-BR164</f>
        <v>-1106089.96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1892589.96</v>
      </c>
      <c r="BM166" s="9"/>
      <c r="BN166" s="102">
        <f>SUM(BN162:BN165)</f>
        <v>342944</v>
      </c>
      <c r="BO166" s="9"/>
      <c r="BP166" s="102">
        <f>SUM(BP162:BP165)</f>
        <v>0</v>
      </c>
      <c r="BQ166" s="9"/>
      <c r="BR166" s="102">
        <f>SUM(BR162:BR165)</f>
        <v>1892589.96</v>
      </c>
      <c r="BS166" s="9"/>
      <c r="BT166" s="102">
        <f>SUM(BT162:BT165)</f>
        <v>-1122589.96</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0</v>
      </c>
      <c r="AZ171" s="6">
        <v>0</v>
      </c>
      <c r="BB171" s="6">
        <v>0</v>
      </c>
      <c r="BD171" s="6">
        <v>0</v>
      </c>
      <c r="BF171" s="6">
        <v>0</v>
      </c>
      <c r="BH171" s="6">
        <v>0</v>
      </c>
      <c r="BJ171" s="6">
        <v>0</v>
      </c>
      <c r="BK171" s="6"/>
      <c r="BL171" s="6">
        <f>SUM(T171:BK171)</f>
        <v>419750.22</v>
      </c>
      <c r="BM171" s="6"/>
      <c r="BN171" s="6">
        <v>0</v>
      </c>
      <c r="BO171" s="6"/>
      <c r="BP171" s="6">
        <f>IF(+R171-BL171+BN171&gt;0,R171-BL171+BN171,0)</f>
        <v>30249.780000000028</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419750.22</v>
      </c>
      <c r="BM173" s="9"/>
      <c r="BN173" s="102">
        <f>SUM(BN169:BN172)</f>
        <v>0</v>
      </c>
      <c r="BO173" s="9"/>
      <c r="BP173" s="102">
        <f>SUM(BP169:BP172)</f>
        <v>30249.780000000028</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279</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0</v>
      </c>
      <c r="AY191" s="12"/>
      <c r="AZ191" s="12">
        <v>0</v>
      </c>
      <c r="BA191" s="12"/>
      <c r="BB191" s="12">
        <v>0</v>
      </c>
      <c r="BC191" s="12"/>
      <c r="BD191" s="12">
        <v>0</v>
      </c>
      <c r="BE191" s="12"/>
      <c r="BF191" s="12">
        <v>0</v>
      </c>
      <c r="BG191" s="12"/>
      <c r="BH191" s="12">
        <v>0</v>
      </c>
      <c r="BI191" s="12"/>
      <c r="BJ191" s="12">
        <v>0</v>
      </c>
      <c r="BK191" s="12"/>
      <c r="BL191" s="12">
        <f t="shared" si="28"/>
        <v>70795.69</v>
      </c>
      <c r="BM191" s="12"/>
      <c r="BN191" s="12">
        <v>0</v>
      </c>
      <c r="BO191" s="12"/>
      <c r="BP191" s="6">
        <f t="shared" si="29"/>
        <v>79204.31</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178994.02999999997</v>
      </c>
      <c r="BM193" s="12"/>
      <c r="BN193" s="12">
        <v>0</v>
      </c>
      <c r="BO193" s="12"/>
      <c r="BP193" s="6">
        <f t="shared" si="29"/>
        <v>41005.97000000003</v>
      </c>
      <c r="BQ193" s="12"/>
      <c r="BR193" s="6">
        <f t="shared" si="30"/>
        <v>220000</v>
      </c>
      <c r="BS193" s="12"/>
      <c r="BT193" s="6">
        <f t="shared" si="31"/>
        <v>0</v>
      </c>
      <c r="BU193" s="12"/>
    </row>
    <row r="194" spans="1:122" s="11" customFormat="1">
      <c r="A194" s="17"/>
      <c r="B194" s="11" t="s">
        <v>493</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283</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v>9122.91</v>
      </c>
      <c r="AW195" s="12"/>
      <c r="AX195" s="12"/>
      <c r="AY195" s="12"/>
      <c r="AZ195" s="12"/>
      <c r="BA195" s="12"/>
      <c r="BB195" s="12"/>
      <c r="BC195" s="12"/>
      <c r="BD195" s="12"/>
      <c r="BE195" s="12"/>
      <c r="BF195" s="12"/>
      <c r="BG195" s="12"/>
      <c r="BH195" s="12"/>
      <c r="BI195" s="12"/>
      <c r="BJ195" s="12"/>
      <c r="BK195" s="12"/>
      <c r="BL195" s="12">
        <f t="shared" si="28"/>
        <v>168356.08</v>
      </c>
      <c r="BM195" s="12"/>
      <c r="BN195" s="12">
        <v>159233</v>
      </c>
      <c r="BO195" s="12"/>
      <c r="BP195" s="6">
        <f t="shared" si="29"/>
        <v>0</v>
      </c>
      <c r="BQ195" s="12"/>
      <c r="BR195" s="6">
        <f t="shared" si="30"/>
        <v>168356.08</v>
      </c>
      <c r="BS195" s="12"/>
      <c r="BT195" s="6">
        <f t="shared" si="31"/>
        <v>-168356.08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40924.589999999997</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627683.78999999992</v>
      </c>
      <c r="BM196" s="102">
        <f t="shared" si="32"/>
        <v>0</v>
      </c>
      <c r="BN196" s="102">
        <f t="shared" si="32"/>
        <v>159233</v>
      </c>
      <c r="BO196" s="102">
        <f t="shared" si="32"/>
        <v>0</v>
      </c>
      <c r="BP196" s="102">
        <f t="shared" si="32"/>
        <v>135713.10000000003</v>
      </c>
      <c r="BQ196" s="102">
        <f t="shared" si="32"/>
        <v>0</v>
      </c>
      <c r="BR196" s="102">
        <f t="shared" si="32"/>
        <v>763396.89</v>
      </c>
      <c r="BS196" s="102">
        <f t="shared" si="32"/>
        <v>0</v>
      </c>
      <c r="BT196" s="102">
        <f t="shared" si="32"/>
        <v>-363396.89</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502</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0</v>
      </c>
      <c r="AY201" s="12"/>
      <c r="AZ201" s="12">
        <v>0</v>
      </c>
      <c r="BA201" s="12"/>
      <c r="BB201" s="12">
        <v>0</v>
      </c>
      <c r="BC201" s="12"/>
      <c r="BD201" s="12">
        <v>0</v>
      </c>
      <c r="BE201" s="12"/>
      <c r="BF201" s="12">
        <v>0</v>
      </c>
      <c r="BG201" s="12"/>
      <c r="BH201" s="12">
        <v>0</v>
      </c>
      <c r="BI201" s="12"/>
      <c r="BJ201" s="12">
        <v>0</v>
      </c>
      <c r="BK201" s="12"/>
      <c r="BL201" s="12">
        <f>SUM(T201:BK201)</f>
        <v>162966.24000000002</v>
      </c>
      <c r="BM201" s="12"/>
      <c r="BN201" s="12">
        <v>0</v>
      </c>
      <c r="BO201" s="12"/>
      <c r="BP201" s="6">
        <f>IF(+R201-BL201+BN201&gt;0,R201-BL201+BN201,0)</f>
        <v>237033.75999999998</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464638.37</v>
      </c>
      <c r="BM203" s="9"/>
      <c r="BN203" s="102">
        <f>SUM(BN199:BN202)</f>
        <v>0</v>
      </c>
      <c r="BO203" s="9"/>
      <c r="BP203" s="102">
        <f>SUM(BP199:BP202)</f>
        <v>237033.75999999998</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f>[1]Wheatland!$Q$39</f>
        <v>615994.85825994285</v>
      </c>
      <c r="AW205" s="10"/>
      <c r="AX205" s="10">
        <v>0</v>
      </c>
      <c r="AY205" s="10"/>
      <c r="AZ205" s="10">
        <v>0</v>
      </c>
      <c r="BA205" s="10"/>
      <c r="BB205" s="10">
        <v>0</v>
      </c>
      <c r="BC205" s="10"/>
      <c r="BD205" s="10">
        <v>0</v>
      </c>
      <c r="BE205" s="10"/>
      <c r="BF205" s="10">
        <v>0</v>
      </c>
      <c r="BG205" s="10"/>
      <c r="BH205" s="10">
        <v>0</v>
      </c>
      <c r="BI205" s="10"/>
      <c r="BJ205" s="10">
        <v>0</v>
      </c>
      <c r="BK205" s="10"/>
      <c r="BL205" s="10">
        <f>SUM(T205:BK205)</f>
        <v>6676909.4170186371</v>
      </c>
      <c r="BM205" s="10"/>
      <c r="BN205" s="10">
        <f>-R205+[1]Wheatland!$Y$39</f>
        <v>-322390.03382392973</v>
      </c>
      <c r="BO205" s="10"/>
      <c r="BP205" s="6">
        <f>IF(+R205-BL205+BN205&gt;0,R205-BL205+BN205,0)</f>
        <v>3033025.5491574332</v>
      </c>
      <c r="BQ205" s="10"/>
      <c r="BR205" s="9">
        <f>+BL205+BP205</f>
        <v>9709934.9661760703</v>
      </c>
      <c r="BS205" s="10"/>
      <c r="BT205" s="9">
        <f>+R205-BR205</f>
        <v>322390.03382392973</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1256019.4082599429</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11409022.857018637</v>
      </c>
      <c r="BM207" s="120">
        <f t="shared" si="33"/>
        <v>0</v>
      </c>
      <c r="BN207" s="120">
        <f t="shared" si="33"/>
        <v>179786.96617607027</v>
      </c>
      <c r="BO207" s="120">
        <f t="shared" si="33"/>
        <v>0</v>
      </c>
      <c r="BP207" s="120">
        <f t="shared" si="33"/>
        <v>13640088.089157432</v>
      </c>
      <c r="BQ207" s="120">
        <f t="shared" si="33"/>
        <v>0</v>
      </c>
      <c r="BR207" s="120">
        <f t="shared" si="33"/>
        <v>25049110.946176071</v>
      </c>
      <c r="BS207" s="120">
        <f t="shared" si="33"/>
        <v>0</v>
      </c>
      <c r="BT207" s="120">
        <f t="shared" si="33"/>
        <v>-1465268.9461760703</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9681425.2582599428</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114897102.11701865</v>
      </c>
      <c r="BM212" s="168">
        <f t="shared" si="34"/>
        <v>2589412</v>
      </c>
      <c r="BN212" s="168">
        <f t="shared" si="34"/>
        <v>3846278.9661760703</v>
      </c>
      <c r="BO212" s="168">
        <f t="shared" si="34"/>
        <v>3445639</v>
      </c>
      <c r="BP212" s="168">
        <f t="shared" si="34"/>
        <v>46896463.929157421</v>
      </c>
      <c r="BQ212" s="168">
        <f t="shared" si="34"/>
        <v>5467108</v>
      </c>
      <c r="BR212" s="168">
        <f t="shared" si="34"/>
        <v>162737431.04617608</v>
      </c>
      <c r="BS212" s="168">
        <f t="shared" si="34"/>
        <v>9789592</v>
      </c>
      <c r="BT212" s="168">
        <f t="shared" si="34"/>
        <v>-1219482.9461760707</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346249.85328973632</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9681425.2582599428</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114785780.62701866</v>
      </c>
      <c r="BM221" s="10">
        <f t="shared" si="35"/>
        <v>2589412</v>
      </c>
      <c r="BN221" s="10">
        <f>BN212+BN215+BN217+BN219</f>
        <v>3846278.9661760703</v>
      </c>
      <c r="BO221" s="10">
        <f t="shared" si="35"/>
        <v>3445639</v>
      </c>
      <c r="BP221" s="10">
        <f t="shared" si="35"/>
        <v>46896463.419157423</v>
      </c>
      <c r="BQ221" s="10">
        <f t="shared" si="35"/>
        <v>5467108</v>
      </c>
      <c r="BR221" s="10">
        <f t="shared" si="35"/>
        <v>162626109.04617608</v>
      </c>
      <c r="BS221" s="10">
        <f t="shared" si="35"/>
        <v>9789592</v>
      </c>
      <c r="BT221" s="10">
        <f t="shared" si="35"/>
        <v>-1219482.9461760707</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6">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8"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9681425.2582599428</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114912202.11701865</v>
      </c>
      <c r="BM234" s="121">
        <f t="shared" si="37"/>
        <v>2589412</v>
      </c>
      <c r="BN234" s="121">
        <f t="shared" si="37"/>
        <v>3846278.9661760703</v>
      </c>
      <c r="BO234" s="121">
        <f t="shared" si="37"/>
        <v>3445639</v>
      </c>
      <c r="BP234" s="121">
        <f t="shared" si="37"/>
        <v>46896463.929157421</v>
      </c>
      <c r="BQ234" s="121">
        <f t="shared" si="37"/>
        <v>5467108</v>
      </c>
      <c r="BR234" s="121">
        <f t="shared" si="37"/>
        <v>162752531.04617608</v>
      </c>
      <c r="BS234" s="121">
        <f t="shared" si="37"/>
        <v>9789592</v>
      </c>
      <c r="BT234" s="121">
        <f t="shared" si="37"/>
        <v>-1219482.9461760707</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9681425.2582599428</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114800880.62701866</v>
      </c>
      <c r="BM236" s="121">
        <f t="shared" si="38"/>
        <v>2589412</v>
      </c>
      <c r="BN236" s="121">
        <f t="shared" si="38"/>
        <v>3846278.9661760703</v>
      </c>
      <c r="BO236" s="121">
        <f t="shared" si="38"/>
        <v>3445639</v>
      </c>
      <c r="BP236" s="121">
        <f t="shared" si="38"/>
        <v>46896463.419157423</v>
      </c>
      <c r="BQ236" s="121">
        <f t="shared" si="38"/>
        <v>5467108</v>
      </c>
      <c r="BR236" s="121">
        <f t="shared" si="38"/>
        <v>162641209.04617608</v>
      </c>
      <c r="BS236" s="121">
        <f t="shared" si="38"/>
        <v>9789592</v>
      </c>
      <c r="BT236" s="121">
        <f t="shared" si="38"/>
        <v>-1219482.9461760707</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2000-03-06T16:52:55Z</cp:lastPrinted>
  <dcterms:created xsi:type="dcterms:W3CDTF">1998-11-04T14:40:39Z</dcterms:created>
  <dcterms:modified xsi:type="dcterms:W3CDTF">2023-09-10T11:56:39Z</dcterms:modified>
</cp:coreProperties>
</file>