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8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S16" i="9"/>
  <c r="T16" i="9"/>
  <c r="U16" i="9"/>
  <c r="V16" i="9"/>
  <c r="W16" i="9"/>
  <c r="Z16" i="9"/>
  <c r="AB16" i="9"/>
  <c r="AC16" i="9"/>
  <c r="S17" i="9"/>
  <c r="T17" i="9"/>
  <c r="U17" i="9"/>
  <c r="V17" i="9"/>
  <c r="W17" i="9"/>
  <c r="Z17" i="9"/>
  <c r="AB17" i="9"/>
  <c r="AC17" i="9"/>
  <c r="S18" i="9"/>
  <c r="T18" i="9"/>
  <c r="U18" i="9"/>
  <c r="V18" i="9"/>
  <c r="W18" i="9"/>
  <c r="Z18" i="9"/>
  <c r="AB18" i="9"/>
  <c r="AC18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B21" i="9"/>
  <c r="AC21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W32" i="9"/>
  <c r="Z32" i="9"/>
  <c r="O33" i="9"/>
  <c r="P33" i="9"/>
  <c r="V33" i="9"/>
  <c r="Z33" i="9"/>
  <c r="P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R12" i="7"/>
  <c r="S12" i="7"/>
  <c r="T12" i="7"/>
  <c r="U12" i="7"/>
  <c r="V12" i="7"/>
  <c r="W12" i="7"/>
  <c r="Y12" i="7"/>
  <c r="AA12" i="7"/>
  <c r="AB12" i="7"/>
  <c r="R13" i="7"/>
  <c r="S13" i="7"/>
  <c r="T13" i="7"/>
  <c r="U13" i="7"/>
  <c r="V13" i="7"/>
  <c r="W13" i="7"/>
  <c r="Y13" i="7"/>
  <c r="AA13" i="7"/>
  <c r="AB13" i="7"/>
  <c r="R14" i="7"/>
  <c r="S14" i="7"/>
  <c r="T14" i="7"/>
  <c r="U14" i="7"/>
  <c r="V14" i="7"/>
  <c r="W14" i="7"/>
  <c r="Y14" i="7"/>
  <c r="AA14" i="7"/>
  <c r="AB14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U17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S23" i="5"/>
  <c r="T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R29" i="5"/>
  <c r="T29" i="5"/>
  <c r="U29" i="5"/>
  <c r="Y29" i="5"/>
  <c r="AA29" i="5"/>
  <c r="AB29" i="5"/>
  <c r="Y30" i="5"/>
  <c r="Z30" i="5"/>
  <c r="AA30" i="5"/>
  <c r="AB30" i="5"/>
  <c r="Y31" i="5"/>
  <c r="AA31" i="5"/>
  <c r="AB31" i="5"/>
  <c r="R32" i="5"/>
  <c r="S32" i="5"/>
  <c r="U32" i="5"/>
  <c r="Y32" i="5"/>
  <c r="I33" i="5"/>
  <c r="J33" i="5"/>
  <c r="L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<sst xmlns="http://schemas.openxmlformats.org/spreadsheetml/2006/main" count="598" uniqueCount="130">
  <si>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</si>
  <si>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</si>
  <si>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</si>
  <si>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</si>
  <si>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</si>
  <si>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</si>
  <si>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</si>
  <si>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</si>
  <si>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</si>
  <si>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</si>
  <si>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</si>
  <si>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</si>
  <si>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</si>
  <si>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</si>
  <si>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</si>
  <si>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</si>
  <si>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</si>
  <si>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</si>
  <si>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</si>
  <si>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</si>
  <si>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</si>
  <si>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</si>
  <si>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</si>
  <si>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</si>
  <si>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</si>
  <si>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</si>
  <si>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</si>
  <si>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</si>
  <si>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</si>
  <si>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</si>
  <si>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</si>
  <si>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</si>
  <si>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</si>
  <si>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</si>
  <si>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</si>
  <si>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</si>
  <si>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</si>
  <si>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</si>
  <si>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</si>
  <si>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</si>
  <si>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</si>
  <si>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</si>
  <si>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</si>
  <si>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</si>
  <si>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</si>
  <si>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</si>
  <si>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</si>
  <si>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</si>
  <si>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</si>
  <si>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</si>
  <si>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</si>
  <si>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</si>
  <si>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</si>
  <si>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</si>
  <si>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</si>
  <si>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</si>
  <si>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</si>
  <si>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</si>
  <si>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</si>
  <si>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</si>
  <si>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</si>
  <si>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</si>
  <si>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</si>
  <si>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</si>
  <si>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</si>
  <si>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</si>
  <si>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</si>
  <si>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</si>
  <si>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</si>
  <si>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</si>
  <si>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</si>
  <si>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</si>
  <si>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</si>
  <si>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</si>
  <si>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</si>
  <si>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</si>
  <si>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</si>
  <si>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</si>
  <si>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</si>
  <si>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</si>
  <si>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</si>
  <si>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</si>
  <si>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</si>
  <si>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</si>
  <si>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</si>
  <si>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</si>
  <si>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</si>
  <si>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</si>
  <si>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</si>
  <si>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</si>
  <si>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</si>
  <si>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</si>
  <si>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</si>
  <si>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</si>
  <si>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</si>
  <si>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</si>
  <si>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</si>
  <si>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</si>
  <si>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</si>
  <si>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</si>
  <si>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</si>
  <si>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</si>
  <si>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</si>
  <si>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</si>
  <si>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</si>
  <si>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</si>
  <si>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</si>
  <si>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</si>
  <si>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</si>
  <si>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</si>
  <si>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</si>
  <si>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</si>
  <si>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</si>
  <si>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</si>
  <si>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</si>
  <si>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</si>
  <si>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</si>
  <si>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</si>
  <si>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</si>
  <si>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</si>
  <si>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</si>
  <si>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</si>
  <si>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</si>
  <si>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</si>
  <si>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</si>
  <si>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</si>
  <si>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NEPCO - MISC</t>
  </si>
  <si>
    <t>1/2 of Redesign costs to change projects</t>
  </si>
  <si>
    <t>OEC (Mobilization of O&amp;M)</t>
  </si>
  <si>
    <t>Last updated:  Actuals through February 25,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</si>
</sst>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307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2472650.2800000003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938158.83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254991374.3934643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29">
          <cell r="BT129">
            <v>-3387761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583130.26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687854.57000000007</v>
          </cell>
        </row>
        <row r="245">
          <cell r="BT245">
            <v>752208.46</v>
          </cell>
        </row>
        <row r="261">
          <cell r="BT261">
            <v>175957550.61062777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23">
          <cell r="BR123">
            <v>-3953393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1892589.96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763396.89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162641209.04617608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- 030700.xls]Wilton</v>
      </c>
    </row>
    <row r="3" spans="1:23" s="2" customFormat="1" ht="15.6" x14ac:dyDescent="0.3">
      <c r="A3" s="1" t="s">
        <v>2</v>
      </c>
      <c r="F3" s="3"/>
      <c r="V3" s="24">
        <f ca="1">NOW()</f>
        <v>36591.456502777779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workbookViewId="0"/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1" width="12.33203125" bestFit="1" customWidth="1"/>
    <col min="22" max="22" width="14.6640625" customWidth="1"/>
    <col min="23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29307936.582104545</v>
      </c>
      <c r="R11" s="44">
        <f>Wilton!R47</f>
        <v>20176876.765446499</v>
      </c>
      <c r="S11" s="44">
        <f>Wilton!S47</f>
        <v>15278714.649845447</v>
      </c>
      <c r="T11" s="44">
        <f>Wilton!T47</f>
        <v>9310897.4652404431</v>
      </c>
      <c r="U11" s="44">
        <f>Wilton!U47</f>
        <v>14860816.382552162</v>
      </c>
      <c r="V11" s="44">
        <f>Wilton!Y47</f>
        <v>254331508.44346428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7595606.3413967658</v>
      </c>
      <c r="R13" s="44">
        <f>Gleason!S47</f>
        <v>12133994.368596466</v>
      </c>
      <c r="S13" s="44">
        <f>Gleason!T47</f>
        <v>10433206.511536771</v>
      </c>
      <c r="T13" s="44">
        <f>Gleason!U47</f>
        <v>8272837.7552654725</v>
      </c>
      <c r="U13" s="44">
        <f>Gleason!V47</f>
        <v>25424116.644600242</v>
      </c>
      <c r="V13" s="44">
        <f>Gleason!Z47</f>
        <v>175838092.62285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9681426.1915932745</v>
      </c>
      <c r="R15" s="44">
        <f>Wheatland!R46</f>
        <v>11164373.73335598</v>
      </c>
      <c r="S15" s="44">
        <f>Wheatland!S46</f>
        <v>8589514.9114533253</v>
      </c>
      <c r="T15" s="44">
        <f>Wheatland!T46</f>
        <v>8102711.9582053628</v>
      </c>
      <c r="U15" s="44">
        <f>Wheatland!U46</f>
        <v>18992250.1228761</v>
      </c>
      <c r="V15" s="44">
        <f>Wheatland!Y46</f>
        <v>162363843.99010941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46584969.115094587</v>
      </c>
      <c r="R17" s="44">
        <f t="shared" si="0"/>
        <v>43475244.867398947</v>
      </c>
      <c r="S17" s="44">
        <f t="shared" si="0"/>
        <v>34301436.07283555</v>
      </c>
      <c r="T17" s="44">
        <f t="shared" si="0"/>
        <v>25686447.17871128</v>
      </c>
      <c r="U17" s="44">
        <f t="shared" si="0"/>
        <v>59277183.150028504</v>
      </c>
      <c r="V17" s="44">
        <f t="shared" si="0"/>
        <v>592533445.05642366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431116554.06024939</v>
      </c>
      <c r="R18" s="4">
        <f t="shared" si="1"/>
        <v>474591798.92764831</v>
      </c>
      <c r="S18" s="4">
        <f t="shared" si="1"/>
        <v>508893235.00048387</v>
      </c>
      <c r="T18" s="4">
        <f t="shared" si="1"/>
        <v>534579682.17919517</v>
      </c>
      <c r="U18" s="9">
        <f t="shared" si="1"/>
        <v>593856865.32922363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February 25, 1999</v>
      </c>
      <c r="L2" s="51"/>
      <c r="X2" s="25" t="str">
        <f ca="1">CELL("filename")</f>
        <v>O:\Fin_Ops\Engysvc\PowerPlants\2000 Plants\Draw Schedule\[Draw Sched - 030700.xls]Wilton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36591.456502777779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C7" activePane="bottomRight" state="frozen"/>
      <selection activeCell="T58" sqref="T58"/>
      <selection pane="topRight" activeCell="T58" sqref="T58"/>
      <selection pane="bottomLeft" activeCell="T58" sqref="T58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bestFit="1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2" width="12.33203125" style="18" bestFit="1" customWidth="1"/>
    <col min="13" max="13" width="12.33203125" style="18" customWidth="1"/>
    <col min="14" max="14" width="12.88671875" style="18" bestFit="1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bestFit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129</v>
      </c>
      <c r="Y2" s="25" t="str">
        <f ca="1">CELL("filename")</f>
        <v>O:\Fin_Ops\Engysvc\PowerPlants\2000 Plants\Draw Schedule\[Draw Sched - 030700.xls]Wilton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36591.456502777779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591605</v>
      </c>
      <c r="Y11" s="11">
        <f t="shared" ref="Y11:Y34" si="0">SUM(C11:X11)</f>
        <v>5916047.7999999998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-0.20000000018626451</v>
      </c>
    </row>
    <row r="12" spans="1:28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[1]Wilton!$BR$143</f>
        <v>9479519</v>
      </c>
      <c r="AB12" s="18">
        <f t="shared" si="1"/>
        <v>0.30000000074505806</v>
      </c>
    </row>
    <row r="13" spans="1:28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[1]Wilton!$BR$128</f>
        <v>2824800</v>
      </c>
      <c r="AB14" s="18">
        <f t="shared" si="1"/>
        <v>0</v>
      </c>
    </row>
    <row r="15" spans="1:28" x14ac:dyDescent="0.25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12212209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-2134700</v>
      </c>
    </row>
    <row r="17" spans="1:28" x14ac:dyDescent="0.25">
      <c r="A17" s="17" t="s">
        <v>120</v>
      </c>
      <c r="F17" s="8"/>
      <c r="N17" s="18">
        <v>3301</v>
      </c>
      <c r="O17" s="18">
        <v>346618</v>
      </c>
      <c r="P17" s="18">
        <v>1451621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6316588</v>
      </c>
      <c r="Z17" s="19" t="str">
        <f t="shared" si="3"/>
        <v>Mike Miller</v>
      </c>
      <c r="AA17" s="18">
        <f>[1]Wilton!$BR$81</f>
        <v>7349178</v>
      </c>
      <c r="AB17" s="18">
        <f t="shared" si="1"/>
        <v>-1032590</v>
      </c>
    </row>
    <row r="18" spans="1:28" x14ac:dyDescent="0.25">
      <c r="A18" s="17" t="s">
        <v>121</v>
      </c>
      <c r="F18" s="8"/>
      <c r="N18" s="18">
        <v>0</v>
      </c>
      <c r="O18" s="18">
        <v>2569929</v>
      </c>
      <c r="P18" s="18">
        <v>4657660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4849213-U16-U17-U19+4363162-3390463</f>
        <v>1936866</v>
      </c>
      <c r="W18" s="18">
        <v>0</v>
      </c>
      <c r="Y18" s="11">
        <f t="shared" si="0"/>
        <v>26395376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-7927810</v>
      </c>
    </row>
    <row r="19" spans="1:28" x14ac:dyDescent="0.25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3509663</v>
      </c>
      <c r="Z19" s="19" t="str">
        <f t="shared" si="3"/>
        <v>Mike Miller</v>
      </c>
      <c r="AA19" s="18">
        <f>[1]Wilton!$BR$120</f>
        <v>5336759</v>
      </c>
      <c r="AB19" s="18">
        <f t="shared" si="1"/>
        <v>-1827096</v>
      </c>
    </row>
    <row r="20" spans="1:28" x14ac:dyDescent="0.25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>Z19</f>
        <v>Mike Miller</v>
      </c>
      <c r="AA20" s="18">
        <f>[1]Wilton!$BR$158</f>
        <v>500000</v>
      </c>
      <c r="AB20" s="18">
        <f t="shared" si="1"/>
        <v>0</v>
      </c>
    </row>
    <row r="21" spans="1:28" x14ac:dyDescent="0.25">
      <c r="A21" s="17" t="s">
        <v>126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>SUM(C21:X21)</f>
        <v>0</v>
      </c>
      <c r="Z21" s="19"/>
      <c r="AA21" s="18">
        <v>0</v>
      </c>
      <c r="AB21" s="18">
        <f>Y21-AA21</f>
        <v>0</v>
      </c>
    </row>
    <row r="22" spans="1:28" x14ac:dyDescent="0.25">
      <c r="A22" s="17" t="s">
        <v>124</v>
      </c>
      <c r="F22" s="8"/>
      <c r="N22" s="18">
        <v>8573073</v>
      </c>
      <c r="O22" s="18">
        <v>7093919</v>
      </c>
      <c r="P22" s="18">
        <v>-7855877</v>
      </c>
      <c r="Q22" s="18">
        <v>12922196</v>
      </c>
      <c r="U22" s="18">
        <v>-7811115</v>
      </c>
      <c r="Y22" s="11">
        <f t="shared" si="0"/>
        <v>12922196</v>
      </c>
      <c r="Z22" s="19" t="str">
        <f>Z20</f>
        <v>Mike Miller</v>
      </c>
      <c r="AB22" s="18">
        <f t="shared" si="1"/>
        <v>12922196</v>
      </c>
    </row>
    <row r="23" spans="1:28" x14ac:dyDescent="0.25">
      <c r="A23" s="17" t="s">
        <v>128</v>
      </c>
      <c r="C23" s="4">
        <v>0</v>
      </c>
      <c r="F23" s="8"/>
      <c r="P23" s="18">
        <v>0</v>
      </c>
      <c r="Q23" s="18">
        <v>37000</v>
      </c>
      <c r="R23" s="18">
        <v>125000</v>
      </c>
      <c r="S23" s="18">
        <f>125000+100000</f>
        <v>225000</v>
      </c>
      <c r="T23" s="18">
        <f>125000+113000</f>
        <v>238000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5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5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-13168</v>
      </c>
      <c r="Y25" s="11">
        <f t="shared" si="0"/>
        <v>2472650</v>
      </c>
      <c r="Z25" s="19" t="s">
        <v>52</v>
      </c>
      <c r="AA25" s="18">
        <f>[1]Wilton!$BR$167</f>
        <v>2472650.2800000003</v>
      </c>
      <c r="AB25" s="18">
        <f t="shared" si="1"/>
        <v>-0.28000000026077032</v>
      </c>
    </row>
    <row r="26" spans="1:28" x14ac:dyDescent="0.25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2588</v>
      </c>
      <c r="R26" s="18">
        <v>73458</v>
      </c>
      <c r="U26" s="18">
        <v>0</v>
      </c>
      <c r="Y26" s="11">
        <f t="shared" si="0"/>
        <v>301204.45999999996</v>
      </c>
      <c r="Z26" s="19" t="str">
        <f>Z25</f>
        <v>Scott Healy</v>
      </c>
    </row>
    <row r="27" spans="1:28" x14ac:dyDescent="0.25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5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445269</v>
      </c>
      <c r="R28" s="18">
        <v>200000</v>
      </c>
      <c r="S28" s="18">
        <v>220337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5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v>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f>250000+1750000</f>
        <v>2000000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5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5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5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164062.59333333332</v>
      </c>
      <c r="Z32" s="19" t="s">
        <v>52</v>
      </c>
    </row>
    <row r="33" spans="1:27" x14ac:dyDescent="0.25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42246.5</v>
      </c>
      <c r="R33" s="18">
        <v>31732</v>
      </c>
      <c r="T33" s="17"/>
      <c r="U33" s="18">
        <f>36960-8586</f>
        <v>28374</v>
      </c>
      <c r="Y33" s="11">
        <f t="shared" si="0"/>
        <v>592379.98</v>
      </c>
      <c r="Z33" s="19" t="s">
        <v>52</v>
      </c>
    </row>
    <row r="34" spans="1:27" x14ac:dyDescent="0.25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0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</f>
        <v>15544</v>
      </c>
      <c r="Y34" s="11">
        <f t="shared" si="0"/>
        <v>528852.5</v>
      </c>
      <c r="Z34" s="19" t="s">
        <v>52</v>
      </c>
      <c r="AA34" s="18">
        <v>0</v>
      </c>
    </row>
    <row r="35" spans="1:27" x14ac:dyDescent="0.25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28258970.713333331</v>
      </c>
      <c r="R35" s="21">
        <f t="shared" si="5"/>
        <v>19019208.286666665</v>
      </c>
      <c r="S35" s="21">
        <f t="shared" si="5"/>
        <v>14038732.333333334</v>
      </c>
      <c r="T35" s="21">
        <f t="shared" si="5"/>
        <v>8020752.833333333</v>
      </c>
      <c r="U35" s="21">
        <f t="shared" si="5"/>
        <v>13490609.333333332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242054859.88</v>
      </c>
    </row>
    <row r="36" spans="1:27" x14ac:dyDescent="0.25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187485557.0933333</v>
      </c>
      <c r="R36" s="21">
        <f t="shared" si="6"/>
        <v>206504765.37999997</v>
      </c>
      <c r="S36" s="21">
        <f t="shared" si="6"/>
        <v>220543497.71333331</v>
      </c>
      <c r="T36" s="21">
        <f t="shared" si="6"/>
        <v>228564250.54666665</v>
      </c>
      <c r="U36" s="21">
        <f t="shared" si="6"/>
        <v>242054859.88</v>
      </c>
      <c r="V36" s="21">
        <f>+U36+V35</f>
        <v>242054859.88</v>
      </c>
      <c r="W36" s="21">
        <f>+V36+W35</f>
        <v>242054859.88</v>
      </c>
      <c r="X36" s="21">
        <f>+W36+X35</f>
        <v>242054859.88</v>
      </c>
      <c r="Y36" s="13"/>
    </row>
    <row r="37" spans="1:27" x14ac:dyDescent="0.25">
      <c r="A37" s="17" t="s">
        <v>64</v>
      </c>
      <c r="F37" s="8"/>
      <c r="Y37" s="16">
        <f>+Y35/C52/1000</f>
        <v>398.11654585526315</v>
      </c>
      <c r="Z37" s="20"/>
    </row>
    <row r="38" spans="1:27" x14ac:dyDescent="0.25">
      <c r="F38" s="8"/>
      <c r="Y38" s="11"/>
    </row>
    <row r="39" spans="1:27" x14ac:dyDescent="0.25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5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v>1048965.8687712126</v>
      </c>
      <c r="R40" s="30">
        <f>(R36+Q45)*$C50/12</f>
        <v>1157668.4787798345</v>
      </c>
      <c r="S40" s="30">
        <f>(S36+R45)*$C50/12</f>
        <v>1239982.3165121141</v>
      </c>
      <c r="T40" s="30">
        <f>(T36+S45)*$C50/12</f>
        <v>1290144.6319071103</v>
      </c>
      <c r="U40" s="30">
        <f>(U36+T45)*$C50/12</f>
        <v>1370207.0492188295</v>
      </c>
      <c r="V40" s="30"/>
      <c r="W40" s="30"/>
      <c r="X40" s="30"/>
      <c r="Y40" s="11">
        <f>SUM(C40:X40)</f>
        <v>12281537.063464286</v>
      </c>
      <c r="Z40" s="19">
        <f>Z53</f>
        <v>0</v>
      </c>
    </row>
    <row r="41" spans="1:27" x14ac:dyDescent="0.25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5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5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5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1048965.8687712126</v>
      </c>
      <c r="R44" s="21">
        <f t="shared" si="7"/>
        <v>1157668.4787798345</v>
      </c>
      <c r="S44" s="21">
        <f t="shared" si="7"/>
        <v>1239982.3165121141</v>
      </c>
      <c r="T44" s="21">
        <f t="shared" si="7"/>
        <v>1290144.6319071103</v>
      </c>
      <c r="U44" s="21">
        <f t="shared" si="7"/>
        <v>1370207.0492188295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12276648.563464286</v>
      </c>
      <c r="Z44" s="20"/>
    </row>
    <row r="45" spans="1:27" x14ac:dyDescent="0.25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7218646.087046396</v>
      </c>
      <c r="R45" s="21">
        <f t="shared" si="9"/>
        <v>8376314.5658262307</v>
      </c>
      <c r="S45" s="21">
        <f t="shared" si="9"/>
        <v>9616296.8823383451</v>
      </c>
      <c r="T45" s="21">
        <f t="shared" si="9"/>
        <v>10906441.514245456</v>
      </c>
      <c r="U45" s="21">
        <f t="shared" si="9"/>
        <v>12276648.563464286</v>
      </c>
      <c r="V45" s="21">
        <f>+V44+U45</f>
        <v>12276648.563464286</v>
      </c>
      <c r="W45" s="21">
        <f>+W44+V45</f>
        <v>12276648.563464286</v>
      </c>
      <c r="X45" s="21">
        <f>+X44+W45</f>
        <v>12276648.563464286</v>
      </c>
      <c r="Y45" s="11"/>
      <c r="Z45" s="20"/>
    </row>
    <row r="46" spans="1:27" x14ac:dyDescent="0.25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5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29307936.582104545</v>
      </c>
      <c r="R47" s="4">
        <f t="shared" si="10"/>
        <v>20176876.765446499</v>
      </c>
      <c r="S47" s="4">
        <f t="shared" si="10"/>
        <v>15278714.649845447</v>
      </c>
      <c r="T47" s="4">
        <f t="shared" si="10"/>
        <v>9310897.4652404431</v>
      </c>
      <c r="U47" s="4">
        <f t="shared" si="10"/>
        <v>14860816.382552162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254331508.44346428</v>
      </c>
    </row>
    <row r="48" spans="1:27" s="4" customFormat="1" x14ac:dyDescent="0.25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194704203.18037972</v>
      </c>
      <c r="R48" s="4">
        <f t="shared" si="11"/>
        <v>214881079.94582623</v>
      </c>
      <c r="S48" s="4">
        <f t="shared" si="11"/>
        <v>230159794.59567168</v>
      </c>
      <c r="T48" s="4">
        <f t="shared" si="11"/>
        <v>239470692.06091213</v>
      </c>
      <c r="U48" s="4">
        <f t="shared" si="11"/>
        <v>254331508.44346428</v>
      </c>
      <c r="V48" s="4">
        <f>U48+V47</f>
        <v>254331508.44346428</v>
      </c>
      <c r="W48" s="4">
        <f>V48+W47</f>
        <v>254331508.44346428</v>
      </c>
      <c r="X48" s="4">
        <f>W48+X47</f>
        <v>254331508.44346428</v>
      </c>
      <c r="Y48" s="11"/>
    </row>
    <row r="49" spans="1:30" s="4" customFormat="1" x14ac:dyDescent="0.25">
      <c r="A49" s="17" t="s">
        <v>64</v>
      </c>
      <c r="Y49" s="16">
        <f>+Y47/C52/1000</f>
        <v>418.30840204517153</v>
      </c>
    </row>
    <row r="50" spans="1:30" s="4" customFormat="1" x14ac:dyDescent="0.25">
      <c r="A50" s="8" t="s">
        <v>96</v>
      </c>
      <c r="C50" s="12">
        <v>6.5000000000000002E-2</v>
      </c>
      <c r="Y50" s="11"/>
    </row>
    <row r="51" spans="1:30" s="4" customFormat="1" x14ac:dyDescent="0.25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5">
      <c r="A52" s="8"/>
      <c r="C52" s="4">
        <v>608</v>
      </c>
      <c r="D52" s="4" t="s">
        <v>66</v>
      </c>
      <c r="Y52" s="11"/>
    </row>
    <row r="53" spans="1:30" x14ac:dyDescent="0.25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5">
      <c r="A54" s="8"/>
      <c r="C54" s="12"/>
      <c r="Y54" s="11"/>
    </row>
    <row r="55" spans="1:30" x14ac:dyDescent="0.25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28258970.713333331</v>
      </c>
      <c r="R55" s="4">
        <f t="shared" si="12"/>
        <v>19019208.286666665</v>
      </c>
      <c r="S55" s="4">
        <f t="shared" si="12"/>
        <v>14038732.333333334</v>
      </c>
      <c r="T55" s="4">
        <f t="shared" si="12"/>
        <v>8020752.833333333</v>
      </c>
      <c r="U55" s="4">
        <f t="shared" si="12"/>
        <v>13490609.333333332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242049971.38</v>
      </c>
    </row>
    <row r="56" spans="1:30" ht="9.75" customHeight="1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5">
      <c r="Y57" s="11"/>
    </row>
    <row r="58" spans="1:30" ht="19.2" x14ac:dyDescent="0.6">
      <c r="A58" s="32" t="s">
        <v>81</v>
      </c>
      <c r="Y58" s="11"/>
      <c r="AB58" s="17" t="s">
        <v>112</v>
      </c>
    </row>
    <row r="59" spans="1:30" x14ac:dyDescent="0.25">
      <c r="A59" s="5" t="s">
        <v>43</v>
      </c>
      <c r="Y59" s="11"/>
      <c r="AB59" s="17" t="s">
        <v>113</v>
      </c>
    </row>
    <row r="60" spans="1:30" x14ac:dyDescent="0.25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48750</v>
      </c>
      <c r="Y60" s="11">
        <f>SUM(C60:U60)</f>
        <v>98795.37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5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1787</v>
      </c>
      <c r="Y61" s="11">
        <f>SUM(C61:U61)</f>
        <v>345779.42</v>
      </c>
      <c r="Z61" s="19" t="str">
        <f>Z60</f>
        <v>Scott Healy</v>
      </c>
      <c r="AA61" s="18">
        <f>Y61+Y33</f>
        <v>938159.39999999991</v>
      </c>
      <c r="AB61" s="18">
        <f>[1]Wilton!$BR$197</f>
        <v>938158.83</v>
      </c>
      <c r="AC61" s="18">
        <f>AB61-AA61</f>
        <v>-0.56999999994877726</v>
      </c>
    </row>
    <row r="62" spans="1:30" x14ac:dyDescent="0.25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13333</v>
      </c>
      <c r="Y62" s="11">
        <f>SUM(C62:U62)</f>
        <v>35937</v>
      </c>
      <c r="Z62" s="19" t="str">
        <f>Z61</f>
        <v>Scott Healy</v>
      </c>
      <c r="AA62" s="18">
        <f>Y62+Y32</f>
        <v>199999.59333333332</v>
      </c>
      <c r="AB62" s="18">
        <f>[1]Wilton!$BR$188</f>
        <v>200000</v>
      </c>
      <c r="AC62" s="18">
        <f>AB62-AA62</f>
        <v>0.40666666667675599</v>
      </c>
    </row>
    <row r="63" spans="1:30" x14ac:dyDescent="0.25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19571</v>
      </c>
      <c r="Y63" s="11">
        <f>SUM(C63:U63)</f>
        <v>29571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5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83441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510082.79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5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83441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360341.79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73</v>
      </c>
      <c r="Y69" s="11"/>
    </row>
    <row r="70" spans="1:26" x14ac:dyDescent="0.25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5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5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5">
      <c r="A73" s="17" t="s">
        <v>23</v>
      </c>
      <c r="C73" s="4">
        <v>87500</v>
      </c>
      <c r="Y73" s="11">
        <f>SUM(C73:U73)</f>
        <v>87500</v>
      </c>
    </row>
    <row r="74" spans="1:26" x14ac:dyDescent="0.25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5">
      <c r="Y75" s="11"/>
    </row>
    <row r="76" spans="1:26" x14ac:dyDescent="0.25">
      <c r="Y76" s="11"/>
    </row>
    <row r="77" spans="1:26" ht="13.8" thickBot="1" x14ac:dyDescent="0.3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29307936.582104545</v>
      </c>
      <c r="R77" s="33">
        <f t="shared" si="17"/>
        <v>20176876.765446499</v>
      </c>
      <c r="S77" s="33">
        <f t="shared" si="17"/>
        <v>15278714.649845447</v>
      </c>
      <c r="T77" s="33">
        <f t="shared" si="17"/>
        <v>9310897.4652404431</v>
      </c>
      <c r="U77" s="33">
        <f>+U47+U67+U74</f>
        <v>14944257.382552162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254991374.85346425</v>
      </c>
    </row>
    <row r="78" spans="1:26" x14ac:dyDescent="0.25">
      <c r="U78"/>
      <c r="V78"/>
      <c r="W78"/>
      <c r="X78"/>
      <c r="Y78" s="48">
        <f>Y77-[1]Wilton!$BR$236</f>
        <v>0.45999994874000549</v>
      </c>
    </row>
    <row r="79" spans="1:26" x14ac:dyDescent="0.25">
      <c r="U79"/>
      <c r="V79"/>
      <c r="W79"/>
      <c r="X79"/>
      <c r="Y79"/>
    </row>
    <row r="80" spans="1:26" x14ac:dyDescent="0.25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U7" activePane="bottomRight" state="frozen"/>
      <selection activeCell="T58" sqref="T58"/>
      <selection pane="topRight" activeCell="T58" sqref="T58"/>
      <selection pane="bottomLeft" activeCell="T58" sqref="T58"/>
      <selection pane="bottomRight" activeCell="AD31" sqref="AD31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bestFit="1" customWidth="1"/>
    <col min="13" max="13" width="12.33203125" style="52" customWidth="1"/>
    <col min="14" max="14" width="12.33203125" style="18" bestFit="1" customWidth="1"/>
    <col min="15" max="15" width="14" style="18" customWidth="1"/>
    <col min="16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2" width="12.88671875" style="18" bestFit="1" customWidth="1"/>
    <col min="23" max="25" width="12.109375" style="18" hidden="1" customWidth="1"/>
    <col min="26" max="26" width="13.5546875" style="4" customWidth="1"/>
    <col min="27" max="27" width="28.33203125" style="18" bestFit="1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51"/>
    </row>
    <row r="2" spans="1:29" s="2" customFormat="1" ht="15.6" x14ac:dyDescent="0.3">
      <c r="A2" s="1" t="s">
        <v>1</v>
      </c>
      <c r="D2" s="1" t="str">
        <f>Wilton!D2</f>
        <v>Last updated:  Actuals through February 25, 1999</v>
      </c>
      <c r="M2" s="51"/>
      <c r="Z2" s="25" t="str">
        <f ca="1">CELL("filename")</f>
        <v>O:\Fin_Ops\Engysvc\PowerPlants\2000 Plants\Draw Schedule\[Draw Sched - 030700.xls]Wilton</v>
      </c>
    </row>
    <row r="3" spans="1:29" s="2" customFormat="1" ht="15.6" x14ac:dyDescent="0.3">
      <c r="A3" s="1" t="s">
        <v>2</v>
      </c>
      <c r="D3" s="26"/>
      <c r="F3" s="3"/>
      <c r="M3" s="51"/>
      <c r="Z3" s="24">
        <f ca="1">NOW()</f>
        <v>36591.456502777779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116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f>531586.8-58500+645576</f>
        <v>1118662.8</v>
      </c>
      <c r="T12" s="18">
        <v>0</v>
      </c>
      <c r="V12" s="18">
        <v>0</v>
      </c>
      <c r="Z12" s="11">
        <f t="shared" si="0"/>
        <v>6024611.3999999994</v>
      </c>
      <c r="AA12" s="15" t="s">
        <v>50</v>
      </c>
      <c r="AB12" s="18">
        <f>[1]Gleason!$BT$35</f>
        <v>6024611</v>
      </c>
      <c r="AC12" s="18">
        <f t="shared" ref="AC12:AC25" si="1">Z12-AB12</f>
        <v>0.39999999944120646</v>
      </c>
    </row>
    <row r="13" spans="1:29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5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5">
      <c r="A16" s="17" t="s">
        <v>119</v>
      </c>
      <c r="O16" s="18">
        <v>420818</v>
      </c>
      <c r="Q16" s="18">
        <v>1769159</v>
      </c>
      <c r="R16" s="18">
        <v>0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((0.9293-0.8617)*AB16)+1212343+784135+3131172</f>
        <v>6286835.2636000002</v>
      </c>
      <c r="W16" s="18">
        <f>17147711-15082111</f>
        <v>2065600</v>
      </c>
      <c r="Z16" s="11">
        <f t="shared" si="0"/>
        <v>17147710.540800001</v>
      </c>
      <c r="AA16" s="15"/>
      <c r="AB16" s="18">
        <f>[1]Gleason!$BT$61</f>
        <v>17147711</v>
      </c>
      <c r="AC16" s="18">
        <f t="shared" si="1"/>
        <v>-0.45919999852776527</v>
      </c>
    </row>
    <row r="17" spans="1:29" x14ac:dyDescent="0.25">
      <c r="A17" s="17" t="s">
        <v>120</v>
      </c>
      <c r="O17" s="18">
        <v>84021</v>
      </c>
      <c r="Q17" s="18">
        <v>225269</v>
      </c>
      <c r="R17" s="18">
        <v>0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(0.9293-0.8617)*AB17+301248+409183+778046</f>
        <v>1776515.9356</v>
      </c>
      <c r="W17" s="18">
        <f>4260931-3727117</f>
        <v>533814</v>
      </c>
      <c r="Z17" s="11">
        <f t="shared" si="0"/>
        <v>4260930.5568000004</v>
      </c>
      <c r="AA17" s="15"/>
      <c r="AB17" s="18">
        <f>[1]Gleason!$BT$89</f>
        <v>4260931</v>
      </c>
      <c r="AC17" s="18">
        <f t="shared" si="1"/>
        <v>-0.4431999996304512</v>
      </c>
    </row>
    <row r="18" spans="1:29" x14ac:dyDescent="0.25">
      <c r="A18" s="17" t="s">
        <v>121</v>
      </c>
      <c r="O18" s="18">
        <v>204588</v>
      </c>
      <c r="Q18" s="18">
        <v>2792896</v>
      </c>
      <c r="R18" s="18">
        <v>0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(0.9293-0.8617)*AB18+1091873-193321-300000+2820028</f>
        <v>4462577.3647999996</v>
      </c>
      <c r="W18" s="18">
        <f>15443748-13408993</f>
        <v>2034755</v>
      </c>
      <c r="Z18" s="11">
        <f t="shared" si="0"/>
        <v>15443748.0944</v>
      </c>
      <c r="AA18" s="15"/>
      <c r="AB18" s="18">
        <f>[1]Gleason!$BT$122</f>
        <v>15443748</v>
      </c>
      <c r="AC18" s="18">
        <f t="shared" si="1"/>
        <v>9.439999982714653E-2</v>
      </c>
    </row>
    <row r="19" spans="1:29" x14ac:dyDescent="0.25">
      <c r="A19" s="17" t="s">
        <v>122</v>
      </c>
      <c r="N19" s="18">
        <v>0</v>
      </c>
      <c r="O19" s="18">
        <v>0</v>
      </c>
      <c r="Q19" s="18">
        <v>848349</v>
      </c>
      <c r="R19" s="18">
        <v>0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(0.9293-0.8617)*AB19+858071+958818+2216177</f>
        <v>4853512.6660000002</v>
      </c>
      <c r="W19" s="18">
        <f>12136785-10376951</f>
        <v>1759834</v>
      </c>
      <c r="Z19" s="11">
        <f t="shared" si="0"/>
        <v>12136785.248</v>
      </c>
      <c r="AA19" s="15" t="s">
        <v>50</v>
      </c>
      <c r="AB19" s="18">
        <f>[1]Gleason!$BT$127</f>
        <v>12136785</v>
      </c>
      <c r="AC19" s="18">
        <f t="shared" si="1"/>
        <v>0.24799999967217445</v>
      </c>
    </row>
    <row r="20" spans="1:29" x14ac:dyDescent="0.25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5">
      <c r="A21" s="17" t="s">
        <v>124</v>
      </c>
      <c r="O21" s="18">
        <v>5344605</v>
      </c>
      <c r="Q21" s="18">
        <f>-291068-49399</f>
        <v>-340467</v>
      </c>
      <c r="R21" s="18">
        <v>6512226</v>
      </c>
      <c r="V21" s="18">
        <f>640621-49399-3124465-3387761</f>
        <v>-5921004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f>[1]Gleason!$BT$129</f>
        <v>-3387761</v>
      </c>
      <c r="AC21" s="18">
        <f t="shared" si="1"/>
        <v>0</v>
      </c>
    </row>
    <row r="22" spans="1:29" x14ac:dyDescent="0.25">
      <c r="A22" s="17" t="s">
        <v>128</v>
      </c>
      <c r="R22" s="18">
        <v>37000</v>
      </c>
      <c r="S22" s="18">
        <f>150000+75000</f>
        <v>225000</v>
      </c>
      <c r="T22" s="18">
        <v>150000</v>
      </c>
      <c r="U22" s="18">
        <v>150000</v>
      </c>
      <c r="V22" s="18">
        <f>908786-750000+188000</f>
        <v>346786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5">
      <c r="A24" s="17" t="s">
        <v>127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0</v>
      </c>
      <c r="T26" s="18">
        <v>0</v>
      </c>
      <c r="Z26" s="11">
        <f t="shared" si="0"/>
        <v>583130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0</v>
      </c>
      <c r="S27" s="18">
        <v>125000</v>
      </c>
      <c r="T27" s="18">
        <v>350000</v>
      </c>
      <c r="U27" s="18">
        <v>375000</v>
      </c>
      <c r="V27" s="17">
        <f>104514+125000</f>
        <v>229514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5">
      <c r="A28" s="17" t="s">
        <v>111</v>
      </c>
      <c r="F28" s="29"/>
      <c r="N28" s="18">
        <v>18018</v>
      </c>
      <c r="P28" s="18">
        <v>7500</v>
      </c>
      <c r="R28" s="18">
        <v>0</v>
      </c>
      <c r="T28" s="18">
        <v>1500000</v>
      </c>
      <c r="V28" s="18">
        <f>2148964+190117+25518</f>
        <v>2364599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0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162950.27222222224</v>
      </c>
      <c r="AA32" s="15"/>
    </row>
    <row r="33" spans="1:27" x14ac:dyDescent="0.25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35000</v>
      </c>
      <c r="T33" s="18">
        <v>35000</v>
      </c>
      <c r="U33" s="18">
        <v>35000</v>
      </c>
      <c r="V33" s="18">
        <f>140764-13593</f>
        <v>127171</v>
      </c>
      <c r="Z33" s="11">
        <f t="shared" si="0"/>
        <v>613982</v>
      </c>
      <c r="AA33" s="15"/>
    </row>
    <row r="34" spans="1:27" x14ac:dyDescent="0.25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741538</v>
      </c>
      <c r="AA34" s="15"/>
    </row>
    <row r="35" spans="1:27" x14ac:dyDescent="0.25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6937933.333333333</v>
      </c>
      <c r="S35" s="21">
        <f t="shared" si="5"/>
        <v>11410949.654444449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24469009.563333333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164806265.11222219</v>
      </c>
    </row>
    <row r="36" spans="1:27" x14ac:dyDescent="0.25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114323629.31666665</v>
      </c>
      <c r="S36" s="21">
        <f t="shared" si="7"/>
        <v>125734578.97111109</v>
      </c>
      <c r="T36" s="21">
        <f t="shared" si="7"/>
        <v>135388532.03055552</v>
      </c>
      <c r="U36" s="21">
        <f t="shared" si="7"/>
        <v>142837546.54888886</v>
      </c>
      <c r="V36" s="21">
        <f t="shared" si="7"/>
        <v>167306556.11222219</v>
      </c>
      <c r="W36" s="21">
        <f>+V36+W35</f>
        <v>164806265.11222219</v>
      </c>
      <c r="X36" s="21">
        <f>+W36+X35</f>
        <v>164806265.11222219</v>
      </c>
      <c r="Y36" s="21">
        <f>+X36+Y35</f>
        <v>164806265.11222219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323.14953943572976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723044.71415201714</v>
      </c>
      <c r="T40" s="30">
        <f>(T36+S45)*$C52/12</f>
        <v>779253.45209233125</v>
      </c>
      <c r="U40" s="30">
        <f>(U36+T45)*$C52/12</f>
        <v>823823.23693213693</v>
      </c>
      <c r="V40" s="30">
        <f>(V36+U45)*$C52/12-5719</f>
        <v>955107.08126690832</v>
      </c>
      <c r="W40" s="30"/>
      <c r="X40" s="30"/>
      <c r="Y40" s="30"/>
      <c r="Z40" s="11">
        <f t="shared" si="8"/>
        <v>11037904.51062776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723044.71415201714</v>
      </c>
      <c r="T44" s="21">
        <f t="shared" si="10"/>
        <v>779253.45209233125</v>
      </c>
      <c r="U44" s="21">
        <f t="shared" si="10"/>
        <v>823823.23693213693</v>
      </c>
      <c r="V44" s="21">
        <f t="shared" si="10"/>
        <v>955107.08126690832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11031827.51062776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7750599.026184367</v>
      </c>
      <c r="S45" s="54">
        <f t="shared" si="12"/>
        <v>8473643.7403363846</v>
      </c>
      <c r="T45" s="54">
        <f t="shared" si="12"/>
        <v>9252897.1924287155</v>
      </c>
      <c r="U45" s="54">
        <f t="shared" si="12"/>
        <v>10076720.429360852</v>
      </c>
      <c r="V45" s="54">
        <f t="shared" si="12"/>
        <v>11031827.51062776</v>
      </c>
      <c r="W45" s="54">
        <f>V45+W44</f>
        <v>11031827.51062776</v>
      </c>
      <c r="X45" s="54">
        <f>W45+X44</f>
        <v>11031827.51062776</v>
      </c>
      <c r="Y45" s="54">
        <f>X45+Y44</f>
        <v>11031827.51062776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7595606.3413967658</v>
      </c>
      <c r="S47" s="4">
        <f t="shared" si="14"/>
        <v>12133994.368596466</v>
      </c>
      <c r="T47" s="4">
        <f t="shared" si="14"/>
        <v>10433206.511536771</v>
      </c>
      <c r="U47" s="4">
        <f t="shared" si="14"/>
        <v>8272837.7552654725</v>
      </c>
      <c r="V47" s="4">
        <f t="shared" si="14"/>
        <v>25424116.644600242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175838092.62285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122074228.34285104</v>
      </c>
      <c r="S48" s="57">
        <f t="shared" si="16"/>
        <v>134208222.71144751</v>
      </c>
      <c r="T48" s="57">
        <f t="shared" si="16"/>
        <v>144641429.22298428</v>
      </c>
      <c r="U48" s="57">
        <f t="shared" si="16"/>
        <v>152914266.97824976</v>
      </c>
      <c r="V48" s="57">
        <f t="shared" si="16"/>
        <v>178338383.62285</v>
      </c>
      <c r="W48" s="57">
        <f>W47+V48</f>
        <v>175838092.62285</v>
      </c>
      <c r="X48" s="57">
        <f>X47+W48</f>
        <v>175838092.62285</v>
      </c>
      <c r="Y48" s="57">
        <f>Y47+X48</f>
        <v>175838092.62285</v>
      </c>
      <c r="Z48" s="11"/>
    </row>
    <row r="49" spans="1:31" s="4" customFormat="1" x14ac:dyDescent="0.25">
      <c r="M49" s="57"/>
      <c r="Z49" s="11"/>
    </row>
    <row r="50" spans="1:31" s="4" customFormat="1" x14ac:dyDescent="0.25">
      <c r="M50" s="57"/>
    </row>
    <row r="51" spans="1:31" s="4" customFormat="1" x14ac:dyDescent="0.25">
      <c r="M51" s="57"/>
      <c r="Z51" s="16">
        <f>+Z47/C54/1000</f>
        <v>344.78057377029415</v>
      </c>
    </row>
    <row r="52" spans="1:31" s="4" customFormat="1" x14ac:dyDescent="0.25">
      <c r="A52" s="8" t="s">
        <v>96</v>
      </c>
      <c r="C52" s="12">
        <v>6.5000000000000002E-2</v>
      </c>
      <c r="M52" s="57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7"/>
      <c r="Z56" s="11"/>
    </row>
    <row r="57" spans="1:31" x14ac:dyDescent="0.25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6937933.333333333</v>
      </c>
      <c r="S57" s="4">
        <f t="shared" si="18"/>
        <v>11410949.654444449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24469009.563333333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75952479.062222213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583130</v>
      </c>
      <c r="AD62" s="18">
        <f>[1]Gleason!$BT$195</f>
        <v>583130.26</v>
      </c>
      <c r="AE62" s="18">
        <f>AC62-AD62</f>
        <v>-0.26000000000931323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7127</v>
      </c>
      <c r="Z63" s="11">
        <f>SUM(C63:Y63)</f>
        <v>10670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67969</v>
      </c>
      <c r="Z65" s="11">
        <f>SUM(C65:Y65)</f>
        <v>73873</v>
      </c>
      <c r="AA65" s="39" t="s">
        <v>93</v>
      </c>
      <c r="AC65" s="18">
        <f>Z65+Z33</f>
        <v>687855</v>
      </c>
      <c r="AD65" s="18">
        <f>[1]Gleason!$BT$239</f>
        <v>687854.57000000007</v>
      </c>
      <c r="AE65" s="18">
        <f>AC65-AD65</f>
        <v>0.42999999993480742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23870</v>
      </c>
      <c r="Z66" s="11">
        <f>SUM(C66:Y66)</f>
        <v>37049.81</v>
      </c>
      <c r="AA66" s="39" t="s">
        <v>30</v>
      </c>
      <c r="AC66" s="18">
        <f>Z66+Z32</f>
        <v>200000.08222222223</v>
      </c>
      <c r="AD66" s="18">
        <f>[1]Gleason!$BT$230</f>
        <v>200000</v>
      </c>
      <c r="AE66" s="18">
        <f>AC66-AD66</f>
        <v>8.2222222234122455E-2</v>
      </c>
    </row>
    <row r="67" spans="1:31" x14ac:dyDescent="0.25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98966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121592.81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98966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119457.81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7595606.3413967658</v>
      </c>
      <c r="S73" s="9">
        <f t="shared" si="22"/>
        <v>12133994.368596466</v>
      </c>
      <c r="T73" s="9">
        <f t="shared" si="22"/>
        <v>10433206.511536771</v>
      </c>
      <c r="U73" s="9">
        <f t="shared" si="22"/>
        <v>8272837.7552654725</v>
      </c>
      <c r="V73" s="9">
        <f t="shared" si="22"/>
        <v>25523082.644600242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175957550.43285</v>
      </c>
    </row>
    <row r="74" spans="1:31" x14ac:dyDescent="0.25">
      <c r="Z74" s="4">
        <f>Z73-[1]Gleason!$BT$261</f>
        <v>-0.17777776718139648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L17" activePane="bottomRight" state="frozen"/>
      <selection activeCell="E1" sqref="E1"/>
      <selection pane="topRight" activeCell="E1" sqref="E1"/>
      <selection pane="bottomLeft" activeCell="E1" sqref="E1"/>
      <selection pane="bottomRight" activeCell="Q39" sqref="Q39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3.109375" style="18" customWidth="1"/>
    <col min="22" max="24" width="13.109375" style="18" hidden="1" customWidth="1"/>
    <col min="25" max="25" width="13.88671875" style="4" customWidth="1"/>
    <col min="26" max="26" width="20" style="18" bestFit="1" customWidth="1"/>
    <col min="27" max="27" width="12.33203125" style="18" customWidth="1"/>
    <col min="28" max="28" width="10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February 25, 1999</v>
      </c>
      <c r="Y2" s="25" t="str">
        <f ca="1">CELL("filename")</f>
        <v>O:\Fin_Ops\Engysvc\PowerPlants\2000 Plants\Draw Schedule\[Draw Sched - 030700.xls]Wilton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36591.456502777779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(0.9476-0.8703)*AA12+2727672</f>
        <v>3790419.5323000005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13748350.5777</v>
      </c>
      <c r="Z12" s="15" t="s">
        <v>50</v>
      </c>
      <c r="AA12" s="18">
        <f>[1]Wheatland!$BR$56</f>
        <v>13748351</v>
      </c>
      <c r="AB12" s="18">
        <f t="shared" si="1"/>
        <v>-0.42229999974370003</v>
      </c>
    </row>
    <row r="13" spans="1:28" x14ac:dyDescent="0.25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(0.9476-0.8703)*AA13+942336</f>
        <v>1309485.8002000002</v>
      </c>
      <c r="V13" s="18">
        <f>(1-0.9476)*AA13</f>
        <v>248882.91760000002</v>
      </c>
      <c r="W13" s="18">
        <f>442079+359779</f>
        <v>801858</v>
      </c>
      <c r="Y13" s="11">
        <f t="shared" si="0"/>
        <v>4749674.3398000002</v>
      </c>
      <c r="Z13" s="15"/>
      <c r="AA13" s="18">
        <f>[1]Wheatland!$BR$82</f>
        <v>4749674</v>
      </c>
      <c r="AB13" s="18">
        <f t="shared" si="1"/>
        <v>0.33980000019073486</v>
      </c>
    </row>
    <row r="14" spans="1:28" x14ac:dyDescent="0.25">
      <c r="A14" s="17" t="s">
        <v>121</v>
      </c>
      <c r="M14" s="18">
        <v>0</v>
      </c>
      <c r="N14" s="18">
        <v>61343</v>
      </c>
      <c r="P14" s="18">
        <v>2112822</v>
      </c>
      <c r="Q14" s="18">
        <v>0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(0.9476-0.8703)*AA14+3165418</f>
        <v>4398718.1652000006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15954724.4748</v>
      </c>
      <c r="Z14" s="15"/>
      <c r="AA14" s="18">
        <f>[1]Wheatland!$BR$116</f>
        <v>15954724</v>
      </c>
      <c r="AB14" s="18">
        <f t="shared" si="1"/>
        <v>0.47479999996721745</v>
      </c>
    </row>
    <row r="15" spans="1:28" x14ac:dyDescent="0.25">
      <c r="A15" s="17" t="s">
        <v>122</v>
      </c>
      <c r="N15" s="18">
        <v>0</v>
      </c>
      <c r="P15" s="18">
        <v>355795</v>
      </c>
      <c r="Q15" s="18">
        <v>0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</f>
        <v>2797233.3117000004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10145929.3783</v>
      </c>
      <c r="Z15" s="15"/>
      <c r="AA15" s="18">
        <f>[1]Wheatland!$BR$119</f>
        <v>10145929</v>
      </c>
      <c r="AB15" s="18">
        <f t="shared" si="1"/>
        <v>0.37829999998211861</v>
      </c>
    </row>
    <row r="16" spans="1:28" x14ac:dyDescent="0.25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5">
      <c r="A17" s="17" t="s">
        <v>124</v>
      </c>
      <c r="N17" s="18">
        <v>3651557</v>
      </c>
      <c r="P17" s="18">
        <f>1183571-943865</f>
        <v>239706</v>
      </c>
      <c r="Q17" s="18">
        <v>5993551</v>
      </c>
      <c r="U17" s="18">
        <f>-1822746-3953393</f>
        <v>-5776139</v>
      </c>
      <c r="W17" s="18">
        <v>-4108675</v>
      </c>
      <c r="X17" s="18">
        <v>-3953393</v>
      </c>
      <c r="Y17" s="11">
        <f t="shared" si="0"/>
        <v>-3953393</v>
      </c>
      <c r="Z17" s="15"/>
      <c r="AA17" s="18">
        <f>[1]Wheatland!$BR$123</f>
        <v>-3953393</v>
      </c>
      <c r="AB17" s="18">
        <f t="shared" si="1"/>
        <v>0</v>
      </c>
    </row>
    <row r="18" spans="1:28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5">
      <c r="A19" s="17" t="s">
        <v>106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[1]Wheatland!$BR$132</f>
        <v>2386700</v>
      </c>
      <c r="AB19" s="18">
        <f t="shared" si="1"/>
        <v>3.3333334140479565E-3</v>
      </c>
    </row>
    <row r="20" spans="1:28" x14ac:dyDescent="0.25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5">
      <c r="A21" s="17" t="s">
        <v>128</v>
      </c>
      <c r="C21" s="4">
        <v>0</v>
      </c>
      <c r="Q21" s="18">
        <v>37000</v>
      </c>
      <c r="R21" s="18">
        <v>125000</v>
      </c>
      <c r="S21" s="18">
        <v>125000</v>
      </c>
      <c r="T21" s="18">
        <v>125000</v>
      </c>
      <c r="U21" s="18">
        <f>908786-625000+88000</f>
        <v>371786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Q22" s="18">
        <v>750</v>
      </c>
      <c r="U22" s="18">
        <f>1500000-38084-16048-750</f>
        <v>1445118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Y24" s="11">
        <f t="shared" si="0"/>
        <v>1892590.26</v>
      </c>
      <c r="Z24" s="15" t="s">
        <v>57</v>
      </c>
      <c r="AA24" s="18">
        <f>[1]Wheatland!$BR$166</f>
        <v>1892589.96</v>
      </c>
      <c r="AB24" s="18">
        <f t="shared" si="1"/>
        <v>0.30000000004656613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T25" s="18">
        <v>19859</v>
      </c>
      <c r="Y25" s="11">
        <f t="shared" si="0"/>
        <v>303428.42000000004</v>
      </c>
      <c r="Z25" s="15" t="str">
        <f>Z24</f>
        <v>Steve Dowd</v>
      </c>
    </row>
    <row r="26" spans="1:28" x14ac:dyDescent="0.25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500000</v>
      </c>
      <c r="S26" s="18">
        <f>500000-10000</f>
        <v>490000</v>
      </c>
      <c r="T26" s="18">
        <v>1500000</v>
      </c>
      <c r="U26" s="18">
        <f>1500000-15000+500000</f>
        <v>1985000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554000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0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174087.89333333331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616912.68999999994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v>13665</v>
      </c>
      <c r="R33" s="18">
        <v>10000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653128.9</v>
      </c>
      <c r="Z33" s="15">
        <f>Z32</f>
        <v>0</v>
      </c>
    </row>
    <row r="34" spans="1:27" x14ac:dyDescent="0.25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3909419.3</v>
      </c>
      <c r="P34" s="21">
        <f t="shared" si="3"/>
        <v>8186544.333333333</v>
      </c>
      <c r="Q34" s="21">
        <f t="shared" si="3"/>
        <v>9065431.3333333321</v>
      </c>
      <c r="R34" s="21">
        <f t="shared" si="3"/>
        <v>10488230.985111112</v>
      </c>
      <c r="S34" s="21">
        <f t="shared" si="3"/>
        <v>7867096.2851111116</v>
      </c>
      <c r="T34" s="21">
        <f t="shared" si="3"/>
        <v>7336640.0971111096</v>
      </c>
      <c r="U34" s="21">
        <f t="shared" si="3"/>
        <v>18123857.809400003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151483115.79673332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90415314.953333333</v>
      </c>
      <c r="P35" s="21">
        <f t="shared" si="4"/>
        <v>98601859.286666662</v>
      </c>
      <c r="Q35" s="21">
        <f t="shared" si="4"/>
        <v>107667290.61999999</v>
      </c>
      <c r="R35" s="21">
        <f t="shared" si="4"/>
        <v>118155521.60511111</v>
      </c>
      <c r="S35" s="21">
        <f t="shared" si="4"/>
        <v>126022617.89022222</v>
      </c>
      <c r="T35" s="21">
        <f t="shared" si="4"/>
        <v>133359257.98733333</v>
      </c>
      <c r="U35" s="21">
        <f t="shared" si="4"/>
        <v>151483115.79673332</v>
      </c>
      <c r="V35" s="21">
        <f>+U35+V34</f>
        <v>154461201.52393332</v>
      </c>
      <c r="W35" s="21">
        <f>+V35+W34</f>
        <v>156589254.52393332</v>
      </c>
      <c r="X35" s="21">
        <f>+W35+X34</f>
        <v>152659986.52393332</v>
      </c>
      <c r="Y35" s="11"/>
    </row>
    <row r="36" spans="1:27" x14ac:dyDescent="0.25">
      <c r="A36" s="17" t="s">
        <v>64</v>
      </c>
      <c r="F36" s="8"/>
      <c r="Y36" s="16">
        <f>+Y34/C51/1000</f>
        <v>322.30450169517729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f t="shared" si="6"/>
        <v>676142.74824486941</v>
      </c>
      <c r="S39" s="30">
        <f t="shared" si="6"/>
        <v>722418.62634221429</v>
      </c>
      <c r="T39" s="30">
        <f t="shared" si="6"/>
        <v>766071.86109425314</v>
      </c>
      <c r="U39" s="30">
        <f t="shared" si="6"/>
        <v>868392.31347609696</v>
      </c>
      <c r="V39" s="30">
        <v>0</v>
      </c>
      <c r="W39" s="30">
        <v>0</v>
      </c>
      <c r="X39" s="30">
        <v>0</v>
      </c>
      <c r="Y39" s="11">
        <f t="shared" si="5"/>
        <v>9709934.9661760703</v>
      </c>
      <c r="Z39" s="19" t="str">
        <f>Z52</f>
        <v>Rodney Malcolm</v>
      </c>
      <c r="AA39" s="18">
        <f>Y39</f>
        <v>9709934.9661760703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676142.74824486941</v>
      </c>
      <c r="S43" s="21">
        <f t="shared" si="7"/>
        <v>722418.62634221429</v>
      </c>
      <c r="T43" s="21">
        <f t="shared" si="7"/>
        <v>766071.86109425314</v>
      </c>
      <c r="U43" s="21">
        <f t="shared" si="7"/>
        <v>868392.31347609696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9703857.4661760703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7346974.6652635066</v>
      </c>
      <c r="S44" s="21">
        <f t="shared" si="8"/>
        <v>8069393.2916057212</v>
      </c>
      <c r="T44" s="21">
        <f t="shared" si="8"/>
        <v>8835465.1526999734</v>
      </c>
      <c r="U44" s="21">
        <f t="shared" si="8"/>
        <v>9703857.4661760703</v>
      </c>
      <c r="V44" s="21">
        <f>+V43+U44</f>
        <v>9703857.4661760703</v>
      </c>
      <c r="W44" s="21">
        <f>+W43+V44</f>
        <v>9703857.4661760703</v>
      </c>
      <c r="X44" s="21">
        <f>+X43+W44</f>
        <v>9703857.4661760703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4425759.3</v>
      </c>
      <c r="P46" s="4">
        <f t="shared" si="9"/>
        <v>8750380.6584433746</v>
      </c>
      <c r="Q46" s="4">
        <f t="shared" si="9"/>
        <v>9681426.1915932745</v>
      </c>
      <c r="R46" s="4">
        <f t="shared" si="9"/>
        <v>11164373.73335598</v>
      </c>
      <c r="S46" s="4">
        <f t="shared" si="9"/>
        <v>8589514.9114533253</v>
      </c>
      <c r="T46" s="4">
        <f t="shared" si="9"/>
        <v>8102711.9582053628</v>
      </c>
      <c r="U46" s="4">
        <f t="shared" si="9"/>
        <v>18992250.1228761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162363843.99010941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95906315.686981991</v>
      </c>
      <c r="P47" s="4">
        <f t="shared" si="10"/>
        <v>104656696.34542537</v>
      </c>
      <c r="Q47" s="4">
        <f t="shared" si="10"/>
        <v>114338122.53701864</v>
      </c>
      <c r="R47" s="4">
        <f t="shared" si="10"/>
        <v>125502496.27037463</v>
      </c>
      <c r="S47" s="4">
        <f t="shared" si="10"/>
        <v>134092011.18182795</v>
      </c>
      <c r="T47" s="4">
        <f t="shared" si="10"/>
        <v>142194723.1400333</v>
      </c>
      <c r="U47" s="4">
        <f t="shared" si="10"/>
        <v>161186973.26290941</v>
      </c>
      <c r="V47" s="4">
        <f>U47+V46</f>
        <v>164165058.99010941</v>
      </c>
      <c r="W47" s="4">
        <f>V47+W46</f>
        <v>166293111.99010941</v>
      </c>
      <c r="X47" s="4">
        <f>W47+X46</f>
        <v>162363843.99010941</v>
      </c>
      <c r="Y47" s="11"/>
    </row>
    <row r="48" spans="1:27" s="4" customFormat="1" x14ac:dyDescent="0.25">
      <c r="Y48" s="16">
        <f>+Y46/C51/1000</f>
        <v>345.45498721299873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3909419.3</v>
      </c>
      <c r="P54" s="4">
        <f t="shared" si="11"/>
        <v>8186544.333333333</v>
      </c>
      <c r="Q54" s="4">
        <f t="shared" si="11"/>
        <v>9065431.3333333321</v>
      </c>
      <c r="R54" s="4">
        <f t="shared" si="11"/>
        <v>10488230.985111112</v>
      </c>
      <c r="S54" s="4">
        <f t="shared" si="11"/>
        <v>7867096.2851111107</v>
      </c>
      <c r="T54" s="4">
        <f t="shared" si="11"/>
        <v>7336640.0971111096</v>
      </c>
      <c r="U54" s="4">
        <f t="shared" si="11"/>
        <v>18123857.809400003</v>
      </c>
      <c r="V54" s="4">
        <f t="shared" si="11"/>
        <v>2978085.7272000001</v>
      </c>
      <c r="W54" s="4">
        <f t="shared" si="11"/>
        <v>2128053</v>
      </c>
      <c r="X54" s="4">
        <f t="shared" si="11"/>
        <v>-3929268</v>
      </c>
      <c r="Y54" s="23">
        <f>SUM(C54:X54)</f>
        <v>152653909.02393332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10392</v>
      </c>
      <c r="Y59" s="11">
        <f>SUM(C59:X59)</f>
        <v>146572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-3231</v>
      </c>
      <c r="Y60" s="11">
        <f>SUM(C60:X60)</f>
        <v>146484.20000000001</v>
      </c>
      <c r="Z60" s="19" t="str">
        <f>+Z59</f>
        <v>Steve Dowd</v>
      </c>
      <c r="AA60" s="18">
        <f>Y60+Y32</f>
        <v>763396.8899999999</v>
      </c>
      <c r="AB60" s="18">
        <f>[1]Wheatland!$BR$196</f>
        <v>763396.89</v>
      </c>
      <c r="AC60" s="18">
        <f>AB60-AA60</f>
        <v>0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1892590.26</v>
      </c>
      <c r="AB61" s="18">
        <f>[1]Wheatland!$BR$166</f>
        <v>1892589.96</v>
      </c>
      <c r="AC61" s="18">
        <f>AB61-AA61</f>
        <v>-0.30000000004656613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11111</v>
      </c>
      <c r="Y62" s="11">
        <f>SUM(C62:X62)</f>
        <v>25912.379999999997</v>
      </c>
      <c r="Z62" s="19" t="str">
        <f>+Z60</f>
        <v>Steve Dowd</v>
      </c>
      <c r="AA62" s="18">
        <f>Y62+Y31</f>
        <v>200000.27333333332</v>
      </c>
      <c r="AB62" s="18">
        <f>[1]Wheatland!$BR$185</f>
        <v>200000</v>
      </c>
      <c r="AC62" s="18">
        <f>AB62-AA62</f>
        <v>-0.27333333331625909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48543</v>
      </c>
      <c r="Y63" s="11">
        <f>SUM(C63:X63)</f>
        <v>48543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5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66815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367511.58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66815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262267.58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4425759.3</v>
      </c>
      <c r="P78" s="33">
        <f t="shared" si="15"/>
        <v>8750380.6584433746</v>
      </c>
      <c r="Q78" s="33">
        <f t="shared" si="15"/>
        <v>9681426.1915932745</v>
      </c>
      <c r="R78" s="33">
        <f t="shared" si="15"/>
        <v>11164373.73335598</v>
      </c>
      <c r="S78" s="33">
        <f t="shared" si="15"/>
        <v>8589514.9114533253</v>
      </c>
      <c r="T78" s="33">
        <f t="shared" si="15"/>
        <v>8102711.9582053628</v>
      </c>
      <c r="U78" s="33">
        <f t="shared" si="15"/>
        <v>19059065.1228761</v>
      </c>
      <c r="V78" s="33">
        <f t="shared" si="15"/>
        <v>2978085.7272000001</v>
      </c>
      <c r="W78" s="33">
        <f t="shared" si="15"/>
        <v>2128053</v>
      </c>
      <c r="X78" s="33">
        <f t="shared" si="15"/>
        <v>-3929268</v>
      </c>
      <c r="Y78" s="33">
        <f t="shared" si="15"/>
        <v>162641211.57010943</v>
      </c>
      <c r="Z78" s="17"/>
    </row>
    <row r="79" spans="1:26" x14ac:dyDescent="0.25">
      <c r="U79"/>
      <c r="V79"/>
      <c r="W79"/>
      <c r="X79"/>
      <c r="Y79" s="47">
        <f>Y78-[1]Wheatland!$BR$236</f>
        <v>2.5239333510398865</v>
      </c>
    </row>
  </sheetData>
  <mergeCells count="1">
    <mergeCell ref="D5:O5"/>
  </mergeCells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2000-03-06T16:57:41Z</cp:lastPrinted>
  <dcterms:created xsi:type="dcterms:W3CDTF">1999-02-09T14:03:00Z</dcterms:created>
  <dcterms:modified xsi:type="dcterms:W3CDTF">2023-09-10T11:56:40Z</dcterms:modified>
</cp:coreProperties>
</file>