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Table of Contents" sheetId="16" r:id="rId1"/>
    <sheet name="Scope" sheetId="17" r:id="rId2"/>
    <sheet name="Assumptions" sheetId="18" r:id="rId3"/>
    <sheet name="Map" sheetId="2" r:id="rId4"/>
    <sheet name="Summary" sheetId="19" r:id="rId5"/>
    <sheet name="Mob_Estimate" sheetId="20" r:id="rId6"/>
    <sheet name="Mob_Schedule" sheetId="21" r:id="rId7"/>
    <sheet name="Mob_Staffing" sheetId="22" r:id="rId8"/>
    <sheet name="Training" sheetId="23" r:id="rId9"/>
    <sheet name="ScopeSplit" sheetId="24" r:id="rId10"/>
    <sheet name="Mob_Backup" sheetId="25" state="hidden" r:id="rId11"/>
    <sheet name="O&amp;M_Estimate" sheetId="26" r:id="rId12"/>
    <sheet name="Plt_Staff" sheetId="27" r:id="rId13"/>
    <sheet name="Pay &amp; Benefits Calculations" sheetId="28" state="hidden" r:id="rId14"/>
    <sheet name="O&amp;M_Backup" sheetId="29" state="hidden" r:id="rId15"/>
    <sheet name="LM6000PC_MMR_Gas" sheetId="30" state="hidden" r:id="rId16"/>
  </sheets>
  <definedNames>
    <definedName name="_xlnm._FilterDatabase" localSheetId="10" hidden="1">Mob_Backup!$A$17:$D$266</definedName>
    <definedName name="_xlnm._FilterDatabase" localSheetId="14" hidden="1">'O&amp;M_Backup'!#REF!</definedName>
    <definedName name="ACwvu.jjj." localSheetId="4" hidden="1">Summary!#REF!</definedName>
    <definedName name="CompleteFilterPrint" localSheetId="14">'O&amp;M_Backup'!$A$2:$D$285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_xlnm.Print_Area" localSheetId="10">Mob_Backup!$E$1:$J$299</definedName>
    <definedName name="_xlnm.Print_Area" localSheetId="5">Mob_Estimate!$A$1:$D$54</definedName>
    <definedName name="_xlnm.Print_Area" localSheetId="6">Mob_Schedule!$A$1:$Z$30</definedName>
    <definedName name="_xlnm.Print_Area" localSheetId="14">'O&amp;M_Backup'!$A$1:$D$311</definedName>
    <definedName name="_xlnm.Print_Area" localSheetId="11">'O&amp;M_Estimate'!$A$1:$J$56</definedName>
    <definedName name="_xlnm.Print_Area" localSheetId="13">'Pay &amp; Benefits Calculations'!#REF!</definedName>
    <definedName name="_xlnm.Print_Area" localSheetId="9">ScopeSplit!$A$1:$F$122</definedName>
    <definedName name="_xlnm.Print_Area" localSheetId="4">Summary!$A$1:$L$49</definedName>
    <definedName name="_xlnm.Print_Area" localSheetId="0">'Table of Contents'!$A$1:$G$42</definedName>
    <definedName name="_xlnm.Print_Area" localSheetId="8">Training!$A$1:$I$61</definedName>
    <definedName name="SALARY">#REF!</definedName>
    <definedName name="Swvu.jjj." localSheetId="4" hidden="1">Summary!#REF!</definedName>
    <definedName name="UpLt_CommOps" localSheetId="11">'O&amp;M_Estimate'!#REF!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4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4" hidden="1">Summary!$A$1:$H$55</definedName>
    <definedName name="Z_27B46881_0F5B_11D2_8727_00600802E52E_.wvu.PrintArea" localSheetId="4" hidden="1">Summary!$A$1:$H$50</definedName>
    <definedName name="Z_42889D47_02B9_43E3_9871_035CE2C6ABFC_.wvu.Cols" localSheetId="10" hidden="1">Mob_Backup!$A:$D,Mob_Backup!$I:$J</definedName>
    <definedName name="Z_42889D47_02B9_43E3_9871_035CE2C6ABFC_.wvu.Cols" localSheetId="6" hidden="1">Mob_Schedule!$B:$E</definedName>
    <definedName name="Z_42889D47_02B9_43E3_9871_035CE2C6ABFC_.wvu.FilterData" localSheetId="10" hidden="1">Mob_Backup!$A$17:$D$266</definedName>
    <definedName name="Z_42889D47_02B9_43E3_9871_035CE2C6ABFC_.wvu.PrintArea" localSheetId="10" hidden="1">Mob_Backup!$E$1:$J$299</definedName>
    <definedName name="Z_42889D47_02B9_43E3_9871_035CE2C6ABFC_.wvu.PrintArea" localSheetId="5" hidden="1">Mob_Estimate!$A$1:$D$54</definedName>
    <definedName name="Z_42889D47_02B9_43E3_9871_035CE2C6ABFC_.wvu.PrintArea" localSheetId="6" hidden="1">Mob_Schedule!$A$1:$Z$30</definedName>
    <definedName name="Z_42889D47_02B9_43E3_9871_035CE2C6ABFC_.wvu.PrintArea" localSheetId="14" hidden="1">'O&amp;M_Backup'!$A$1:$D$311</definedName>
    <definedName name="Z_42889D47_02B9_43E3_9871_035CE2C6ABFC_.wvu.PrintArea" localSheetId="11" hidden="1">'O&amp;M_Estimate'!$A$1:$E$60</definedName>
    <definedName name="Z_42889D47_02B9_43E3_9871_035CE2C6ABFC_.wvu.PrintArea" localSheetId="13" hidden="1">'Pay &amp; Benefits Calculations'!#REF!</definedName>
    <definedName name="Z_42889D47_02B9_43E3_9871_035CE2C6ABFC_.wvu.PrintArea" localSheetId="9" hidden="1">ScopeSplit!$A$1:$F$122</definedName>
    <definedName name="Z_42889D47_02B9_43E3_9871_035CE2C6ABFC_.wvu.PrintArea" localSheetId="4" hidden="1">Summary!$A$1:$F$57</definedName>
    <definedName name="Z_42889D47_02B9_43E3_9871_035CE2C6ABFC_.wvu.PrintArea" localSheetId="0" hidden="1">'Table of Contents'!$A$1:$G$42</definedName>
    <definedName name="Z_42889D47_02B9_43E3_9871_035CE2C6ABFC_.wvu.Rows" localSheetId="15" hidden="1">LM6000PC_MMR_Gas!$37:$70</definedName>
    <definedName name="Z_42889D47_02B9_43E3_9871_035CE2C6ABFC_.wvu.Rows" localSheetId="5" hidden="1">Mob_Estimate!$51:$51</definedName>
    <definedName name="Z_42889D47_02B9_43E3_9871_035CE2C6ABFC_.wvu.Rows" localSheetId="6" hidden="1">Mob_Schedule!$13:$16</definedName>
    <definedName name="Z_42889D47_02B9_43E3_9871_035CE2C6ABFC_.wvu.Rows" localSheetId="7" hidden="1">Mob_Staffing!$9:$12,Mob_Staffing!$14:$14</definedName>
    <definedName name="Z_42889D47_02B9_43E3_9871_035CE2C6ABFC_.wvu.Rows" localSheetId="11" hidden="1">'O&amp;M_Estimate'!$34:$37</definedName>
    <definedName name="Z_42889D47_02B9_43E3_9871_035CE2C6ABFC_.wvu.Rows" localSheetId="13" hidden="1">'Pay &amp; Benefits Calculations'!#REF!</definedName>
    <definedName name="Z_42889D47_02B9_43E3_9871_035CE2C6ABFC_.wvu.Rows" localSheetId="1" hidden="1">Scope!$52:$52</definedName>
    <definedName name="Z_42889D47_02B9_43E3_9871_035CE2C6ABFC_.wvu.Rows" localSheetId="4" hidden="1">Summary!$24:$24,Summary!$52:$52</definedName>
    <definedName name="Z_42889D47_02B9_43E3_9871_035CE2C6ABFC_.wvu.Rows" localSheetId="0" hidden="1">'Table of Contents'!$15:$15,'Table of Contents'!$17:$18,'Table of Contents'!$24:$25,'Table of Contents'!$30:$32,'Table of Contents'!$37:$37</definedName>
    <definedName name="Z_44B1FD93_6C50_11D3_9B06_006097CA9A6E_.wvu.PrintArea" localSheetId="4" hidden="1">Summary!$A$1:$H$55</definedName>
    <definedName name="Z_76D90A80_B211_11D3_B354_005004B48B2E_.wvu.PrintArea" localSheetId="4" hidden="1">Summary!$A$1:$H$55</definedName>
    <definedName name="Z_7B3B2BED_CD8B_11D3_96CC_0050048E3156_.wvu.Cols" localSheetId="10" hidden="1">Mob_Backup!$A:$D,Mob_Backup!$I:$J</definedName>
    <definedName name="Z_7B3B2BED_CD8B_11D3_96CC_0050048E3156_.wvu.FilterData" localSheetId="10" hidden="1">Mob_Backup!$A$17:$D$266</definedName>
    <definedName name="Z_7B3B2BED_CD8B_11D3_96CC_0050048E3156_.wvu.PrintArea" localSheetId="10" hidden="1">Mob_Backup!$E$1:$J$299</definedName>
    <definedName name="Z_7B3B2BED_CD8B_11D3_96CC_0050048E3156_.wvu.PrintArea" localSheetId="5" hidden="1">Mob_Estimate!$A$1:$D$54</definedName>
    <definedName name="Z_7B3B2BED_CD8B_11D3_96CC_0050048E3156_.wvu.PrintArea" localSheetId="6" hidden="1">Mob_Schedule!$A$1:$Z$30</definedName>
    <definedName name="Z_7B3B2BED_CD8B_11D3_96CC_0050048E3156_.wvu.PrintArea" localSheetId="14" hidden="1">'O&amp;M_Backup'!$A$1:$D$311</definedName>
    <definedName name="Z_7B3B2BED_CD8B_11D3_96CC_0050048E3156_.wvu.PrintArea" localSheetId="11" hidden="1">'O&amp;M_Estimate'!$A$1:$E$61</definedName>
    <definedName name="Z_7B3B2BED_CD8B_11D3_96CC_0050048E3156_.wvu.PrintArea" localSheetId="13" hidden="1">'Pay &amp; Benefits Calculations'!#REF!</definedName>
    <definedName name="Z_7B3B2BED_CD8B_11D3_96CC_0050048E3156_.wvu.PrintArea" localSheetId="9" hidden="1">ScopeSplit!$A$1:$F$122</definedName>
    <definedName name="Z_7B3B2BED_CD8B_11D3_96CC_0050048E3156_.wvu.PrintArea" localSheetId="4" hidden="1">Summary!$A$1:$F$57</definedName>
    <definedName name="Z_7B3B2BED_CD8B_11D3_96CC_0050048E3156_.wvu.PrintArea" localSheetId="0" hidden="1">'Table of Contents'!$A$1:$G$42</definedName>
    <definedName name="Z_7B3B2BED_CD8B_11D3_96CC_0050048E3156_.wvu.Rows" localSheetId="15" hidden="1">LM6000PC_MMR_Gas!$37:$70</definedName>
    <definedName name="Z_7B3B2BED_CD8B_11D3_96CC_0050048E3156_.wvu.Rows" localSheetId="5" hidden="1">Mob_Estimate!$41:$42,Mob_Estimate!$51:$51</definedName>
    <definedName name="Z_7B3B2BED_CD8B_11D3_96CC_0050048E3156_.wvu.Rows" localSheetId="6" hidden="1">Mob_Schedule!$13:$16</definedName>
    <definedName name="Z_7B3B2BED_CD8B_11D3_96CC_0050048E3156_.wvu.Rows" localSheetId="7" hidden="1">Mob_Staffing!$9:$10</definedName>
    <definedName name="Z_7B3B2BED_CD8B_11D3_96CC_0050048E3156_.wvu.Rows" localSheetId="14" hidden="1">'O&amp;M_Backup'!$72:$72,'O&amp;M_Backup'!$74:$74,'O&amp;M_Backup'!$237:$239</definedName>
    <definedName name="Z_7B3B2BED_CD8B_11D3_96CC_0050048E3156_.wvu.Rows" localSheetId="11" hidden="1">'O&amp;M_Estimate'!$35:$35,'O&amp;M_Estimate'!$52:$53</definedName>
    <definedName name="Z_7B3B2BED_CD8B_11D3_96CC_0050048E3156_.wvu.Rows" localSheetId="13" hidden="1">'Pay &amp; Benefits Calculations'!#REF!</definedName>
    <definedName name="Z_7B3B2BED_CD8B_11D3_96CC_0050048E3156_.wvu.Rows" localSheetId="1" hidden="1">Scope!$52:$52</definedName>
    <definedName name="Z_7B3B2BED_CD8B_11D3_96CC_0050048E3156_.wvu.Rows" localSheetId="4" hidden="1">Summary!$15:$16,Summary!$24:$24,Summary!$47:$48,Summary!$52:$52</definedName>
    <definedName name="Z_7B3B2BED_CD8B_11D3_96CC_0050048E3156_.wvu.Rows" localSheetId="0" hidden="1">'Table of Contents'!$15:$15,'Table of Contents'!$17:$18,'Table of Contents'!$24:$25,'Table of Contents'!$30:$32,'Table of Contents'!$37:$37</definedName>
    <definedName name="Z_7B8B4280_75B9_11D3_B354_0050048AD64B_.wvu.PrintArea" localSheetId="4" hidden="1">Summary!$A$1:$H$55</definedName>
    <definedName name="Z_7C8030C1_816E_11D3_9B1F_000064657374_.wvu.PrintArea" localSheetId="4" hidden="1">Summary!$A$1:$H$55</definedName>
    <definedName name="Z_887EA5F3_7E5C_11D3_9B1C_006097CA9A6E_.wvu.PrintArea" localSheetId="4" hidden="1">Summary!$A$1:$H$55</definedName>
    <definedName name="Z_97C9EDC3_809C_11D3_9B1E_006097CA9A6E_.wvu.PrintArea" localSheetId="4" hidden="1">Summary!$A$1:$H$55</definedName>
    <definedName name="Z_ADAAEFB1_7735_11D3_9B11_006097CA9A6E_.wvu.PrintArea" localSheetId="4" hidden="1">Summary!$A$1:$H$55</definedName>
    <definedName name="Z_B14BA500_7FDD_11D3_9B1D_000064657374_.wvu.PrintArea" localSheetId="4" hidden="1">Summary!$A$1:$H$55</definedName>
    <definedName name="Z_DD4FE528_7357_11D3_9B0D_006097CA9A6E_.wvu.PrintArea" localSheetId="4" hidden="1">Summary!$A$1:$H$55</definedName>
    <definedName name="Z_E29E7520_B211_11D3_B354_005004B48B2E_.wvu.PrintArea" localSheetId="4" hidden="1">Summary!$A$1:$H$55</definedName>
    <definedName name="Z_F8408542_C03D_11D2_9A75_00600802E52E_.wvu.PrintArea" localSheetId="4" hidden="1">Summary!$A$1:$H$50</definedName>
  </definedNames>
  <calcPr calcId="0" fullCalcOnLoad="1"/>
</workbook>
</file>

<file path=xl/calcChain.xml><?xml version="1.0" encoding="utf-8"?>
<calcChain xmlns="http://schemas.openxmlformats.org/spreadsheetml/2006/main">
  <c r="A1" i="18" l="1"/>
  <c r="A1" i="30"/>
  <c r="H6" i="30"/>
  <c r="H7" i="30"/>
  <c r="H8" i="30"/>
  <c r="H9" i="30"/>
  <c r="D13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H40" i="30"/>
  <c r="H41" i="30"/>
  <c r="H42" i="30"/>
  <c r="H43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A1" i="2"/>
  <c r="E3" i="25"/>
  <c r="A6" i="25"/>
  <c r="I6" i="25"/>
  <c r="J6" i="25"/>
  <c r="I7" i="25"/>
  <c r="J7" i="25"/>
  <c r="I8" i="25"/>
  <c r="J8" i="25"/>
  <c r="I9" i="25"/>
  <c r="J9" i="25"/>
  <c r="I10" i="25"/>
  <c r="J10" i="25"/>
  <c r="I11" i="25"/>
  <c r="J11" i="25"/>
  <c r="I12" i="25"/>
  <c r="J12" i="25"/>
  <c r="I13" i="25"/>
  <c r="J13" i="25"/>
  <c r="I14" i="25"/>
  <c r="J14" i="25"/>
  <c r="I15" i="25"/>
  <c r="J15" i="25"/>
  <c r="H16" i="25"/>
  <c r="I16" i="25"/>
  <c r="J16" i="25"/>
  <c r="H18" i="25"/>
  <c r="I18" i="25"/>
  <c r="J18" i="25"/>
  <c r="I19" i="25"/>
  <c r="J19" i="25"/>
  <c r="I20" i="25"/>
  <c r="J20" i="25"/>
  <c r="I21" i="25"/>
  <c r="J21" i="25"/>
  <c r="H22" i="25"/>
  <c r="I22" i="25"/>
  <c r="J22" i="25"/>
  <c r="A24" i="25"/>
  <c r="I24" i="25"/>
  <c r="I25" i="25"/>
  <c r="I26" i="25"/>
  <c r="H28" i="25"/>
  <c r="I28" i="25"/>
  <c r="J28" i="25"/>
  <c r="A30" i="25"/>
  <c r="I30" i="25"/>
  <c r="J30" i="25"/>
  <c r="A31" i="25"/>
  <c r="I31" i="25"/>
  <c r="J31" i="25"/>
  <c r="H32" i="25"/>
  <c r="I32" i="25"/>
  <c r="J32" i="25"/>
  <c r="I33" i="25"/>
  <c r="J33" i="25"/>
  <c r="H35" i="25"/>
  <c r="I35" i="25"/>
  <c r="J35" i="25"/>
  <c r="H37" i="25"/>
  <c r="I37" i="25"/>
  <c r="J37" i="25"/>
  <c r="I38" i="25"/>
  <c r="J38" i="25"/>
  <c r="I39" i="25"/>
  <c r="J39" i="25"/>
  <c r="H41" i="25"/>
  <c r="I41" i="25"/>
  <c r="J41" i="25"/>
  <c r="A43" i="25"/>
  <c r="I43" i="25"/>
  <c r="J43" i="25"/>
  <c r="A44" i="25"/>
  <c r="I44" i="25"/>
  <c r="J44" i="25"/>
  <c r="A45" i="25"/>
  <c r="H45" i="25"/>
  <c r="I45" i="25"/>
  <c r="J45" i="25"/>
  <c r="A46" i="25"/>
  <c r="I46" i="25"/>
  <c r="J46" i="25"/>
  <c r="I47" i="25"/>
  <c r="J47" i="25"/>
  <c r="A48" i="25"/>
  <c r="I48" i="25"/>
  <c r="J48" i="25"/>
  <c r="A49" i="25"/>
  <c r="I49" i="25"/>
  <c r="J49" i="25"/>
  <c r="A50" i="25"/>
  <c r="I50" i="25"/>
  <c r="J50" i="25"/>
  <c r="I53" i="25"/>
  <c r="J53" i="25"/>
  <c r="I54" i="25"/>
  <c r="J54" i="25"/>
  <c r="I55" i="25"/>
  <c r="J55" i="25"/>
  <c r="A57" i="25"/>
  <c r="I57" i="25"/>
  <c r="J57" i="25"/>
  <c r="H58" i="25"/>
  <c r="H59" i="25"/>
  <c r="I59" i="25"/>
  <c r="J59" i="25"/>
  <c r="I61" i="25"/>
  <c r="A62" i="25"/>
  <c r="I62" i="25"/>
  <c r="A63" i="25"/>
  <c r="H63" i="25"/>
  <c r="I63" i="25"/>
  <c r="A64" i="25"/>
  <c r="I64" i="25"/>
  <c r="A65" i="25"/>
  <c r="I65" i="25"/>
  <c r="H67" i="25"/>
  <c r="I67" i="25"/>
  <c r="J67" i="25"/>
  <c r="A69" i="25"/>
  <c r="H69" i="25"/>
  <c r="I69" i="25"/>
  <c r="A70" i="25"/>
  <c r="H70" i="25"/>
  <c r="I70" i="25"/>
  <c r="A71" i="25"/>
  <c r="H71" i="25"/>
  <c r="I71" i="25"/>
  <c r="H73" i="25"/>
  <c r="I73" i="25"/>
  <c r="J73" i="25"/>
  <c r="A75" i="25"/>
  <c r="I75" i="25"/>
  <c r="A76" i="25"/>
  <c r="I76" i="25"/>
  <c r="A77" i="25"/>
  <c r="I77" i="25"/>
  <c r="A78" i="25"/>
  <c r="I78" i="25"/>
  <c r="I79" i="25"/>
  <c r="H81" i="25"/>
  <c r="I81" i="25"/>
  <c r="J81" i="25"/>
  <c r="A83" i="25"/>
  <c r="H83" i="25"/>
  <c r="I83" i="25"/>
  <c r="J83" i="25"/>
  <c r="A84" i="25"/>
  <c r="I84" i="25"/>
  <c r="J84" i="25"/>
  <c r="A85" i="25"/>
  <c r="I85" i="25"/>
  <c r="J85" i="25"/>
  <c r="A86" i="25"/>
  <c r="I86" i="25"/>
  <c r="J86" i="25"/>
  <c r="A87" i="25"/>
  <c r="I87" i="25"/>
  <c r="J87" i="25"/>
  <c r="A88" i="25"/>
  <c r="I88" i="25"/>
  <c r="J88" i="25"/>
  <c r="A89" i="25"/>
  <c r="I89" i="25"/>
  <c r="J89" i="25"/>
  <c r="A90" i="25"/>
  <c r="I90" i="25"/>
  <c r="J90" i="25"/>
  <c r="A91" i="25"/>
  <c r="I91" i="25"/>
  <c r="J91" i="25"/>
  <c r="A92" i="25"/>
  <c r="I92" i="25"/>
  <c r="J92" i="25"/>
  <c r="A93" i="25"/>
  <c r="I93" i="25"/>
  <c r="J93" i="25"/>
  <c r="A94" i="25"/>
  <c r="I94" i="25"/>
  <c r="J94" i="25"/>
  <c r="A95" i="25"/>
  <c r="I95" i="25"/>
  <c r="J95" i="25"/>
  <c r="A96" i="25"/>
  <c r="I96" i="25"/>
  <c r="J96" i="25"/>
  <c r="I97" i="25"/>
  <c r="J97" i="25"/>
  <c r="H98" i="25"/>
  <c r="I98" i="25"/>
  <c r="J98" i="25"/>
  <c r="A100" i="25"/>
  <c r="I100" i="25"/>
  <c r="J100" i="25"/>
  <c r="A101" i="25"/>
  <c r="H101" i="25"/>
  <c r="I101" i="25"/>
  <c r="J101" i="25"/>
  <c r="H102" i="25"/>
  <c r="I102" i="25"/>
  <c r="J102" i="25"/>
  <c r="A103" i="25"/>
  <c r="I103" i="25"/>
  <c r="J103" i="25"/>
  <c r="A104" i="25"/>
  <c r="I104" i="25"/>
  <c r="J104" i="25"/>
  <c r="A105" i="25"/>
  <c r="H105" i="25"/>
  <c r="I105" i="25"/>
  <c r="J105" i="25"/>
  <c r="A106" i="25"/>
  <c r="I106" i="25"/>
  <c r="J106" i="25"/>
  <c r="A107" i="25"/>
  <c r="I107" i="25"/>
  <c r="J107" i="25"/>
  <c r="A108" i="25"/>
  <c r="I108" i="25"/>
  <c r="J108" i="25"/>
  <c r="A109" i="25"/>
  <c r="I109" i="25"/>
  <c r="J109" i="25"/>
  <c r="A110" i="25"/>
  <c r="I110" i="25"/>
  <c r="J110" i="25"/>
  <c r="I111" i="25"/>
  <c r="J111" i="25"/>
  <c r="I112" i="25"/>
  <c r="J112" i="25"/>
  <c r="A113" i="25"/>
  <c r="I113" i="25"/>
  <c r="J113" i="25"/>
  <c r="A114" i="25"/>
  <c r="I114" i="25"/>
  <c r="J114" i="25"/>
  <c r="H115" i="25"/>
  <c r="I115" i="25"/>
  <c r="J115" i="25"/>
  <c r="A116" i="25"/>
  <c r="H117" i="25"/>
  <c r="I117" i="25"/>
  <c r="J117" i="25"/>
  <c r="A119" i="25"/>
  <c r="I119" i="25"/>
  <c r="H120" i="25"/>
  <c r="I120" i="25"/>
  <c r="J120" i="25"/>
  <c r="A122" i="25"/>
  <c r="I122" i="25"/>
  <c r="A123" i="25"/>
  <c r="H124" i="25"/>
  <c r="I124" i="25"/>
  <c r="J124" i="25"/>
  <c r="H126" i="25"/>
  <c r="I126" i="25"/>
  <c r="J126" i="25"/>
  <c r="H127" i="25"/>
  <c r="I127" i="25"/>
  <c r="J127" i="25"/>
  <c r="I128" i="25"/>
  <c r="J128" i="25"/>
  <c r="I129" i="25"/>
  <c r="J129" i="25"/>
  <c r="H131" i="25"/>
  <c r="I131" i="25"/>
  <c r="J131" i="25"/>
  <c r="A133" i="25"/>
  <c r="I133" i="25"/>
  <c r="J133" i="25"/>
  <c r="A134" i="25"/>
  <c r="I134" i="25"/>
  <c r="J134" i="25"/>
  <c r="A135" i="25"/>
  <c r="I135" i="25"/>
  <c r="J135" i="25"/>
  <c r="A136" i="25"/>
  <c r="H136" i="25"/>
  <c r="I136" i="25"/>
  <c r="J136" i="25"/>
  <c r="A137" i="25"/>
  <c r="I137" i="25"/>
  <c r="J137" i="25"/>
  <c r="A138" i="25"/>
  <c r="I138" i="25"/>
  <c r="J138" i="25"/>
  <c r="A139" i="25"/>
  <c r="I139" i="25"/>
  <c r="J139" i="25"/>
  <c r="A140" i="25"/>
  <c r="I140" i="25"/>
  <c r="J140" i="25"/>
  <c r="A141" i="25"/>
  <c r="I141" i="25"/>
  <c r="J141" i="25"/>
  <c r="A142" i="25"/>
  <c r="I142" i="25"/>
  <c r="J142" i="25"/>
  <c r="A143" i="25"/>
  <c r="H143" i="25"/>
  <c r="I143" i="25"/>
  <c r="J143" i="25"/>
  <c r="A144" i="25"/>
  <c r="I144" i="25"/>
  <c r="J144" i="25"/>
  <c r="A145" i="25"/>
  <c r="I145" i="25"/>
  <c r="J145" i="25"/>
  <c r="A146" i="25"/>
  <c r="I146" i="25"/>
  <c r="J146" i="25"/>
  <c r="A147" i="25"/>
  <c r="I147" i="25"/>
  <c r="J147" i="25"/>
  <c r="I148" i="25"/>
  <c r="J148" i="25"/>
  <c r="I149" i="25"/>
  <c r="J149" i="25"/>
  <c r="I150" i="25"/>
  <c r="J150" i="25"/>
  <c r="I151" i="25"/>
  <c r="J151" i="25"/>
  <c r="A152" i="25"/>
  <c r="I152" i="25"/>
  <c r="J152" i="25"/>
  <c r="A153" i="25"/>
  <c r="I153" i="25"/>
  <c r="J153" i="25"/>
  <c r="A154" i="25"/>
  <c r="I154" i="25"/>
  <c r="J154" i="25"/>
  <c r="A155" i="25"/>
  <c r="I155" i="25"/>
  <c r="J155" i="25"/>
  <c r="A156" i="25"/>
  <c r="I156" i="25"/>
  <c r="J156" i="25"/>
  <c r="A157" i="25"/>
  <c r="I157" i="25"/>
  <c r="J157" i="25"/>
  <c r="A158" i="25"/>
  <c r="I158" i="25"/>
  <c r="J158" i="25"/>
  <c r="A159" i="25"/>
  <c r="I159" i="25"/>
  <c r="J159" i="25"/>
  <c r="A160" i="25"/>
  <c r="I160" i="25"/>
  <c r="J160" i="25"/>
  <c r="I161" i="25"/>
  <c r="J161" i="25"/>
  <c r="A162" i="25"/>
  <c r="I162" i="25"/>
  <c r="J162" i="25"/>
  <c r="I163" i="25"/>
  <c r="J163" i="25"/>
  <c r="I164" i="25"/>
  <c r="J164" i="25"/>
  <c r="H165" i="25"/>
  <c r="I165" i="25"/>
  <c r="J165" i="25"/>
  <c r="H167" i="25"/>
  <c r="I167" i="25"/>
  <c r="J167" i="25"/>
  <c r="A169" i="25"/>
  <c r="I169" i="25"/>
  <c r="J169" i="25"/>
  <c r="I170" i="25"/>
  <c r="J170" i="25"/>
  <c r="H171" i="25"/>
  <c r="I171" i="25"/>
  <c r="J171" i="25"/>
  <c r="I172" i="25"/>
  <c r="J172" i="25"/>
  <c r="I173" i="25"/>
  <c r="J173" i="25"/>
  <c r="I174" i="25"/>
  <c r="J174" i="25"/>
  <c r="I175" i="25"/>
  <c r="J175" i="25"/>
  <c r="I176" i="25"/>
  <c r="J176" i="25"/>
  <c r="I177" i="25"/>
  <c r="J177" i="25"/>
  <c r="I178" i="25"/>
  <c r="J178" i="25"/>
  <c r="H179" i="25"/>
  <c r="I179" i="25"/>
  <c r="J179" i="25"/>
  <c r="H181" i="25"/>
  <c r="I181" i="25"/>
  <c r="J181" i="25"/>
  <c r="A183" i="25"/>
  <c r="I183" i="25"/>
  <c r="J183" i="25"/>
  <c r="A184" i="25"/>
  <c r="I184" i="25"/>
  <c r="J184" i="25"/>
  <c r="I185" i="25"/>
  <c r="J185" i="25"/>
  <c r="A186" i="25"/>
  <c r="I186" i="25"/>
  <c r="J186" i="25"/>
  <c r="I187" i="25"/>
  <c r="J187" i="25"/>
  <c r="I188" i="25"/>
  <c r="J188" i="25"/>
  <c r="A189" i="25"/>
  <c r="I189" i="25"/>
  <c r="J189" i="25"/>
  <c r="I190" i="25"/>
  <c r="J190" i="25"/>
  <c r="I191" i="25"/>
  <c r="J191" i="25"/>
  <c r="I192" i="25"/>
  <c r="J192" i="25"/>
  <c r="I193" i="25"/>
  <c r="J193" i="25"/>
  <c r="I194" i="25"/>
  <c r="J194" i="25"/>
  <c r="A195" i="25"/>
  <c r="I195" i="25"/>
  <c r="J195" i="25"/>
  <c r="I196" i="25"/>
  <c r="J196" i="25"/>
  <c r="I197" i="25"/>
  <c r="J197" i="25"/>
  <c r="H199" i="25"/>
  <c r="I199" i="25"/>
  <c r="J199" i="25"/>
  <c r="H201" i="25"/>
  <c r="I201" i="25"/>
  <c r="J201" i="25"/>
  <c r="A203" i="25"/>
  <c r="I203" i="25"/>
  <c r="J203" i="25"/>
  <c r="A204" i="25"/>
  <c r="I204" i="25"/>
  <c r="J204" i="25"/>
  <c r="A205" i="25"/>
  <c r="I205" i="25"/>
  <c r="J205" i="25"/>
  <c r="A206" i="25"/>
  <c r="I206" i="25"/>
  <c r="J206" i="25"/>
  <c r="H207" i="25"/>
  <c r="I207" i="25"/>
  <c r="J207" i="25"/>
  <c r="H209" i="25"/>
  <c r="I209" i="25"/>
  <c r="J209" i="25"/>
  <c r="A211" i="25"/>
  <c r="I211" i="25"/>
  <c r="J211" i="25"/>
  <c r="I212" i="25"/>
  <c r="J212" i="25"/>
  <c r="I213" i="25"/>
  <c r="J213" i="25"/>
  <c r="I214" i="25"/>
  <c r="J214" i="25"/>
  <c r="H215" i="25"/>
  <c r="I215" i="25"/>
  <c r="J215" i="25"/>
  <c r="H217" i="25"/>
  <c r="I217" i="25"/>
  <c r="J217" i="25"/>
  <c r="A219" i="25"/>
  <c r="I219" i="25"/>
  <c r="J219" i="25"/>
  <c r="A220" i="25"/>
  <c r="I220" i="25"/>
  <c r="J220" i="25"/>
  <c r="A221" i="25"/>
  <c r="I221" i="25"/>
  <c r="J221" i="25"/>
  <c r="A222" i="25"/>
  <c r="I222" i="25"/>
  <c r="J222" i="25"/>
  <c r="I223" i="25"/>
  <c r="J223" i="25"/>
  <c r="A224" i="25"/>
  <c r="I224" i="25"/>
  <c r="J224" i="25"/>
  <c r="A225" i="25"/>
  <c r="I225" i="25"/>
  <c r="J225" i="25"/>
  <c r="A226" i="25"/>
  <c r="I226" i="25"/>
  <c r="J226" i="25"/>
  <c r="I227" i="25"/>
  <c r="J227" i="25"/>
  <c r="I228" i="25"/>
  <c r="J228" i="25"/>
  <c r="I229" i="25"/>
  <c r="J229" i="25"/>
  <c r="I230" i="25"/>
  <c r="J230" i="25"/>
  <c r="A231" i="25"/>
  <c r="I231" i="25"/>
  <c r="J231" i="25"/>
  <c r="I232" i="25"/>
  <c r="J232" i="25"/>
  <c r="I233" i="25"/>
  <c r="J233" i="25"/>
  <c r="I234" i="25"/>
  <c r="J234" i="25"/>
  <c r="I235" i="25"/>
  <c r="J235" i="25"/>
  <c r="A236" i="25"/>
  <c r="H236" i="25"/>
  <c r="I236" i="25"/>
  <c r="J236" i="25"/>
  <c r="A237" i="25"/>
  <c r="I237" i="25"/>
  <c r="J237" i="25"/>
  <c r="I238" i="25"/>
  <c r="J238" i="25"/>
  <c r="I239" i="25"/>
  <c r="J239" i="25"/>
  <c r="I240" i="25"/>
  <c r="J240" i="25"/>
  <c r="I241" i="25"/>
  <c r="J241" i="25"/>
  <c r="A242" i="25"/>
  <c r="I242" i="25"/>
  <c r="J242" i="25"/>
  <c r="I243" i="25"/>
  <c r="J243" i="25"/>
  <c r="I244" i="25"/>
  <c r="J244" i="25"/>
  <c r="I245" i="25"/>
  <c r="J245" i="25"/>
  <c r="I246" i="25"/>
  <c r="J246" i="25"/>
  <c r="I247" i="25"/>
  <c r="J247" i="25"/>
  <c r="A248" i="25"/>
  <c r="I248" i="25"/>
  <c r="J248" i="25"/>
  <c r="I249" i="25"/>
  <c r="J249" i="25"/>
  <c r="I250" i="25"/>
  <c r="J250" i="25"/>
  <c r="I251" i="25"/>
  <c r="J251" i="25"/>
  <c r="I252" i="25"/>
  <c r="J252" i="25"/>
  <c r="I253" i="25"/>
  <c r="J253" i="25"/>
  <c r="I254" i="25"/>
  <c r="J254" i="25"/>
  <c r="I255" i="25"/>
  <c r="J255" i="25"/>
  <c r="I256" i="25"/>
  <c r="J256" i="25"/>
  <c r="I257" i="25"/>
  <c r="J257" i="25"/>
  <c r="I258" i="25"/>
  <c r="J258" i="25"/>
  <c r="I259" i="25"/>
  <c r="J259" i="25"/>
  <c r="I260" i="25"/>
  <c r="J260" i="25"/>
  <c r="I261" i="25"/>
  <c r="J261" i="25"/>
  <c r="A262" i="25"/>
  <c r="I262" i="25"/>
  <c r="J262" i="25"/>
  <c r="I263" i="25"/>
  <c r="J263" i="25"/>
  <c r="I264" i="25"/>
  <c r="J264" i="25"/>
  <c r="H265" i="25"/>
  <c r="I265" i="25"/>
  <c r="J265" i="25"/>
  <c r="H267" i="25"/>
  <c r="I267" i="25"/>
  <c r="I269" i="25"/>
  <c r="J269" i="25"/>
  <c r="I270" i="25"/>
  <c r="J270" i="25"/>
  <c r="H271" i="25"/>
  <c r="I271" i="25"/>
  <c r="J271" i="25"/>
  <c r="H273" i="25"/>
  <c r="I273" i="25"/>
  <c r="J273" i="25"/>
  <c r="I275" i="25"/>
  <c r="J275" i="25"/>
  <c r="I276" i="25"/>
  <c r="J276" i="25"/>
  <c r="I277" i="25"/>
  <c r="J277" i="25"/>
  <c r="H279" i="25"/>
  <c r="I279" i="25"/>
  <c r="J279" i="25"/>
  <c r="I281" i="25"/>
  <c r="J281" i="25"/>
  <c r="I282" i="25"/>
  <c r="J282" i="25"/>
  <c r="I283" i="25"/>
  <c r="J283" i="25"/>
  <c r="I285" i="25"/>
  <c r="J285" i="25"/>
  <c r="I287" i="25"/>
  <c r="J287" i="25"/>
  <c r="H289" i="25"/>
  <c r="I289" i="25"/>
  <c r="J289" i="25"/>
  <c r="I291" i="25"/>
  <c r="J291" i="25"/>
  <c r="I293" i="25"/>
  <c r="J293" i="25"/>
  <c r="I295" i="25"/>
  <c r="J295" i="25"/>
  <c r="I296" i="25"/>
  <c r="J296" i="25"/>
  <c r="H297" i="25"/>
  <c r="I297" i="25"/>
  <c r="J297" i="25"/>
  <c r="I298" i="25"/>
  <c r="J298" i="25"/>
  <c r="H299" i="25"/>
  <c r="I299" i="25"/>
  <c r="J299" i="25"/>
  <c r="A1" i="20"/>
  <c r="D6" i="20"/>
  <c r="D8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4" i="20"/>
  <c r="D28" i="20"/>
  <c r="D29" i="20"/>
  <c r="D30" i="20"/>
  <c r="D31" i="20"/>
  <c r="D32" i="20"/>
  <c r="D33" i="20"/>
  <c r="D34" i="20"/>
  <c r="D36" i="20"/>
  <c r="D38" i="20"/>
  <c r="D45" i="20"/>
  <c r="D47" i="20"/>
  <c r="D50" i="20"/>
  <c r="D51" i="20"/>
  <c r="A1" i="21"/>
  <c r="F5" i="21"/>
  <c r="J5" i="21"/>
  <c r="N5" i="21"/>
  <c r="R5" i="21"/>
  <c r="V5" i="21"/>
  <c r="N11" i="21"/>
  <c r="N12" i="21"/>
  <c r="A1" i="22"/>
  <c r="E8" i="22"/>
  <c r="F8" i="22"/>
  <c r="F9" i="22"/>
  <c r="F10" i="22"/>
  <c r="E11" i="22"/>
  <c r="F11" i="22"/>
  <c r="E12" i="22"/>
  <c r="F12" i="22"/>
  <c r="B13" i="22"/>
  <c r="E13" i="22"/>
  <c r="F13" i="22"/>
  <c r="B14" i="22"/>
  <c r="E14" i="22"/>
  <c r="F14" i="22"/>
  <c r="F15" i="22"/>
  <c r="B19" i="22"/>
  <c r="F19" i="22"/>
  <c r="A3" i="29"/>
  <c r="D6" i="29"/>
  <c r="D7" i="29"/>
  <c r="D8" i="29"/>
  <c r="D9" i="29"/>
  <c r="D13" i="29"/>
  <c r="D15" i="29"/>
  <c r="D16" i="29"/>
  <c r="D18" i="29"/>
  <c r="D19" i="29"/>
  <c r="D22" i="29"/>
  <c r="D25" i="29"/>
  <c r="D26" i="29"/>
  <c r="D30" i="29"/>
  <c r="D35" i="29"/>
  <c r="D41" i="29"/>
  <c r="D47" i="29"/>
  <c r="D50" i="29"/>
  <c r="D52" i="29"/>
  <c r="D61" i="29"/>
  <c r="D65" i="29"/>
  <c r="D66" i="29"/>
  <c r="D89" i="29"/>
  <c r="D90" i="29"/>
  <c r="D92" i="29"/>
  <c r="D95" i="29"/>
  <c r="D97" i="29"/>
  <c r="D101" i="29"/>
  <c r="D109" i="29"/>
  <c r="D111" i="29"/>
  <c r="D113" i="29"/>
  <c r="D114" i="29"/>
  <c r="D118" i="29"/>
  <c r="D122" i="29"/>
  <c r="D128" i="29"/>
  <c r="D132" i="29"/>
  <c r="D134" i="29"/>
  <c r="D136" i="29"/>
  <c r="D142" i="29"/>
  <c r="D144" i="29"/>
  <c r="D150" i="29"/>
  <c r="D152" i="29"/>
  <c r="D154" i="29"/>
  <c r="F154" i="29"/>
  <c r="D160" i="29"/>
  <c r="D161" i="29"/>
  <c r="D163" i="29"/>
  <c r="D169" i="29"/>
  <c r="D171" i="29"/>
  <c r="D173" i="29"/>
  <c r="D180" i="29"/>
  <c r="D182" i="29"/>
  <c r="D184" i="29"/>
  <c r="D185" i="29"/>
  <c r="D190" i="29"/>
  <c r="D192" i="29"/>
  <c r="F194" i="29"/>
  <c r="D200" i="29"/>
  <c r="D201" i="29"/>
  <c r="D203" i="29"/>
  <c r="D212" i="29"/>
  <c r="D214" i="29"/>
  <c r="D222" i="29"/>
  <c r="D224" i="29"/>
  <c r="D232" i="29"/>
  <c r="D234" i="29"/>
  <c r="D251" i="29"/>
  <c r="D253" i="29"/>
  <c r="F253" i="29"/>
  <c r="D262" i="29"/>
  <c r="D265" i="29"/>
  <c r="D268" i="29"/>
  <c r="D276" i="29"/>
  <c r="D280" i="29"/>
  <c r="D282" i="29"/>
  <c r="D285" i="29"/>
  <c r="D288" i="29"/>
  <c r="D292" i="29"/>
  <c r="D299" i="29"/>
  <c r="A1" i="26"/>
  <c r="D8" i="26"/>
  <c r="E8" i="26"/>
  <c r="F8" i="26"/>
  <c r="G8" i="26"/>
  <c r="B11" i="26"/>
  <c r="D11" i="26"/>
  <c r="E11" i="26"/>
  <c r="F11" i="26"/>
  <c r="G11" i="26"/>
  <c r="B12" i="26"/>
  <c r="D12" i="26"/>
  <c r="E12" i="26"/>
  <c r="F12" i="26"/>
  <c r="G12" i="26"/>
  <c r="B13" i="26"/>
  <c r="D13" i="26"/>
  <c r="E13" i="26"/>
  <c r="F13" i="26"/>
  <c r="G13" i="26"/>
  <c r="B14" i="26"/>
  <c r="D14" i="26"/>
  <c r="E14" i="26"/>
  <c r="F14" i="26"/>
  <c r="G14" i="26"/>
  <c r="B15" i="26"/>
  <c r="D15" i="26"/>
  <c r="E15" i="26"/>
  <c r="F15" i="26"/>
  <c r="G15" i="26"/>
  <c r="B16" i="26"/>
  <c r="D16" i="26"/>
  <c r="E16" i="26"/>
  <c r="F16" i="26"/>
  <c r="G16" i="26"/>
  <c r="B17" i="26"/>
  <c r="D17" i="26"/>
  <c r="E17" i="26"/>
  <c r="F17" i="26"/>
  <c r="G17" i="26"/>
  <c r="B18" i="26"/>
  <c r="D18" i="26"/>
  <c r="E18" i="26"/>
  <c r="F18" i="26"/>
  <c r="G18" i="26"/>
  <c r="B19" i="26"/>
  <c r="D19" i="26"/>
  <c r="E19" i="26"/>
  <c r="F19" i="26"/>
  <c r="G19" i="26"/>
  <c r="B20" i="26"/>
  <c r="D20" i="26"/>
  <c r="F20" i="26"/>
  <c r="G20" i="26"/>
  <c r="D22" i="26"/>
  <c r="E22" i="26"/>
  <c r="F22" i="26"/>
  <c r="G22" i="26"/>
  <c r="D24" i="26"/>
  <c r="E24" i="26"/>
  <c r="F24" i="26"/>
  <c r="G24" i="26"/>
  <c r="B28" i="26"/>
  <c r="D28" i="26"/>
  <c r="E28" i="26"/>
  <c r="F28" i="26"/>
  <c r="G28" i="26"/>
  <c r="B29" i="26"/>
  <c r="D29" i="26"/>
  <c r="E29" i="26"/>
  <c r="F29" i="26"/>
  <c r="G29" i="26"/>
  <c r="B30" i="26"/>
  <c r="D30" i="26"/>
  <c r="E30" i="26"/>
  <c r="F30" i="26"/>
  <c r="G30" i="26"/>
  <c r="B31" i="26"/>
  <c r="D31" i="26"/>
  <c r="E31" i="26"/>
  <c r="F31" i="26"/>
  <c r="G31" i="26"/>
  <c r="B32" i="26"/>
  <c r="D32" i="26"/>
  <c r="E32" i="26"/>
  <c r="F32" i="26"/>
  <c r="G32" i="26"/>
  <c r="B33" i="26"/>
  <c r="D33" i="26"/>
  <c r="E33" i="26"/>
  <c r="F33" i="26"/>
  <c r="G33" i="26"/>
  <c r="B34" i="26"/>
  <c r="D34" i="26"/>
  <c r="E34" i="26"/>
  <c r="F34" i="26"/>
  <c r="G34" i="26"/>
  <c r="B35" i="26"/>
  <c r="D35" i="26"/>
  <c r="E35" i="26"/>
  <c r="F35" i="26"/>
  <c r="G35" i="26"/>
  <c r="B36" i="26"/>
  <c r="D36" i="26"/>
  <c r="E36" i="26"/>
  <c r="F36" i="26"/>
  <c r="G36" i="26"/>
  <c r="B37" i="26"/>
  <c r="D37" i="26"/>
  <c r="E37" i="26"/>
  <c r="F37" i="26"/>
  <c r="G37" i="26"/>
  <c r="B38" i="26"/>
  <c r="D38" i="26"/>
  <c r="E38" i="26"/>
  <c r="F38" i="26"/>
  <c r="G38" i="26"/>
  <c r="D40" i="26"/>
  <c r="E40" i="26"/>
  <c r="F40" i="26"/>
  <c r="G40" i="26"/>
  <c r="D42" i="26"/>
  <c r="E42" i="26"/>
  <c r="F42" i="26"/>
  <c r="G42" i="26"/>
  <c r="D44" i="26"/>
  <c r="E44" i="26"/>
  <c r="F44" i="26"/>
  <c r="G44" i="26"/>
  <c r="D47" i="26"/>
  <c r="D48" i="26"/>
  <c r="E52" i="26"/>
  <c r="E54" i="26"/>
  <c r="F54" i="26"/>
  <c r="G54" i="26"/>
  <c r="D56" i="26"/>
  <c r="E56" i="26"/>
  <c r="F56" i="26"/>
  <c r="G56" i="26"/>
  <c r="A1" i="28"/>
  <c r="B11" i="28"/>
  <c r="B12" i="28"/>
  <c r="B13" i="28"/>
  <c r="B14" i="28"/>
  <c r="B15" i="28"/>
  <c r="B16" i="28"/>
  <c r="B17" i="28"/>
  <c r="C28" i="28"/>
  <c r="D28" i="28"/>
  <c r="E28" i="28"/>
  <c r="F28" i="28"/>
  <c r="G28" i="28"/>
  <c r="H28" i="28"/>
  <c r="I28" i="28"/>
  <c r="J28" i="28"/>
  <c r="K28" i="28"/>
  <c r="L28" i="28"/>
  <c r="O28" i="28"/>
  <c r="P28" i="28"/>
  <c r="S28" i="28"/>
  <c r="B29" i="28"/>
  <c r="C29" i="28"/>
  <c r="D29" i="28"/>
  <c r="E29" i="28"/>
  <c r="F29" i="28"/>
  <c r="G29" i="28"/>
  <c r="H29" i="28"/>
  <c r="I29" i="28"/>
  <c r="K29" i="28"/>
  <c r="L29" i="28"/>
  <c r="O29" i="28"/>
  <c r="P29" i="28"/>
  <c r="S29" i="28"/>
  <c r="C30" i="28"/>
  <c r="D30" i="28"/>
  <c r="E30" i="28"/>
  <c r="F30" i="28"/>
  <c r="G30" i="28"/>
  <c r="H30" i="28"/>
  <c r="I30" i="28"/>
  <c r="K30" i="28"/>
  <c r="L30" i="28"/>
  <c r="O30" i="28"/>
  <c r="P30" i="28"/>
  <c r="S30" i="28"/>
  <c r="C31" i="28"/>
  <c r="D31" i="28"/>
  <c r="E31" i="28"/>
  <c r="F31" i="28"/>
  <c r="G31" i="28"/>
  <c r="H31" i="28"/>
  <c r="I31" i="28"/>
  <c r="J31" i="28"/>
  <c r="K31" i="28"/>
  <c r="L31" i="28"/>
  <c r="O31" i="28"/>
  <c r="P31" i="28"/>
  <c r="S31" i="28"/>
  <c r="B33" i="28"/>
  <c r="C33" i="28"/>
  <c r="D33" i="28"/>
  <c r="E33" i="28"/>
  <c r="F33" i="28"/>
  <c r="G33" i="28"/>
  <c r="H33" i="28"/>
  <c r="I33" i="28"/>
  <c r="J33" i="28"/>
  <c r="K33" i="28"/>
  <c r="L33" i="28"/>
  <c r="P33" i="28"/>
  <c r="S33" i="28"/>
  <c r="A34" i="28"/>
  <c r="C34" i="28"/>
  <c r="D34" i="28"/>
  <c r="E34" i="28"/>
  <c r="F34" i="28"/>
  <c r="G34" i="28"/>
  <c r="H34" i="28"/>
  <c r="I34" i="28"/>
  <c r="J34" i="28"/>
  <c r="K34" i="28"/>
  <c r="L34" i="28"/>
  <c r="O34" i="28"/>
  <c r="P34" i="28"/>
  <c r="S34" i="28"/>
  <c r="A35" i="28"/>
  <c r="C35" i="28"/>
  <c r="D35" i="28"/>
  <c r="E35" i="28"/>
  <c r="F35" i="28"/>
  <c r="G35" i="28"/>
  <c r="H35" i="28"/>
  <c r="I35" i="28"/>
  <c r="J35" i="28"/>
  <c r="K35" i="28"/>
  <c r="L35" i="28"/>
  <c r="O35" i="28"/>
  <c r="P35" i="28"/>
  <c r="S35" i="28"/>
  <c r="C44" i="28"/>
  <c r="D44" i="28"/>
  <c r="E44" i="28"/>
  <c r="G44" i="28"/>
  <c r="H44" i="28"/>
  <c r="A46" i="28"/>
  <c r="B46" i="28"/>
  <c r="C46" i="28"/>
  <c r="D46" i="28"/>
  <c r="E46" i="28"/>
  <c r="F46" i="28"/>
  <c r="G46" i="28"/>
  <c r="H46" i="28"/>
  <c r="K46" i="28"/>
  <c r="P46" i="28"/>
  <c r="S46" i="28"/>
  <c r="A47" i="28"/>
  <c r="B47" i="28"/>
  <c r="C47" i="28"/>
  <c r="D47" i="28"/>
  <c r="E47" i="28"/>
  <c r="F47" i="28"/>
  <c r="G47" i="28"/>
  <c r="H47" i="28"/>
  <c r="K47" i="28"/>
  <c r="P47" i="28"/>
  <c r="S47" i="28"/>
  <c r="A48" i="28"/>
  <c r="B48" i="28"/>
  <c r="C48" i="28"/>
  <c r="D48" i="28"/>
  <c r="E48" i="28"/>
  <c r="F48" i="28"/>
  <c r="G48" i="28"/>
  <c r="H48" i="28"/>
  <c r="K48" i="28"/>
  <c r="P48" i="28"/>
  <c r="S48" i="28"/>
  <c r="A49" i="28"/>
  <c r="B49" i="28"/>
  <c r="C49" i="28"/>
  <c r="D49" i="28"/>
  <c r="E49" i="28"/>
  <c r="F49" i="28"/>
  <c r="G49" i="28"/>
  <c r="H49" i="28"/>
  <c r="K49" i="28"/>
  <c r="P49" i="28"/>
  <c r="S49" i="28"/>
  <c r="A51" i="28"/>
  <c r="B51" i="28"/>
  <c r="C51" i="28"/>
  <c r="D51" i="28"/>
  <c r="E51" i="28"/>
  <c r="F51" i="28"/>
  <c r="G51" i="28"/>
  <c r="H51" i="28"/>
  <c r="K51" i="28"/>
  <c r="P51" i="28"/>
  <c r="S51" i="28"/>
  <c r="A52" i="28"/>
  <c r="B52" i="28"/>
  <c r="C52" i="28"/>
  <c r="D52" i="28"/>
  <c r="E52" i="28"/>
  <c r="F52" i="28"/>
  <c r="G52" i="28"/>
  <c r="H52" i="28"/>
  <c r="K52" i="28"/>
  <c r="O52" i="28"/>
  <c r="P52" i="28"/>
  <c r="R52" i="28"/>
  <c r="S52" i="28"/>
  <c r="A53" i="28"/>
  <c r="B53" i="28"/>
  <c r="C53" i="28"/>
  <c r="D53" i="28"/>
  <c r="E53" i="28"/>
  <c r="F53" i="28"/>
  <c r="G53" i="28"/>
  <c r="H53" i="28"/>
  <c r="K53" i="28"/>
  <c r="O53" i="28"/>
  <c r="P53" i="28"/>
  <c r="R53" i="28"/>
  <c r="S53" i="28"/>
  <c r="P55" i="28"/>
  <c r="S55" i="28"/>
  <c r="A1" i="27"/>
  <c r="A11" i="27"/>
  <c r="D12" i="27"/>
  <c r="E12" i="27"/>
  <c r="F12" i="27"/>
  <c r="G12" i="27"/>
  <c r="H12" i="27"/>
  <c r="D13" i="27"/>
  <c r="E13" i="27"/>
  <c r="F13" i="27"/>
  <c r="G13" i="27"/>
  <c r="H13" i="27"/>
  <c r="A14" i="27"/>
  <c r="D15" i="27"/>
  <c r="E15" i="27"/>
  <c r="F15" i="27"/>
  <c r="G15" i="27"/>
  <c r="H15" i="27"/>
  <c r="D16" i="27"/>
  <c r="E16" i="27"/>
  <c r="F16" i="27"/>
  <c r="G16" i="27"/>
  <c r="H16" i="27"/>
  <c r="B20" i="27"/>
  <c r="F20" i="27"/>
  <c r="G20" i="27"/>
  <c r="H20" i="27"/>
  <c r="D15" i="17"/>
  <c r="A1" i="24"/>
  <c r="A1" i="19"/>
  <c r="E8" i="19"/>
  <c r="E9" i="19"/>
  <c r="E10" i="19"/>
  <c r="E11" i="19"/>
  <c r="E13" i="19"/>
  <c r="G13" i="19"/>
  <c r="E19" i="19"/>
  <c r="E21" i="19"/>
  <c r="G21" i="19"/>
  <c r="E23" i="19"/>
  <c r="G23" i="19"/>
  <c r="E26" i="19"/>
  <c r="G26" i="19"/>
  <c r="E32" i="19"/>
  <c r="F32" i="19"/>
  <c r="G32" i="19"/>
  <c r="H32" i="19"/>
  <c r="I32" i="19"/>
  <c r="K32" i="19"/>
  <c r="E33" i="19"/>
  <c r="F33" i="19"/>
  <c r="G33" i="19"/>
  <c r="H33" i="19"/>
  <c r="I33" i="19"/>
  <c r="K33" i="19"/>
  <c r="E34" i="19"/>
  <c r="F34" i="19"/>
  <c r="G34" i="19"/>
  <c r="H34" i="19"/>
  <c r="J34" i="19"/>
  <c r="L34" i="19"/>
  <c r="E35" i="19"/>
  <c r="F35" i="19"/>
  <c r="G35" i="19"/>
  <c r="H35" i="19"/>
  <c r="I35" i="19"/>
  <c r="J35" i="19"/>
  <c r="K35" i="19"/>
  <c r="L35" i="19"/>
  <c r="E36" i="19"/>
  <c r="F36" i="19"/>
  <c r="G36" i="19"/>
  <c r="H36" i="19"/>
  <c r="I36" i="19"/>
  <c r="K36" i="19"/>
  <c r="E38" i="19"/>
  <c r="F38" i="19"/>
  <c r="G38" i="19"/>
  <c r="H38" i="19"/>
  <c r="I38" i="19"/>
  <c r="J38" i="19"/>
  <c r="K38" i="19"/>
  <c r="L38" i="19"/>
  <c r="E40" i="19"/>
  <c r="F40" i="19"/>
  <c r="G40" i="19"/>
  <c r="H40" i="19"/>
  <c r="I40" i="19"/>
  <c r="K40" i="19"/>
  <c r="H42" i="19"/>
  <c r="H43" i="19"/>
  <c r="E45" i="19"/>
  <c r="F45" i="19"/>
  <c r="G45" i="19"/>
  <c r="H45" i="19"/>
  <c r="E52" i="19"/>
  <c r="F52" i="19"/>
  <c r="G52" i="19"/>
  <c r="H52" i="19"/>
  <c r="A1" i="16"/>
  <c r="A1" i="23"/>
  <c r="H7" i="23"/>
  <c r="H8" i="23"/>
  <c r="H9" i="23"/>
  <c r="H10" i="23"/>
  <c r="G11" i="23"/>
  <c r="H11" i="23"/>
  <c r="I11" i="23"/>
  <c r="H14" i="23"/>
  <c r="I14" i="23"/>
  <c r="H15" i="23"/>
  <c r="I15" i="23"/>
  <c r="H16" i="23"/>
  <c r="I16" i="23"/>
  <c r="G17" i="23"/>
  <c r="H17" i="23"/>
  <c r="I17" i="23"/>
  <c r="H20" i="23"/>
  <c r="G21" i="23"/>
  <c r="H21" i="23"/>
  <c r="H24" i="23"/>
  <c r="I24" i="23"/>
  <c r="H25" i="23"/>
  <c r="I25" i="23"/>
  <c r="H26" i="23"/>
  <c r="I26" i="23"/>
  <c r="G27" i="23"/>
  <c r="H27" i="23"/>
  <c r="I27" i="23"/>
  <c r="H30" i="23"/>
  <c r="I30" i="23"/>
  <c r="G31" i="23"/>
  <c r="H31" i="23"/>
  <c r="I31" i="23"/>
  <c r="H32" i="23"/>
  <c r="I32" i="23"/>
  <c r="G33" i="23"/>
  <c r="H33" i="23"/>
  <c r="I33" i="23"/>
  <c r="H35" i="23"/>
  <c r="I35" i="23"/>
  <c r="H36" i="23"/>
  <c r="I36" i="23"/>
  <c r="H37" i="23"/>
  <c r="I37" i="23"/>
  <c r="H38" i="23"/>
  <c r="I38" i="23"/>
  <c r="G39" i="23"/>
  <c r="H39" i="23"/>
  <c r="I39" i="23"/>
  <c r="H41" i="23"/>
  <c r="I41" i="23"/>
  <c r="I44" i="23"/>
  <c r="I45" i="23"/>
  <c r="I49" i="23"/>
  <c r="I51" i="23"/>
  <c r="I52" i="23"/>
  <c r="I53" i="23"/>
</calcChain>
</file>

<file path=xl/comments1.xml><?xml version="1.0" encoding="utf-8"?>
<comments xmlns="http://schemas.openxmlformats.org/spreadsheetml/2006/main">
  <authors>
    <author>EI</author>
  </authors>
  <commentList>
    <comment ref="O28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7 months</t>
        </r>
      </text>
    </comment>
    <comment ref="O31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7 months</t>
        </r>
      </text>
    </comment>
    <comment ref="O34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3.5 months</t>
        </r>
      </text>
    </comment>
    <comment ref="O35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3.5 months</t>
        </r>
      </text>
    </comment>
    <comment ref="O52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</t>
        </r>
      </text>
    </comment>
    <comment ref="R52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 assumed</t>
        </r>
      </text>
    </comment>
    <comment ref="O5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</t>
        </r>
      </text>
    </comment>
    <comment ref="R5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 assumed</t>
        </r>
      </text>
    </comment>
  </commentList>
</comments>
</file>

<file path=xl/sharedStrings.xml><?xml version="1.0" encoding="utf-8"?>
<sst xmlns="http://schemas.openxmlformats.org/spreadsheetml/2006/main" count="2072" uniqueCount="1162">
  <si>
    <t>CMMS software/installation</t>
  </si>
  <si>
    <t>$10M License + $10M installation/training</t>
  </si>
  <si>
    <t>CMMS hardware, equipment</t>
  </si>
  <si>
    <t>1 PC's ($2500), printer</t>
  </si>
  <si>
    <t>SAP Acctg System</t>
  </si>
  <si>
    <t>Software &amp; License</t>
  </si>
  <si>
    <t>Training &amp; Implementation</t>
  </si>
  <si>
    <t>Copiers</t>
  </si>
  <si>
    <t>1ea @ $8000</t>
  </si>
  <si>
    <t>Typewriters</t>
  </si>
  <si>
    <t>1ea @ $250</t>
  </si>
  <si>
    <t>Local Area Network</t>
  </si>
  <si>
    <t>LAN $2M + Installation $1,000</t>
  </si>
  <si>
    <t>Calculators</t>
  </si>
  <si>
    <t>5ea @ $20</t>
  </si>
  <si>
    <t>Projectors (overhead)</t>
  </si>
  <si>
    <t>1ea @ $400</t>
  </si>
  <si>
    <t>TV/VCR/Camcorders</t>
  </si>
  <si>
    <t>1ea @ $750/$500/$750</t>
  </si>
  <si>
    <t>White Boards</t>
  </si>
  <si>
    <t>5ea @ $80</t>
  </si>
  <si>
    <t>FAX machine</t>
  </si>
  <si>
    <t>2ea @ $400</t>
  </si>
  <si>
    <t>Misc Supplies</t>
  </si>
  <si>
    <t>pens, paper, staplers, envelopes, etc.</t>
  </si>
  <si>
    <t>Phones</t>
  </si>
  <si>
    <t>6ea @ $200</t>
  </si>
  <si>
    <t>Office Misc, pictures, plants, rugs, boards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</si>
  <si>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</si>
  <si>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</si>
  <si>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</si>
  <si>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</si>
  <si>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</si>
  <si>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</si>
  <si>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</si>
  <si>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</si>
  <si>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</si>
  <si>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</si>
  <si>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10ea.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</si>
  <si>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</si>
  <si>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</si>
  <si>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</si>
  <si>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</si>
  <si>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</si>
  <si>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</si>
  <si>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</si>
  <si>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</si>
  <si>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</si>
  <si>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</si>
  <si>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</si>
  <si>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</si>
  <si>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</si>
  <si>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$26M</t>
  </si>
  <si>
    <t>1/2 ton Pickup Trucks</t>
  </si>
  <si>
    <t>1ea leased $2000 down &amp; lease</t>
  </si>
  <si>
    <t>700/mnth</t>
  </si>
  <si>
    <t>2 1/2 ton flat bed truck w winch</t>
  </si>
  <si>
    <t>$32M</t>
  </si>
  <si>
    <t>6 ton Forklift (outside)</t>
  </si>
  <si>
    <t>$38M</t>
  </si>
  <si>
    <t>3 ton Forklift (warehouse)</t>
  </si>
  <si>
    <t>1ea leased $1000 down &amp; lease</t>
  </si>
  <si>
    <t>500/mnth</t>
  </si>
  <si>
    <t>12 passenger Van w/o AC</t>
  </si>
  <si>
    <t>$24M</t>
  </si>
  <si>
    <t>18 passenger Van w/o AC</t>
  </si>
  <si>
    <t>$30M</t>
  </si>
  <si>
    <t>Firefighting equipment</t>
  </si>
  <si>
    <t>1ea. extinguisher cart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</si>
  <si>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</si>
  <si>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</si>
  <si>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</si>
  <si>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</si>
  <si>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</si>
  <si>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</si>
  <si>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</si>
  <si>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</si>
  <si>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</si>
  <si>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</si>
  <si>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</si>
  <si>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</si>
  <si>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</si>
  <si>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$300M</t>
  </si>
  <si>
    <t>Maintenance cart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</si>
  <si>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</si>
  <si>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</si>
  <si>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</si>
  <si>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</si>
  <si>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</si>
  <si>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</si>
  <si>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</si>
  <si>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</si>
  <si>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</si>
  <si>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</si>
  <si>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</si>
  <si>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</si>
  <si>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</si>
  <si>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</si>
  <si>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</si>
  <si>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</si>
  <si>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</si>
  <si>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</si>
  <si>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Basis: Rino Manzano ccMail dtd 8/8/96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</si>
  <si>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</si>
  <si>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</si>
  <si>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</si>
  <si>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</si>
  <si>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</si>
  <si>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</si>
  <si>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</si>
  <si>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</si>
  <si>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</si>
  <si>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</si>
  <si>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</si>
  <si>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</si>
  <si>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</si>
  <si>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</si>
  <si>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</si>
  <si>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</si>
  <si>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</si>
  <si>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</si>
  <si>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</si>
  <si>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</si>
  <si>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</si>
  <si>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</si>
  <si>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</si>
  <si>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</si>
  <si>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</si>
  <si>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</si>
  <si>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</si>
  <si>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</si>
  <si>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</si>
  <si>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</si>
  <si>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</si>
  <si>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</si>
  <si>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</si>
  <si>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</si>
  <si>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</si>
  <si>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</si>
  <si>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</si>
  <si>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</si>
  <si>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</si>
  <si>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</si>
  <si>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</si>
  <si>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</si>
  <si>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</si>
  <si>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</si>
  <si>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O&amp;M Mobilization Fee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</si>
  <si>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</si>
  <si>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</si>
  <si>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</si>
  <si>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</si>
  <si>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</si>
  <si>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</si>
  <si>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</si>
  <si>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</si>
  <si>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</si>
  <si>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</si>
  <si>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</si>
  <si>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</si>
  <si>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</si>
  <si>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</si>
  <si>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</si>
  <si>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</si>
  <si>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</si>
  <si>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</si>
  <si>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</si>
  <si>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</si>
  <si>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</si>
  <si>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</si>
  <si>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</si>
  <si>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</si>
  <si>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</si>
  <si>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</si>
  <si>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</si>
  <si>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</si>
  <si>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</si>
  <si>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</si>
  <si>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</si>
  <si>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</si>
  <si>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</si>
  <si>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</si>
  <si>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</si>
  <si>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</si>
  <si>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</si>
  <si>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</si>
  <si>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</si>
  <si>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</si>
  <si>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</si>
  <si>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</si>
  <si>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</si>
  <si>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</si>
  <si>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</si>
  <si>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</si>
  <si>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</si>
  <si>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</si>
  <si>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</si>
  <si>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</si>
  <si>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</si>
  <si>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</si>
  <si>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</si>
  <si>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Fixed Fee</t>
  </si>
  <si>
    <t>Included in the "Benefits" calculations</t>
  </si>
  <si>
    <t>Commercial Office Mobilization</t>
  </si>
  <si>
    <t>Within the Owner's scope</t>
  </si>
  <si>
    <t>Capital, Operating and BOP Spares</t>
  </si>
  <si>
    <t>BOP</t>
  </si>
  <si>
    <t>Freight &amp; Insurance</t>
  </si>
  <si>
    <t>Payroll &amp; Burden</t>
  </si>
  <si>
    <t>Administration and Operations Expenses</t>
  </si>
  <si>
    <t>Total Administration &amp; Operations Expenses</t>
  </si>
  <si>
    <t>Total Maintenance</t>
  </si>
  <si>
    <t>Total O&amp;M Expenses (excl GT Scheduled Maint. Program)</t>
  </si>
  <si>
    <t xml:space="preserve">GT Lease Program Annual Membership (1 unit) </t>
  </si>
  <si>
    <t>Commercial Operations Staffing Plan</t>
  </si>
  <si>
    <t>(US$)</t>
  </si>
  <si>
    <t>INDIVIDUAL</t>
  </si>
  <si>
    <t>TOTAL ANNUAL</t>
  </si>
  <si>
    <t>STAFFING</t>
  </si>
  <si>
    <t>SALARY</t>
  </si>
  <si>
    <t>HOURLY RATE</t>
  </si>
  <si>
    <t>SALARY &amp; WAGES</t>
  </si>
  <si>
    <t>BENEFITS</t>
  </si>
  <si>
    <t>TOTAL</t>
  </si>
  <si>
    <t xml:space="preserve">    OVERTIME @ 10%</t>
  </si>
  <si>
    <t xml:space="preserve">TOTAL </t>
  </si>
  <si>
    <t>POSITIONS</t>
  </si>
  <si>
    <t>ANNUAL*</t>
  </si>
  <si>
    <t>Annual</t>
  </si>
  <si>
    <t>Hours</t>
  </si>
  <si>
    <t xml:space="preserve"> </t>
  </si>
  <si>
    <t>IN US $</t>
  </si>
  <si>
    <t>Straight Time Domestic Rates</t>
  </si>
  <si>
    <t>Employee Cost Breakdown</t>
  </si>
  <si>
    <t>Base</t>
  </si>
  <si>
    <t>Payroll</t>
  </si>
  <si>
    <t>Workers</t>
  </si>
  <si>
    <t>Group</t>
  </si>
  <si>
    <t>General</t>
  </si>
  <si>
    <t>Position or</t>
  </si>
  <si>
    <t>Hourly</t>
  </si>
  <si>
    <t>Comp.</t>
  </si>
  <si>
    <t>O/H</t>
  </si>
  <si>
    <t>Ins.</t>
  </si>
  <si>
    <t>Liability</t>
  </si>
  <si>
    <t>Pension</t>
  </si>
  <si>
    <t>Burdened</t>
  </si>
  <si>
    <t>Employee Name</t>
  </si>
  <si>
    <t>Rate</t>
  </si>
  <si>
    <t>Burdens</t>
  </si>
  <si>
    <t>Alloc.</t>
  </si>
  <si>
    <t>Prem.</t>
  </si>
  <si>
    <t>Total</t>
  </si>
  <si>
    <t>Salary</t>
  </si>
  <si>
    <t>Plant Manager</t>
  </si>
  <si>
    <t>Maintenance Manager</t>
  </si>
  <si>
    <t>Purchasing / Warehouse</t>
  </si>
  <si>
    <t>Operations &amp; Maint.</t>
  </si>
  <si>
    <t>Supervisor</t>
  </si>
  <si>
    <t>Over Time Domestic Rates</t>
  </si>
  <si>
    <t>Payroll &amp; Burden (Total over project life)</t>
  </si>
  <si>
    <t>See detailed sheet</t>
  </si>
  <si>
    <t>Basis: HR data</t>
  </si>
  <si>
    <t>Travel Expenses/Overtime Meals</t>
  </si>
  <si>
    <t>Conferences/Training</t>
  </si>
  <si>
    <t>Fees &amp; Dues</t>
  </si>
  <si>
    <t>Employees Expense</t>
  </si>
  <si>
    <t>$250/month</t>
  </si>
  <si>
    <t>Entertainment Expense</t>
  </si>
  <si>
    <t>$150/employee</t>
  </si>
  <si>
    <t>Recruiting</t>
  </si>
  <si>
    <t>Basis: OEC experience</t>
  </si>
  <si>
    <t>Permanent Contract Labor</t>
  </si>
  <si>
    <t>Janitorial</t>
  </si>
  <si>
    <t>$800/month x 12 months</t>
  </si>
  <si>
    <t>Groundskeeping/Landscaping</t>
  </si>
  <si>
    <t>$400/month x 12 months</t>
  </si>
  <si>
    <t>Uniform Services</t>
  </si>
  <si>
    <t>$300/month x 12 months</t>
  </si>
  <si>
    <t>Lab Services</t>
  </si>
  <si>
    <t>costs shown in Lab Expenses category</t>
  </si>
  <si>
    <t>Basis:</t>
  </si>
  <si>
    <t xml:space="preserve">Environmental Expense </t>
  </si>
  <si>
    <t>Training/Awards</t>
  </si>
  <si>
    <t>RATA testing</t>
  </si>
  <si>
    <t>Materials &amp; Supplies</t>
  </si>
  <si>
    <t>Calibration/test gases</t>
  </si>
  <si>
    <t>Technical/Professional Services</t>
  </si>
  <si>
    <t xml:space="preserve">2 trip x $1M/trip + 4 days perdiem x $125/day </t>
  </si>
  <si>
    <t>80 manhrs x $75/hr (audit)</t>
  </si>
  <si>
    <t>covered in O/H</t>
  </si>
  <si>
    <t>4 x $1,000/trip + 20 days x $150/day + $50/day x 15days</t>
  </si>
  <si>
    <t>7 x $1500 each</t>
  </si>
  <si>
    <t>$22,900 x (180MW/414MW)^.6</t>
  </si>
  <si>
    <t>$200/month x 12 months</t>
  </si>
  <si>
    <t>$100/month x 12 months</t>
  </si>
  <si>
    <t>existing vehicles</t>
  </si>
  <si>
    <t>46 lbs/hr x 1300 hrs/year x $0.2/lb</t>
  </si>
  <si>
    <t>Trailer Leasing Mixed Beds</t>
  </si>
  <si>
    <t>$0.30/Mgal x 4GTs x 67 gal/min/gt x 60min/hr x 1300 hrs/yr</t>
  </si>
  <si>
    <t>$70,000 x (180/414)^.6</t>
  </si>
  <si>
    <t>$3,375/yr x 4</t>
  </si>
  <si>
    <t>$9,816 x (133 kpph/180 kpph)^.6 x 2,500hrs/2,500hrs</t>
  </si>
  <si>
    <t>$179,000 x (180MW/414MW)^.6 x 75%</t>
  </si>
  <si>
    <t>35000 x 4</t>
  </si>
  <si>
    <t>$22,000/gt x 1300hrs/2000 hrs x 4 gts</t>
  </si>
  <si>
    <t>Basis: Vineland, NJ experience (1 x LM6000 avg annual maint = $57,000 @ 2000 hrs)</t>
  </si>
  <si>
    <t>.</t>
  </si>
  <si>
    <t>SCR + Ammonia system</t>
  </si>
  <si>
    <t>2% of cost $1,200,000/unit x 4 units</t>
  </si>
  <si>
    <t>Selective Catalytic Reduction &amp; Ammonia System</t>
  </si>
  <si>
    <t>3 YEAR</t>
  </si>
  <si>
    <t>AVERAGE</t>
  </si>
  <si>
    <t>20 YEAR</t>
  </si>
  <si>
    <t>The mixed beds are leased</t>
  </si>
  <si>
    <t xml:space="preserve">Chemicals </t>
  </si>
  <si>
    <t>Fixed</t>
  </si>
  <si>
    <t>Variable</t>
  </si>
  <si>
    <t>90% Fixed / 10% Variable</t>
  </si>
  <si>
    <t xml:space="preserve">GT Scheduled Major Maintenance Accrual ($/fired hour) </t>
  </si>
  <si>
    <t xml:space="preserve">SCR Catalyst Replacement Accrual ($/fired hour) </t>
  </si>
  <si>
    <t>Lease Engine Membership fees</t>
  </si>
  <si>
    <t>3 and 20 year term modeled</t>
  </si>
  <si>
    <t xml:space="preserve">Commercial Office Mobilization Expenses </t>
  </si>
  <si>
    <t xml:space="preserve">Owners' Engineer Expenses </t>
  </si>
  <si>
    <t xml:space="preserve">Commercial Office Expenses </t>
  </si>
  <si>
    <t>TOTAL ($/Kw)</t>
  </si>
  <si>
    <t>$/kW</t>
  </si>
  <si>
    <t>FOM ($/kW-yr)</t>
  </si>
  <si>
    <t>VOM ($/mWh)</t>
  </si>
  <si>
    <t xml:space="preserve">13) Chemical costs and 10% of annual maintnenace are assumed variable with dispatch; all other costs are fixed. </t>
  </si>
  <si>
    <t>28) Estimate assumes that adequate maintenance and calibration facilities, mobile equipment and lab services available at nearby COA facilities.</t>
  </si>
  <si>
    <t>25) SCR replacement not accrued for in the estimate.</t>
  </si>
  <si>
    <t>30) GT Major Maintenance not accrued for in the estimate.</t>
  </si>
  <si>
    <t xml:space="preserve">Map </t>
  </si>
  <si>
    <t>Maintenance Expenses</t>
  </si>
  <si>
    <t>Other Outside Services</t>
  </si>
  <si>
    <t>Non-Hazardous Waste Handling</t>
  </si>
  <si>
    <t>Other</t>
  </si>
  <si>
    <t>Safety Expense</t>
  </si>
  <si>
    <t>Company Membership &amp; Dues</t>
  </si>
  <si>
    <t>Routine Safety Supplies</t>
  </si>
  <si>
    <t xml:space="preserve">2 x $1M/trip + 4 days perdiem x $125/day </t>
  </si>
  <si>
    <t>Labor covered in O/H</t>
  </si>
  <si>
    <t>Safety Equipment Rentals</t>
  </si>
  <si>
    <t>Buildings &amp; Grounds</t>
  </si>
  <si>
    <t>HVAC</t>
  </si>
  <si>
    <t>Scaled on MW</t>
  </si>
  <si>
    <t>Building repairs &amp; painting</t>
  </si>
  <si>
    <t>Road repairs</t>
  </si>
  <si>
    <t>Outside services Contract labor</t>
  </si>
  <si>
    <t>Vineland annual expense avg= 3500</t>
  </si>
  <si>
    <t>Equipment Rentals</t>
  </si>
  <si>
    <t>(5 years of data -- new plant)</t>
  </si>
  <si>
    <t>Other Rents</t>
  </si>
  <si>
    <t>Supplies</t>
  </si>
  <si>
    <t>Basis: Tx City/Clear Lake experience</t>
  </si>
  <si>
    <t>Office Supplies &amp; Expenses</t>
  </si>
  <si>
    <t>Postage &amp; Express Mail</t>
  </si>
  <si>
    <t>Outside Services Contract Labor</t>
  </si>
  <si>
    <t>80 hrs x $12/hr</t>
  </si>
  <si>
    <t>Misc consulting at  40 hrs x $100/hr</t>
  </si>
  <si>
    <t>Home office support covered in overheads</t>
  </si>
  <si>
    <t>Office Equipment Maint.</t>
  </si>
  <si>
    <t>Regional Mgmt Support</t>
  </si>
  <si>
    <t>Regulatory</t>
  </si>
  <si>
    <t>Owner's scope</t>
  </si>
  <si>
    <t>Garbage &amp; Trash</t>
  </si>
  <si>
    <t>Office Equipment Rental</t>
  </si>
  <si>
    <t>Radio parts/repair</t>
  </si>
  <si>
    <t>50% of Subic</t>
  </si>
  <si>
    <t>PC Hardware (purchase)</t>
  </si>
  <si>
    <t>Same as Subic for items &lt; $1000, otherwise in Sus. Capital</t>
  </si>
  <si>
    <t>PC Software</t>
  </si>
  <si>
    <t>1 CMMS licenses @ $750 ea.+ upgrades</t>
  </si>
  <si>
    <t>PC Hardware Rental/Lease</t>
  </si>
  <si>
    <t>PC Maintenance</t>
  </si>
  <si>
    <t>Misc Freight Expenses</t>
  </si>
  <si>
    <t>Utilities (office water, power, gas)</t>
  </si>
  <si>
    <t>Assumed in Plant's House Load</t>
  </si>
  <si>
    <t>Public relations/Contributions</t>
  </si>
  <si>
    <t>Boat maintenance/repair</t>
  </si>
  <si>
    <t>Vehicle &amp; mobile equipment Lease</t>
  </si>
  <si>
    <t>Vehicle maintenance/repair</t>
  </si>
  <si>
    <t>$500/vehicle/year</t>
  </si>
  <si>
    <t>Vehicle fuel</t>
  </si>
  <si>
    <t>see detail below</t>
  </si>
  <si>
    <t>Boat fuel</t>
  </si>
  <si>
    <t>Phone service (international calls)</t>
  </si>
  <si>
    <t>12x$500/month</t>
  </si>
  <si>
    <t>Cellular phone service</t>
  </si>
  <si>
    <t>2 phones x $300/month</t>
  </si>
  <si>
    <t>VSAT</t>
  </si>
  <si>
    <t>none assumed for this project</t>
  </si>
  <si>
    <t>Operating Insurance</t>
  </si>
  <si>
    <t>Basis: Vineland, NJ experience</t>
  </si>
  <si>
    <t>Control Room/Laboratory Expenses</t>
  </si>
  <si>
    <t>Lab analysis monthly, annual, etc</t>
  </si>
  <si>
    <t>Reagents &amp; Supplies</t>
  </si>
  <si>
    <t>Rental Equipment</t>
  </si>
  <si>
    <t>Analyzer Repairs</t>
  </si>
  <si>
    <t>Contract Labor/Temporaries</t>
  </si>
  <si>
    <t>5% of 75% of total</t>
  </si>
  <si>
    <t>Basis: OEC/Vineland Experience</t>
  </si>
  <si>
    <t>Operations Support (Year 1 Only)</t>
  </si>
  <si>
    <t xml:space="preserve">1ea.x$125/dayx30days </t>
  </si>
  <si>
    <t>1ea.x$1000 trip x 1trips (coach class)</t>
  </si>
  <si>
    <t xml:space="preserve">   Tax Protection (over 6 months)</t>
  </si>
  <si>
    <t>n/a</t>
  </si>
  <si>
    <t>Ops engineer for 1 month to aid in Initial Operating Period</t>
  </si>
  <si>
    <t>Chemicals &amp; Water Treatment</t>
  </si>
  <si>
    <t>Demin Acid/Caustic</t>
  </si>
  <si>
    <t>Resin Replacement</t>
  </si>
  <si>
    <t>CT Chemicals</t>
  </si>
  <si>
    <t>assume at 3 cycles, surface water makeup</t>
  </si>
  <si>
    <t>Boiler Chemicals</t>
  </si>
  <si>
    <t>Desal RO Chemicals &amp; Membrane replacement</t>
  </si>
  <si>
    <t>Potable Water Chemicals</t>
  </si>
  <si>
    <t>SCR Ammonia usage</t>
  </si>
  <si>
    <t>Hydrogen (generators)</t>
  </si>
  <si>
    <t>Assume air cooled</t>
  </si>
  <si>
    <t>Waste Water Treatment</t>
  </si>
  <si>
    <t>GT Water Wash Detergent</t>
  </si>
  <si>
    <t>4 drums / year</t>
  </si>
  <si>
    <t>freight</t>
  </si>
  <si>
    <t>5% of total</t>
  </si>
  <si>
    <t>Basis: source is 750 ppm TDS surface water; CT flow 8500 gpm; range 10deg F</t>
  </si>
  <si>
    <t>Painting</t>
  </si>
  <si>
    <t>Paint &amp; Materials</t>
  </si>
  <si>
    <t>Outside Contract Services</t>
  </si>
  <si>
    <t>Equipment rental</t>
  </si>
  <si>
    <t>Basis: 13 years of Actuals from Tx City/Clear Lake Plants</t>
  </si>
  <si>
    <t>Instruments &amp; Controls</t>
  </si>
  <si>
    <t>Repair Parts</t>
  </si>
  <si>
    <t>variable</t>
  </si>
  <si>
    <t>Outside Repair Services</t>
  </si>
  <si>
    <t>fixed</t>
  </si>
  <si>
    <t>Basis: Vineland, NJ experience (1 x LM6000)</t>
  </si>
  <si>
    <t>Water Treatment System</t>
  </si>
  <si>
    <t>scaled on throughput and hrs of operation</t>
  </si>
  <si>
    <t>Outside Contract Labor</t>
  </si>
  <si>
    <t>Cooling System &amp; Chillers</t>
  </si>
  <si>
    <t>Scaled on plant size</t>
  </si>
  <si>
    <t>multiplied by factor of 75% due to no STG at this plant</t>
  </si>
  <si>
    <t>Electrical/Substation/Interconnects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</si>
  <si>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</si>
  <si>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</si>
  <si>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</si>
  <si>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(25% of total) = 25% x $94,000 </t>
  </si>
  <si>
    <t xml:space="preserve">Material Cost (75% of total) = 75% x $94,000 x (1gens/4.5gens) </t>
  </si>
  <si>
    <t xml:space="preserve">                                           x (46.5MW/104MW)^0.6  </t>
  </si>
  <si>
    <t>5% of 11% of total</t>
  </si>
  <si>
    <t>Gas Turbines (excluding overhaul maint.)</t>
  </si>
  <si>
    <t>preventive and corrective maintenance, to include</t>
  </si>
  <si>
    <t>semi-annual boroscope, calibration &amp; inspection by S&amp;S</t>
  </si>
  <si>
    <t xml:space="preserve">Equipment rental </t>
  </si>
  <si>
    <t>assumed to cover a few routine TIL installations each year</t>
  </si>
  <si>
    <t>Does not include a membership into the Lease Engine Program</t>
  </si>
  <si>
    <t>HRSG</t>
  </si>
  <si>
    <t>Chemical Feed system</t>
  </si>
  <si>
    <t>$3500/yr x 8700hrs/2500 hrs</t>
  </si>
  <si>
    <t>Condensate system</t>
  </si>
  <si>
    <t>feedwater system</t>
  </si>
  <si>
    <t>Steam distribution system</t>
  </si>
  <si>
    <t>Auxiliary boiler</t>
  </si>
  <si>
    <t>Assuming minimal usage each year</t>
  </si>
  <si>
    <t>Basis: OEC Vineland Experience</t>
  </si>
  <si>
    <t>Steam Turbine (including Scheduled Maint.)</t>
  </si>
  <si>
    <t>Non-scheduled maint. parts/repairs</t>
  </si>
  <si>
    <t>Scheduled Maint.</t>
  </si>
  <si>
    <t>NOT IN SCOPE OF WORK</t>
  </si>
  <si>
    <t>Auxiliary Parts</t>
  </si>
  <si>
    <t>Potable Water System</t>
  </si>
  <si>
    <t>Fuel Handling System</t>
  </si>
  <si>
    <t>Basis: Vineland, NJ experience (scaled down to remove compressor costs)</t>
  </si>
  <si>
    <t>Miscellaneous Maintenance Expense</t>
  </si>
  <si>
    <t>Warehouse Supplies</t>
  </si>
  <si>
    <t>Vehicle Fuel/Gasoline</t>
  </si>
  <si>
    <t>Vehicle Repairs &amp; Maintenance</t>
  </si>
  <si>
    <t>Vehicle Lease</t>
  </si>
  <si>
    <t>Equipment/tools rental</t>
  </si>
  <si>
    <t>Lubricants/Turbine Oil/Grease/Compounds</t>
  </si>
  <si>
    <t>Tools &amp; Tool Repair</t>
  </si>
  <si>
    <t>Maint. Materials &amp; Supplies</t>
  </si>
  <si>
    <t>CEMS maint</t>
  </si>
  <si>
    <t>Fire Protection System</t>
  </si>
  <si>
    <t>Wastewater System</t>
  </si>
  <si>
    <t>Instrument Air system</t>
  </si>
  <si>
    <t>Radio Parts and repairs</t>
  </si>
  <si>
    <t>BOP Repairs</t>
  </si>
  <si>
    <t>Hydrogen</t>
  </si>
  <si>
    <t>O&amp;M Annual Fee</t>
  </si>
  <si>
    <t>This is included in benefits loading under payroll</t>
  </si>
  <si>
    <t>Basis: Eval team concensus</t>
  </si>
  <si>
    <t>Major Equipment Maintenance Program (20 year total)</t>
  </si>
  <si>
    <t>Commercial Office Expenses</t>
  </si>
  <si>
    <t>Administrative/Technical</t>
  </si>
  <si>
    <t>Sustaining Project Expenses</t>
  </si>
  <si>
    <t>10% of procurement items</t>
  </si>
  <si>
    <t>Vehicular Fuel Usage</t>
  </si>
  <si>
    <t>1 Trucks:</t>
  </si>
  <si>
    <t>1 x gal/15 miles x $1.3/gal x 30,000 miles/yr</t>
  </si>
  <si>
    <t>0 Van &amp; 1 Flat-bed Truck:</t>
  </si>
  <si>
    <t>2 x gal/ 10 miles x $1.5/gal x 20 miles/day x 365 days/year</t>
  </si>
  <si>
    <t>1 Forklifts:</t>
  </si>
  <si>
    <t>1 x 2 gal/hr x $1.5/gal x 1 hr/day x 180 days/yr</t>
  </si>
  <si>
    <t>0 Crane:</t>
  </si>
  <si>
    <t>5 gal/hr x $1.5/gal x 40 days/yr x 8 hours/day</t>
  </si>
  <si>
    <t>0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</si>
  <si>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</si>
  <si>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</si>
  <si>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</si>
  <si>
    <t>1/ Fixed Maintenance costs are assumed to be 50% parts, 25% labor, 25% consumables.</t>
  </si>
  <si>
    <t>0..</t>
  </si>
  <si>
    <t>GE LM6000 - Major Maintenance Reserve</t>
  </si>
  <si>
    <t>Gas Fired Operation</t>
  </si>
  <si>
    <t>Project Life</t>
  </si>
  <si>
    <t>Years</t>
  </si>
  <si>
    <t>Lease Club Membership Fees Not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</si>
  <si>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</si>
  <si>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</si>
  <si>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</si>
  <si>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</si>
  <si>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</si>
  <si>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</si>
  <si>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</si>
  <si>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</si>
  <si>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</si>
  <si>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</si>
  <si>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</si>
  <si>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Preventative Maintenance</t>
  </si>
  <si>
    <t>per year</t>
  </si>
  <si>
    <t>Semi-Annual Preventative Maintenance</t>
  </si>
  <si>
    <t>Hot Section Refurbishment / 24,000 hrs</t>
  </si>
  <si>
    <t>per GT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</si>
  <si>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</si>
  <si>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</si>
  <si>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</si>
  <si>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</si>
  <si>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</si>
  <si>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</si>
  <si>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</si>
  <si>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</si>
  <si>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Year</t>
  </si>
  <si>
    <t>Hours (EOY)</t>
  </si>
  <si>
    <t>Maint Inspection (C, H or M)</t>
  </si>
  <si>
    <t>h</t>
  </si>
  <si>
    <t>Comb., Hot Sec &amp; Major Maint. Cost</t>
  </si>
  <si>
    <t>Preventative Miantenance</t>
  </si>
  <si>
    <t>Labor &amp; Engineering</t>
  </si>
  <si>
    <t>Lease Program</t>
  </si>
  <si>
    <t>Lease Engine Usage Fee</t>
  </si>
  <si>
    <t>Yearly Totals</t>
  </si>
  <si>
    <t>Assumptions:</t>
  </si>
  <si>
    <t>1. Hot Gas Path inspection conducted at 25,000 fired hour intervals and Major at 50,000 hour intervals.</t>
  </si>
  <si>
    <t>3. Maintenance and lease costs from George Graham/Stewart &amp; Stevenson 12/10/99 e-mail.</t>
  </si>
  <si>
    <t>BASE LOAD CASE</t>
  </si>
  <si>
    <t>Lease Club Membership Fees Included</t>
  </si>
  <si>
    <t>48,000 hour engine refurbishment assumes assumes 12 week usage of lease engine</t>
  </si>
  <si>
    <t>(rotable exchnage)</t>
  </si>
  <si>
    <t>Maint Inspection (H or M)</t>
  </si>
  <si>
    <t>H</t>
  </si>
  <si>
    <t>Hot Sec &amp; Major Maint.</t>
  </si>
  <si>
    <t>1. Hot Gas Path inspection conducted at 25,000 fired hour intervals.</t>
  </si>
  <si>
    <t>2. Major inspection conducted at 50,000 fired hour intervals.</t>
  </si>
  <si>
    <r>
      <t>GT&amp;G Operation &amp; Familiarization (equip vendor)</t>
    </r>
    <r>
      <rPr>
        <vertAlign val="superscript"/>
        <sz val="10"/>
        <rFont val="Arial"/>
        <family val="2"/>
      </rPr>
      <t>3</t>
    </r>
  </si>
  <si>
    <t>Map of Austin</t>
  </si>
  <si>
    <t>24) This O&amp;M Estimate does not include the cost of the following items:</t>
  </si>
  <si>
    <t>Familiarization</t>
  </si>
  <si>
    <t xml:space="preserve">                No Charge</t>
  </si>
  <si>
    <t>Level 1 Maintenance (equip. vendor)</t>
  </si>
  <si>
    <t>Level 2 Maintenance (equip. vendor)</t>
  </si>
  <si>
    <t>Boroscope Maintenance (equip. vendor)</t>
  </si>
  <si>
    <t>GTG controls MK VI (equip vendor)</t>
  </si>
  <si>
    <t>Power Plant Basic O&amp;M (2 days)*</t>
  </si>
  <si>
    <t>Introduction to Plant &amp; Systems (3 days)*</t>
  </si>
  <si>
    <t>Equip. Vendor Training - $25M/wk</t>
  </si>
  <si>
    <t>Basic Plant Training (developed in-house) - no added cost</t>
  </si>
  <si>
    <t>Electrical/Controls Maintenance Training (3 x I/C/E Technicians)  (at OEM sites)</t>
  </si>
  <si>
    <t>Basic Maintenance Training (2 x Mechanics) (At Cincinnati)</t>
  </si>
  <si>
    <t>Major Systems Training (All O&amp;M Personnel) (1 session at site)</t>
  </si>
  <si>
    <t>Control Room Training (All Operators) (1 session at site/other plants)</t>
  </si>
  <si>
    <t>Generator/Excitation Maintenance (equip. vendor)</t>
  </si>
  <si>
    <r>
      <t>DCS Operation &amp; Familiarization (equip. vendor)</t>
    </r>
    <r>
      <rPr>
        <vertAlign val="superscript"/>
        <sz val="10"/>
        <rFont val="Arial"/>
        <family val="2"/>
      </rPr>
      <t>3</t>
    </r>
  </si>
  <si>
    <t>Specialized Operator Training (All Operators) (1 session at existing plants)</t>
  </si>
  <si>
    <t>Water Systems &amp; Chemistry (performed by AE in house)*</t>
  </si>
  <si>
    <t>Basic Plant Training (All New Hires) (1session at site/existing plants)</t>
  </si>
  <si>
    <t xml:space="preserve">Instructor Per diem: # class weeks at site for OEM x 5d/wk x $150/day (1 instructor/class week)  </t>
  </si>
  <si>
    <t>Travel: maintenance techs 8 trips x $1M/trip</t>
  </si>
  <si>
    <t>Travel: Instructors (3 Vendors) x $1M/trip ea</t>
  </si>
  <si>
    <t xml:space="preserve">Maint Techs' Per diem: # techs x # class weeks at OEM site x 5d/wk x $150/day </t>
  </si>
  <si>
    <t>Training/Early Commissioning----------------------------------------------&gt;</t>
  </si>
  <si>
    <t>Recruiting/Procedures/Setup------------------------------------------------------------------------------------------&gt;</t>
  </si>
  <si>
    <t>3. LM6000 and DCS Familiarization training assumed provided for by Equipment Supplier (in Equipment PO).</t>
  </si>
  <si>
    <t xml:space="preserve">    Technical Direction of Installation (TD of I)</t>
  </si>
  <si>
    <t xml:space="preserve">    Vendor Familiarization Training (Maj. Equip &amp; Controls)</t>
  </si>
  <si>
    <t>Assumed in equipment supply</t>
  </si>
  <si>
    <t xml:space="preserve">    Add'l Major Equip. Vendor </t>
  </si>
  <si>
    <t xml:space="preserve">    O&amp;M requirements</t>
  </si>
  <si>
    <t>$250/month x 3 months</t>
  </si>
  <si>
    <t>Pay &amp; Benefits Calculations</t>
  </si>
  <si>
    <t>Mobilization Period</t>
  </si>
  <si>
    <t>Operating Period</t>
  </si>
  <si>
    <t>Quantity</t>
  </si>
  <si>
    <t>ESOP</t>
  </si>
  <si>
    <t>401(k)</t>
  </si>
  <si>
    <t>Clerk</t>
  </si>
  <si>
    <t>Totals</t>
  </si>
  <si>
    <t xml:space="preserve">     Straight Time</t>
  </si>
  <si>
    <t xml:space="preserve">     Over time</t>
  </si>
  <si>
    <t>ANNUAL</t>
  </si>
  <si>
    <t>HOURS</t>
  </si>
  <si>
    <t>Monthly</t>
  </si>
  <si>
    <t>existing support</t>
  </si>
  <si>
    <t>Use existing plant buildings/offices when necessary</t>
  </si>
  <si>
    <t>LM6000PC package spares</t>
  </si>
  <si>
    <t xml:space="preserve">Employee Lockers </t>
  </si>
  <si>
    <t>Local travel</t>
  </si>
  <si>
    <t>CONTROL ROOM TECHNICIAN</t>
  </si>
  <si>
    <t>OUTSIDE TECHNICIAN</t>
  </si>
  <si>
    <t>Should have already</t>
  </si>
  <si>
    <t>Buyer support from other projects</t>
  </si>
  <si>
    <t>Semi-Annual Preventative Maintenance included in annual O&amp;M</t>
  </si>
  <si>
    <t>Misc rentals, Freight, Travel &amp; diem for GE personnel</t>
  </si>
  <si>
    <t>Engine Refurbishment / 50,000 hrs</t>
  </si>
  <si>
    <t>Rotable exchange for the hot section</t>
  </si>
  <si>
    <t>Depot level repair</t>
  </si>
  <si>
    <t>cost per year per engine</t>
  </si>
  <si>
    <t>cost per FIRED hour per engine</t>
  </si>
  <si>
    <t>2. Pricing in 2000 USD. Does not include escalation beyond that.</t>
  </si>
  <si>
    <t>50,000 hour engine refurbishment assumes 16 week usage of lease engine</t>
  </si>
  <si>
    <t>3. Assumes that Owner will not enter the Lease Engine Membership program.</t>
  </si>
  <si>
    <t>4. Maintenance and lease costs from George Graham/GE Mar 2000 e-mail.</t>
  </si>
  <si>
    <t>Operations &amp; Maintenance Cost Estimate</t>
  </si>
  <si>
    <t>Table of Contents</t>
  </si>
  <si>
    <t>Scope</t>
  </si>
  <si>
    <t>Project Scope Description</t>
  </si>
  <si>
    <t>List of Assumptions</t>
  </si>
  <si>
    <t>Summary - Operations &amp; Maintenance Cost Estimate</t>
  </si>
  <si>
    <t>Comparison vs. Other Plants</t>
  </si>
  <si>
    <t>O&amp;M Staff Organization Chart</t>
  </si>
  <si>
    <t>O&amp;M Pre-Mobilization / Mobilization Cost Estimate</t>
  </si>
  <si>
    <t>O&amp;M Staff Mobilization Schedule</t>
  </si>
  <si>
    <t>O&amp;M Staff Mobilization Plan</t>
  </si>
  <si>
    <t>Training Program</t>
  </si>
  <si>
    <t>Assumed Turnkey/Operator/Owner Scope Split</t>
  </si>
  <si>
    <t>Pre-Mob / Mobilization Drawdown Schedule</t>
  </si>
  <si>
    <t>Owners' Engineer</t>
  </si>
  <si>
    <t>Pre-Mob / Mobilization Estimate Backup/Detail</t>
  </si>
  <si>
    <t>Commercial Operations O&amp;M Estimate</t>
  </si>
  <si>
    <t>Staffing Plans</t>
  </si>
  <si>
    <t>Contract &amp; Opns Support Staffing Plan</t>
  </si>
  <si>
    <t>Commercial Office Cost Estimate &amp; Staffing Plan</t>
  </si>
  <si>
    <t>Foreign vs. Local Costs</t>
  </si>
  <si>
    <t>Personnel Benefits</t>
  </si>
  <si>
    <t>O&amp;M Estimate Backup/Detail</t>
  </si>
  <si>
    <t>Major Maintenance Cost Estimate</t>
  </si>
  <si>
    <t>Initial Operating Spares</t>
  </si>
  <si>
    <t>GT Scheduled Major Maint. Program (10 Year term)</t>
  </si>
  <si>
    <t>City of Austin 4 x LM6000 Power Project</t>
  </si>
  <si>
    <t>Scope of Work:</t>
  </si>
  <si>
    <t>Full Operations and Maintenance services during the Pre-Operating and</t>
  </si>
  <si>
    <t xml:space="preserve">Operating Period for one gas-fired LM6000 simple cycle peaking facility </t>
  </si>
  <si>
    <t>Location:</t>
  </si>
  <si>
    <t>Austin, TX</t>
  </si>
  <si>
    <t>Location at approximately 10 miles from two existing operating plants</t>
  </si>
  <si>
    <t>Located on sight of a water treatment plant</t>
  </si>
  <si>
    <t>Ownership:</t>
  </si>
  <si>
    <t>To be owned and operated by City of Austin</t>
  </si>
  <si>
    <t>Capacity:</t>
  </si>
  <si>
    <t xml:space="preserve">MW </t>
  </si>
  <si>
    <t>Equipment:</t>
  </si>
  <si>
    <t>(4) GE LM6000 PC SPRINT Gas Turbine packages with standard combustor (non-DLE)</t>
  </si>
  <si>
    <t>SPRINT water injection assumed at a rate of 7.5 gpm</t>
  </si>
  <si>
    <t>Water injection for NOX control assumed at a rate of 60 gpm</t>
  </si>
  <si>
    <t xml:space="preserve">Water source: </t>
  </si>
  <si>
    <t>Potable water for supply to reverse osmosis process</t>
  </si>
  <si>
    <t>treated water from nearby water treatment plant for cooling tower makeup</t>
  </si>
  <si>
    <t>Demin system: Reverse Osmosis and leased trailer back mounted mixed bed</t>
  </si>
  <si>
    <t>(1) induced draft Cooling Tower with circ. water pumps</t>
  </si>
  <si>
    <t>(8) Chillers with condenser and chilled water pumps</t>
  </si>
  <si>
    <t xml:space="preserve">Distributed Control System at site </t>
  </si>
  <si>
    <t>No remote monitoring or control from other nearby plant sites</t>
  </si>
  <si>
    <t>(4) Selective Catalytic Reduction units</t>
  </si>
  <si>
    <t>No gas compression assumed</t>
  </si>
  <si>
    <t>No gas or electric distribution</t>
  </si>
  <si>
    <t>Facilities:</t>
  </si>
  <si>
    <t>Small Administrative office space, storage</t>
  </si>
  <si>
    <t>Small onsite warehouse with some climate control space</t>
  </si>
  <si>
    <t xml:space="preserve">Maintenance shop with bay </t>
  </si>
  <si>
    <t>Central control room and small lab area</t>
  </si>
  <si>
    <t>Sanitary facilities, to include lockers &amp; showers</t>
  </si>
  <si>
    <t>Fuel:</t>
  </si>
  <si>
    <t>Primary: Pipeline Quality Natural Gas</t>
  </si>
  <si>
    <t>Backup: None</t>
  </si>
  <si>
    <t>Operations Mode:</t>
  </si>
  <si>
    <t>Peaking duty, 1,300 fired hours per year</t>
  </si>
  <si>
    <t>Year round availability requirement (excluding scheduled maintenance)</t>
  </si>
  <si>
    <t>PPA:</t>
  </si>
  <si>
    <t>Enron to contract for 50% of capacity for first 3 years</t>
  </si>
  <si>
    <t>Schedule:</t>
  </si>
  <si>
    <t xml:space="preserve">Commercial Operations Date: </t>
  </si>
  <si>
    <t>Commercial Office:</t>
  </si>
  <si>
    <t>Costs not included</t>
  </si>
  <si>
    <t>Other Facilities:</t>
  </si>
  <si>
    <t>Barge dock on river for fuel deliveries.</t>
  </si>
  <si>
    <t>Owners Engineer:</t>
  </si>
  <si>
    <t>List of O&amp;M Assumptions</t>
  </si>
  <si>
    <t>1) Base year for all costs and prices herein: current 2000 US $ (no escalation or inflation included).</t>
  </si>
  <si>
    <t xml:space="preserve">2) O&amp;M personnel salaries and benefits per Enron experience, with some slight increase in wages due to assumed union labor force. </t>
  </si>
  <si>
    <t>3) Primary fuel to be Pipline Quality Natural Gas only at required operating pressures, with no backup fuel.</t>
  </si>
  <si>
    <t>4) Water injection for Nox control at an assumed rate of 60 gpm; SPRINT at 7.5 gpm.</t>
  </si>
  <si>
    <t>5) Plant to be considered available year round with the exception of scheduled maintenance outages.</t>
  </si>
  <si>
    <t>6) Gas turbine run hours/year: 1,300 hours/year.</t>
  </si>
  <si>
    <t>7)  Gas turbine starts/year:  assumed to be less than 200 per year with the above indicated dispatch schedule.</t>
  </si>
  <si>
    <t>7A)  Type of combustion system to be Standard, non-DLE combustor, with water injection.</t>
  </si>
  <si>
    <t>8) Assume any major schedule maintenance will be performed during off-peak season.</t>
  </si>
  <si>
    <t>9) Gas turbine major scheduled maintenance pricing per GE Pricing catalog (George Graham e-mail dated 3/00).</t>
  </si>
  <si>
    <t xml:space="preserve">10)  Major scheduled maintenance intervals per OEM (GE): Hot Gas Path - 24,000 hrs; Major - 50,000 hours. </t>
  </si>
  <si>
    <t>11) Water Source: Municipal and treated water. TDS is assumed to be 750 ppm. Owner/Originator to provide sample analysis.</t>
  </si>
  <si>
    <t xml:space="preserve">12) Water treatment chemicals costs per inhouse estimating model and performance dept tabulations (no Water Balance available). </t>
  </si>
  <si>
    <t>14) Variable costs are based on 15% annual plant capacity factor.</t>
  </si>
  <si>
    <t>15)  EPC Contract to provide an allowance for GT familiarization and operations training to O&amp;M staff.</t>
  </si>
  <si>
    <t>16)  Spare Parts estimate per GE recommended spares for stand alone domestic project, with some assumed adjustments.</t>
  </si>
  <si>
    <t>17)  Staffing plan assumes that all plant supervision and admin/commercial services to support operation will be from existing City of Austin staff.</t>
  </si>
  <si>
    <t xml:space="preserve">18)  Assumed Scope Split between Turnkey/Startup Contractor and Owner/Operator per enclosed. </t>
  </si>
  <si>
    <t>19) Turnkey Contractor:  Assumed to be EECC.</t>
  </si>
  <si>
    <t>20)  Owners Engineer: Owner's responsibility (estimate not included).</t>
  </si>
  <si>
    <t>21)  Sustaining capital expenses intended to cover only replacement of initial procurement items at end of their useful life.</t>
  </si>
  <si>
    <t>22) Admin staff and support are provided by Operator from home office and other sites.</t>
  </si>
  <si>
    <t>23) Owner to provide Commercial Office function.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</si>
  <si>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</si>
  <si>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</si>
  <si>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</si>
  <si>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</si>
  <si>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</si>
  <si>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</si>
  <si>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</si>
  <si>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</si>
  <si>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</si>
  <si>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</si>
  <si>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</si>
  <si>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 (Operator to provide plans per contract)</t>
  </si>
  <si>
    <t>Fuel or fuel testing</t>
  </si>
  <si>
    <t xml:space="preserve">Water rights and water usage costs </t>
  </si>
  <si>
    <t>Purchased (backfeed) power and other purchased utilities</t>
  </si>
  <si>
    <t xml:space="preserve">Insurance </t>
  </si>
  <si>
    <t>Buildings:  Administration, Warehouse and Shop facilities</t>
  </si>
  <si>
    <t>Operating or Environmental Permits</t>
  </si>
  <si>
    <t>Communications facilities (internal &amp; external)</t>
  </si>
  <si>
    <t>Customs duties, Taxes or VAT</t>
  </si>
  <si>
    <t>Changes in escalation, inflation or exchange rate</t>
  </si>
  <si>
    <t>Emissions, discharge or waste hauling Fees</t>
  </si>
  <si>
    <t>Security (At Owner's discretion)</t>
  </si>
  <si>
    <t>26) Portion of chemical cost estimate assumes usage of leased trailers for mixed bed at a cost of $0.30/M gal.</t>
  </si>
  <si>
    <t>27) Cooling Tower chemicals cost estimate assumes 3 cycles, 34,000 gpm flow rate and 20 deg F range.</t>
  </si>
  <si>
    <t>29) Esimate makes standard assumptions for labor practices. Union labor practices, if required, may differ.</t>
  </si>
  <si>
    <t>(US $)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</si>
  <si>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</si>
  <si>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</si>
  <si>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</si>
  <si>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</si>
  <si>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</si>
  <si>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</si>
  <si>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</si>
  <si>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</si>
  <si>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</si>
  <si>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NA</t>
  </si>
  <si>
    <t xml:space="preserve">Initial Operating Spares </t>
  </si>
  <si>
    <t xml:space="preserve">O&amp;M Mobilization Period Fee </t>
  </si>
  <si>
    <t>Operator Overhead Charge (G&amp;A)</t>
  </si>
  <si>
    <t>Expenses during Commercial Operation:</t>
  </si>
  <si>
    <t>Year 1</t>
  </si>
  <si>
    <t>Years 2+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</si>
  <si>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</si>
  <si>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</si>
  <si>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</si>
  <si>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</si>
  <si>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</si>
  <si>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</si>
  <si>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Lease Program Annual Membership (1 unit)</t>
  </si>
  <si>
    <t>Housing Colony Operating Expenses</t>
  </si>
  <si>
    <t xml:space="preserve">O&amp;M Annual Operating Fee 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</si>
  <si>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</si>
  <si>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</si>
  <si>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</si>
  <si>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</si>
  <si>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</si>
  <si>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</si>
  <si>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</si>
  <si>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</si>
  <si>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</si>
  <si>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</si>
  <si>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</si>
  <si>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</si>
  <si>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</si>
  <si>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</si>
  <si>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</si>
  <si>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</si>
  <si>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</si>
  <si>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 xml:space="preserve">Vehicles &amp; Mobile Equipment 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</si>
  <si>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</si>
  <si>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</si>
  <si>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</si>
  <si>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</si>
  <si>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</si>
  <si>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O&amp;M Mobilization Period Fee</t>
  </si>
  <si>
    <t>Staff Mobilization Schedule</t>
  </si>
  <si>
    <t>MOB. MONTHS</t>
  </si>
  <si>
    <t>COD</t>
  </si>
  <si>
    <t>SCHEDULE</t>
  </si>
  <si>
    <t>Commissioning/Startup---------&gt;</t>
  </si>
  <si>
    <t>PLANT MANAGER</t>
  </si>
  <si>
    <t>CLERK</t>
  </si>
  <si>
    <t>O&amp;M SUPERVISOR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</si>
  <si>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</si>
  <si>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</si>
  <si>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</si>
  <si>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</si>
  <si>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</si>
  <si>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</si>
  <si>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TOOLS AND O&amp;M EQUIPMENT</t>
  </si>
  <si>
    <t>Staff</t>
  </si>
  <si>
    <t>Number</t>
  </si>
  <si>
    <t>Salary &amp;</t>
  </si>
  <si>
    <t>Total Salary</t>
  </si>
  <si>
    <t>No.</t>
  </si>
  <si>
    <t>Area</t>
  </si>
  <si>
    <t>of</t>
  </si>
  <si>
    <t>Benefits</t>
  </si>
  <si>
    <t>&amp; Benefits</t>
  </si>
  <si>
    <t>Personnel</t>
  </si>
  <si>
    <t>A,O or M</t>
  </si>
  <si>
    <t>Months</t>
  </si>
  <si>
    <t>US$/Month</t>
  </si>
  <si>
    <t>A</t>
  </si>
  <si>
    <t>MAINTENANCE MANAGER</t>
  </si>
  <si>
    <t>M</t>
  </si>
  <si>
    <t xml:space="preserve">PURCHASING / WAREHOUSE </t>
  </si>
  <si>
    <t>PLANT SUPERVISOR</t>
  </si>
  <si>
    <t>O,M</t>
  </si>
  <si>
    <t>TECHNICIAN III</t>
  </si>
  <si>
    <t>O</t>
  </si>
  <si>
    <t>TECHNICIAN II</t>
  </si>
  <si>
    <t xml:space="preserve">          Overtime @ 20%</t>
  </si>
  <si>
    <t>TOTALS</t>
  </si>
  <si>
    <t>Note:</t>
  </si>
  <si>
    <t>Class</t>
  </si>
  <si>
    <t>Weeks</t>
  </si>
  <si>
    <t xml:space="preserve"> Weeks</t>
  </si>
  <si>
    <t>$M</t>
  </si>
  <si>
    <t>New Employee Orientation (1 day) *</t>
  </si>
  <si>
    <t>Plant Safety/Environmental/Firefighting (3 days) *</t>
  </si>
  <si>
    <t>Boiler Familiarization &amp; Operation (general vendor)</t>
  </si>
  <si>
    <t>Balance of Plant (general vendor)</t>
  </si>
  <si>
    <t/>
  </si>
  <si>
    <t>Boiler controls (general vendor)</t>
  </si>
  <si>
    <t>Electrical System Maintenance (general vendor)</t>
  </si>
  <si>
    <t>DCS Maint. (equip. vendor)</t>
  </si>
  <si>
    <t>Total Class Training Cost</t>
  </si>
  <si>
    <t>Travel, lodging, facilities, misc.</t>
  </si>
  <si>
    <t>On site Training Coordinator/Instructor (4 wks x $2600/wk incl per diem + $1M travel) *</t>
  </si>
  <si>
    <t>Total Training Cost Estimate</t>
  </si>
  <si>
    <t>Less Training provided by Turnkey/Startup Contractor</t>
  </si>
  <si>
    <t>Net Training Cost Estimate ($M) for Operator/Owner</t>
  </si>
  <si>
    <t>Notes:</t>
  </si>
  <si>
    <t>1. Assumed cost of training (instructor, training materials, aids, manuals, etc.):</t>
  </si>
  <si>
    <t xml:space="preserve">        </t>
  </si>
  <si>
    <t>General Vendor Training - $8M/wk</t>
  </si>
  <si>
    <t>2. The asterisk (*) denotes training and expenses provided by Operator</t>
  </si>
  <si>
    <t>Assumed 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</si>
  <si>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</si>
  <si>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</si>
  <si>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</si>
  <si>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</si>
  <si>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</si>
  <si>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</si>
  <si>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</si>
  <si>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</si>
  <si>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</si>
  <si>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</si>
  <si>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</si>
  <si>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</si>
  <si>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</si>
  <si>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</si>
  <si>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</si>
  <si>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</si>
  <si>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</si>
  <si>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At Owner's discretion</t>
  </si>
  <si>
    <t xml:space="preserve">    Process Hazards Analysis (HAZOP)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</si>
  <si>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</si>
  <si>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</si>
  <si>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</si>
  <si>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</si>
  <si>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</si>
  <si>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</si>
  <si>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</si>
  <si>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</si>
  <si>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</si>
  <si>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</si>
  <si>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</si>
  <si>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</si>
  <si>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</si>
  <si>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</si>
  <si>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</si>
  <si>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</si>
  <si>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</si>
  <si>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</si>
  <si>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</si>
  <si>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</si>
  <si>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</si>
  <si>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</si>
  <si>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</si>
  <si>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</si>
  <si>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</si>
  <si>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</si>
  <si>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</si>
  <si>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</si>
  <si>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</si>
  <si>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</si>
  <si>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</si>
  <si>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na</t>
  </si>
  <si>
    <t>Chemical Cleaning (including disposal)</t>
  </si>
  <si>
    <t>Oil Flushes</t>
  </si>
  <si>
    <t>*  O&amp;M has overall responsibility for training O&amp;M personnel, but Major Equip. Vendor training (for CT,  Chillers,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</si>
  <si>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</si>
  <si>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</si>
  <si>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</si>
  <si>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</si>
  <si>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</si>
  <si>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</si>
  <si>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</si>
  <si>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</si>
  <si>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</si>
  <si>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</si>
  <si>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</si>
  <si>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</si>
  <si>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</si>
  <si>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</si>
  <si>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</si>
  <si>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</si>
  <si>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</si>
  <si>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</si>
  <si>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</si>
  <si>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</si>
  <si>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</si>
  <si>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</si>
  <si>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</si>
  <si>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</si>
  <si>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</si>
  <si>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</si>
  <si>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</si>
  <si>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</si>
  <si>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</si>
  <si>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</si>
  <si>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</si>
  <si>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</si>
  <si>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</si>
  <si>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</si>
  <si>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</si>
  <si>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</si>
  <si>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</si>
  <si>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</si>
  <si>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</si>
  <si>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</si>
  <si>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</si>
  <si>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</si>
  <si>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</si>
  <si>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</si>
  <si>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</si>
  <si>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</si>
  <si>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</si>
  <si>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</si>
  <si>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</si>
  <si>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</si>
  <si>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</si>
  <si>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 Owner's scope to accrue</t>
  </si>
  <si>
    <t xml:space="preserve">    Operating (Initial) Spares for major equip.</t>
  </si>
  <si>
    <t xml:space="preserve">    Warehouse stock &amp; BOP spare parts</t>
  </si>
  <si>
    <t>Installed Cranes</t>
  </si>
  <si>
    <t>* Turbine spare parts will be purchased based on competitive bids as part of and prior to Turbine vendors selection;</t>
  </si>
  <si>
    <t xml:space="preserve">   actual parts purchased will be approved by Owner.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</si>
  <si>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</si>
  <si>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</si>
  <si>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</si>
  <si>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</si>
  <si>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</si>
  <si>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</si>
  <si>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</si>
  <si>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</si>
  <si>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</si>
  <si>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</si>
  <si>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</si>
  <si>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</si>
  <si>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</si>
  <si>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</si>
  <si>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recruiting</t>
  </si>
  <si>
    <t>Recruiting PM</t>
  </si>
  <si>
    <t>payroll</t>
  </si>
  <si>
    <t>Plant Manager - 1 month pay/benefits</t>
  </si>
  <si>
    <t>Travel Expenses in to/fro Houston</t>
  </si>
  <si>
    <t>2 trips x $1000/trip+ $150/day x 30 days</t>
  </si>
  <si>
    <t>miscellaneous</t>
  </si>
  <si>
    <t>O&amp;M Mobilization BudgetOperating ExpensesPublic Relations Total</t>
  </si>
  <si>
    <t>(Assumes Mob period begins COD less 6 months)</t>
  </si>
  <si>
    <t>Sub-Total</t>
  </si>
  <si>
    <t>O&amp;M Mobilization BudgetOperating ExpensesPayroll with burden Title</t>
  </si>
  <si>
    <t>Payroll with burden</t>
  </si>
  <si>
    <t>Total Company Payroll with benefits and 20% overtime on Opns/Maint.</t>
  </si>
  <si>
    <t xml:space="preserve">  (See detailed PltMobStaff schedule)</t>
  </si>
  <si>
    <t>O&amp;M Mobilization BudgetOperating ExpensesPayroll with burden Total</t>
  </si>
  <si>
    <t>O&amp;M Mobilization BudgetOperating ExpensesEmployee Expenses Title</t>
  </si>
  <si>
    <t>Travel related to Plant Mobilization</t>
  </si>
  <si>
    <t>Misc. (OT meals, Conferences,etc.)</t>
  </si>
  <si>
    <t>$200/month x 6 months</t>
  </si>
  <si>
    <t>Dues, Misc</t>
  </si>
  <si>
    <t>O&amp;M Mobilization BudgetOperating ExpensesEmployee Expenses Total</t>
  </si>
  <si>
    <t>O&amp;M Mobilization BudgetOperating ExpensesRecruiting Expenses Title</t>
  </si>
  <si>
    <t>HR/Home office support</t>
  </si>
  <si>
    <t>Advertisements</t>
  </si>
  <si>
    <t>Local</t>
  </si>
  <si>
    <t>Screening Tests</t>
  </si>
  <si>
    <t>$200/employee</t>
  </si>
  <si>
    <t>Misc expenses</t>
  </si>
  <si>
    <t>reproduction, postage, etc</t>
  </si>
  <si>
    <t>O&amp;M Mobilization BudgetOperating ExpensesRecruiting Expenses Total</t>
  </si>
  <si>
    <t>O&amp;M Mobilization BudgetOperating ExpensesRelocation Expenses Title</t>
  </si>
  <si>
    <t>Plant Mgr</t>
  </si>
  <si>
    <t>Technician III (assume 1 needed)</t>
  </si>
  <si>
    <t>cover HHG shipment</t>
  </si>
  <si>
    <t>Technician II (assume 1 needed)</t>
  </si>
  <si>
    <t>Rest of staff assumed obtained locally</t>
  </si>
  <si>
    <t>O&amp;M Mobilization BudgetOperating ExpensesRelocation Expenses Total</t>
  </si>
  <si>
    <t>O&amp;M Mobilization BudgetOperating ExpensesOutside Services Title</t>
  </si>
  <si>
    <t>Guards</t>
  </si>
  <si>
    <t>Turnkey responsibility</t>
  </si>
  <si>
    <t>Groundskeepers</t>
  </si>
  <si>
    <t>Janitors</t>
  </si>
  <si>
    <t>contract</t>
  </si>
  <si>
    <t>Legal</t>
  </si>
  <si>
    <t>Tax</t>
  </si>
  <si>
    <t>Accounting</t>
  </si>
  <si>
    <t>Safety</t>
  </si>
  <si>
    <t>Environmental</t>
  </si>
  <si>
    <t>Management</t>
  </si>
  <si>
    <t>Technical/Professional</t>
  </si>
  <si>
    <t>Trash/Waste Disposal</t>
  </si>
  <si>
    <t>Electrical Testing/Calibration</t>
  </si>
  <si>
    <t>Uniform services</t>
  </si>
  <si>
    <t>Office Equipment Maintenance</t>
  </si>
  <si>
    <t>Warehouse temporaries</t>
  </si>
  <si>
    <t>$20/hr x 160 hrs</t>
  </si>
  <si>
    <t>O&amp;M Mobilization BudgetOperating ExpensesOutside Services Total</t>
  </si>
  <si>
    <t>O&amp;M Mobilization BudgetOperating ExpensesOther Supplies &amp; Expenses Title</t>
  </si>
  <si>
    <t>Postage &amp; Freight</t>
  </si>
  <si>
    <t>$100/month x 6 months</t>
  </si>
  <si>
    <t>Office &amp; Misc. Supplies (usage)</t>
  </si>
  <si>
    <t>$500/month x 5 months</t>
  </si>
  <si>
    <t>Vehicle fuel and maint</t>
  </si>
  <si>
    <t>1 vehicles x 5 months x 1000miles/month x $1.5/14 miles + $500</t>
  </si>
  <si>
    <t>Janitorial Supplies (usage)</t>
  </si>
  <si>
    <t>Bldg. Utilities (water, power, gas)</t>
  </si>
  <si>
    <t>5 months x $500/month</t>
  </si>
  <si>
    <t>O&amp;M Mobilization BudgetOperating ExpensesOther Supplies &amp; Expenses Total</t>
  </si>
  <si>
    <t>O&amp;M Mobilization BudgetOperating ExpensesCommunications Title</t>
  </si>
  <si>
    <t xml:space="preserve">Phone Service </t>
  </si>
  <si>
    <t>5 months x $500/month (excludes cellular service)</t>
  </si>
  <si>
    <t>Cellular Phones</t>
  </si>
  <si>
    <t xml:space="preserve">2ea. x 6 months x $300/month </t>
  </si>
  <si>
    <t>cellular activation fee: 2 ea. $100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</si>
  <si>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</si>
  <si>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</si>
  <si>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</si>
  <si>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</si>
  <si>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Trailers (admin only, ex training)</t>
  </si>
  <si>
    <t>Sanitary facilities</t>
  </si>
  <si>
    <t>Misc. Furnishings</t>
  </si>
  <si>
    <t>Temporary Living Quarters</t>
  </si>
  <si>
    <t>Assume admin facilties complete COD minus 5 months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</si>
  <si>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</si>
  <si>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</si>
  <si>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</si>
  <si>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</si>
  <si>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</si>
  <si>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</si>
  <si>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</si>
  <si>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</si>
  <si>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</si>
  <si>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</si>
  <si>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</si>
  <si>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</si>
  <si>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</si>
  <si>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</si>
  <si>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</si>
  <si>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</si>
  <si>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</si>
  <si>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</si>
  <si>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O&amp;M Mobilization BudgetOperating ExpensesManuals/Operating Procedures Title</t>
  </si>
  <si>
    <t>Manuals/Operating Procedures</t>
  </si>
  <si>
    <t>Administration</t>
  </si>
  <si>
    <t>Operations check lists</t>
  </si>
  <si>
    <t>5P&amp;IDsx 2 mandays each x $400/day</t>
  </si>
  <si>
    <t xml:space="preserve">Maintenance </t>
  </si>
  <si>
    <t>1/2 of Operating procedures</t>
  </si>
  <si>
    <t>Maintenance/CMMS (excluding data)</t>
  </si>
  <si>
    <t>Warehouse/Inventory</t>
  </si>
  <si>
    <t>Emergency Plans</t>
  </si>
  <si>
    <t>40 mandays @$400/manday</t>
  </si>
  <si>
    <t>Safety and Health</t>
  </si>
  <si>
    <t>Environmental Compliance</t>
  </si>
  <si>
    <t>Utility dispatch</t>
  </si>
  <si>
    <t>10 mandays @$400/manday</t>
  </si>
  <si>
    <t>Government Reporting</t>
  </si>
  <si>
    <t>Owner Reports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</si>
  <si>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</si>
  <si>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</si>
  <si>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</si>
  <si>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</si>
  <si>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</si>
  <si>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Owner's Scope of Supply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</si>
  <si>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</si>
  <si>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</si>
  <si>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</si>
  <si>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</si>
  <si>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1ea.x$350/dayx30days (includes benefits)</t>
  </si>
  <si>
    <t xml:space="preserve">    Per diem </t>
  </si>
  <si>
    <t>1ea.x$125/dayx30days</t>
  </si>
  <si>
    <t xml:space="preserve">    Home leave, travel</t>
  </si>
  <si>
    <t>1ea.x$1000 tripx1trips (coach class)</t>
  </si>
  <si>
    <t>Basis: 1 Operating Engineer as operations support 1 months prior to COD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</si>
  <si>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</si>
  <si>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</si>
  <si>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</si>
  <si>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</si>
  <si>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4ea @ $800/set</t>
  </si>
  <si>
    <t>Chairs - misc.</t>
  </si>
  <si>
    <t>10ea @ $150</t>
  </si>
  <si>
    <t>Bookshelves</t>
  </si>
  <si>
    <t>10ea @ $75</t>
  </si>
  <si>
    <t>File Cabinets</t>
  </si>
  <si>
    <t>4ea @ $200</t>
  </si>
  <si>
    <t>Storage Shelves/Cabinets</t>
  </si>
  <si>
    <t>10ea @ $50</t>
  </si>
  <si>
    <t>Conference Room (table &amp; chairs)</t>
  </si>
  <si>
    <t>1ea @ $150 + $1500</t>
  </si>
  <si>
    <t>Lunch Room - Tables</t>
  </si>
  <si>
    <t>1ea @ $150</t>
  </si>
  <si>
    <t>Lunch Room - Chairs</t>
  </si>
  <si>
    <t>6ea @ $75</t>
  </si>
  <si>
    <t>Lunch Room - Microwave</t>
  </si>
  <si>
    <t>1 ea @ $300</t>
  </si>
  <si>
    <t>Lunch Room - Coffee Pot</t>
  </si>
  <si>
    <t>1 ea. @ $150</t>
  </si>
  <si>
    <t>Lunch Room - Refrig.</t>
  </si>
  <si>
    <t>1 ea @ $750</t>
  </si>
  <si>
    <t>Lunch Room - Misc</t>
  </si>
  <si>
    <t>Computer Tables</t>
  </si>
  <si>
    <t>5ea @ $200</t>
  </si>
  <si>
    <t>Computers w printers</t>
  </si>
  <si>
    <t>5ea @ $3000</t>
  </si>
  <si>
    <t>Systems Software</t>
  </si>
  <si>
    <t>5ea @ $500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</si>
</sst>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74" formatCode="0.000"/>
    <numFmt numFmtId="175" formatCode="_(* #,##0.000_);_(* \(#,##0.000\);_(* &quot;-&quot;??_);_(@_)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14" formatCode="#,##0.000"/>
    <numFmt numFmtId="227" formatCode="mmmm\-yy"/>
    <numFmt numFmtId="228" formatCode="&quot;$&quot;#,##0"/>
    <numFmt numFmtId="230" formatCode="#,##0.000_);\(#,##0.000\)"/>
    <numFmt numFmtId="278" formatCode="&quot;$&quot;#,##0.00"/>
    <numFmt numFmtId="303" formatCode="&quot;$&quot;#,##0;\(&quot;$&quot;#,##0\)"/>
  </numFmts>
  <fonts count="47">
    <font>
      <sz val="10"/>
      <name val="Arial"/>
    </font>
    <font>
      <sz val="10"/>
      <name val="Arial"/>
    </font>
    <font>
      <sz val="10"/>
      <name val="Times New Roman"/>
    </font>
    <font>
      <sz val="12"/>
      <name val="Helv"/>
    </font>
    <font>
      <sz val="12"/>
      <name val="Arial MT"/>
    </font>
    <font>
      <sz val="8"/>
      <name val="Arial"/>
    </font>
    <font>
      <b/>
      <sz val="10"/>
      <name val="Arial"/>
    </font>
    <font>
      <i/>
      <sz val="10"/>
      <name val="Arial"/>
    </font>
    <font>
      <b/>
      <sz val="12"/>
      <color indexed="8"/>
      <name val="Arial"/>
      <family val="2"/>
    </font>
    <font>
      <b/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</font>
    <font>
      <b/>
      <u/>
      <sz val="12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</font>
    <font>
      <sz val="12"/>
      <name val="Arial"/>
      <family val="2"/>
    </font>
    <font>
      <sz val="10"/>
      <color indexed="20"/>
      <name val="Arial"/>
      <family val="2"/>
    </font>
    <font>
      <b/>
      <u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sz val="14"/>
      <name val="Arial"/>
    </font>
    <font>
      <b/>
      <i/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Arial MT"/>
    </font>
    <font>
      <b/>
      <sz val="10"/>
      <color indexed="19"/>
      <name val="Arial"/>
      <family val="2"/>
    </font>
    <font>
      <b/>
      <sz val="10"/>
      <color indexed="19"/>
      <name val="Arial MT"/>
    </font>
    <font>
      <b/>
      <sz val="12"/>
      <name val="Arial MT"/>
    </font>
    <font>
      <sz val="10"/>
      <color indexed="19"/>
      <name val="Arial"/>
      <family val="2"/>
    </font>
    <font>
      <sz val="10"/>
      <name val="Arial MT"/>
    </font>
    <font>
      <b/>
      <i/>
      <sz val="12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b/>
      <sz val="10"/>
      <color indexed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lightUp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03" fontId="1" fillId="0" borderId="0" applyNumberFormat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478">
    <xf numFmtId="0" fontId="0" fillId="0" borderId="0" xfId="0"/>
    <xf numFmtId="3" fontId="8" fillId="0" borderId="0" xfId="0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  <protection locked="0"/>
    </xf>
    <xf numFmtId="0" fontId="0" fillId="0" borderId="0" xfId="0" applyProtection="1">
      <protection locked="0"/>
    </xf>
    <xf numFmtId="3" fontId="9" fillId="0" borderId="0" xfId="0" applyNumberFormat="1" applyFont="1" applyAlignment="1" applyProtection="1">
      <alignment horizontal="centerContinuous"/>
      <protection locked="0"/>
    </xf>
    <xf numFmtId="0" fontId="0" fillId="0" borderId="0" xfId="0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/>
    <xf numFmtId="0" fontId="0" fillId="0" borderId="0" xfId="0" quotePrefix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centerContinuous"/>
    </xf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227" fontId="0" fillId="0" borderId="0" xfId="0" applyNumberFormat="1" applyAlignment="1">
      <alignment horizontal="left"/>
    </xf>
    <xf numFmtId="14" fontId="0" fillId="0" borderId="0" xfId="0" applyNumberFormat="1"/>
    <xf numFmtId="3" fontId="8" fillId="0" borderId="0" xfId="0" applyNumberFormat="1" applyFont="1" applyAlignment="1" applyProtection="1">
      <alignment horizontal="centerContinuous"/>
      <protection locked="0"/>
    </xf>
    <xf numFmtId="3" fontId="12" fillId="0" borderId="0" xfId="0" applyNumberFormat="1" applyFont="1" applyAlignment="1" applyProtection="1">
      <protection locked="0"/>
    </xf>
    <xf numFmtId="3" fontId="12" fillId="0" borderId="0" xfId="0" applyNumberFormat="1" applyFont="1" applyAlignment="1" applyProtection="1">
      <alignment horizontal="centerContinuous"/>
      <protection locked="0"/>
    </xf>
    <xf numFmtId="0" fontId="10" fillId="0" borderId="0" xfId="0" applyFont="1" applyProtection="1"/>
    <xf numFmtId="0" fontId="0" fillId="0" borderId="0" xfId="0" applyBorder="1" applyProtection="1"/>
    <xf numFmtId="0" fontId="12" fillId="0" borderId="0" xfId="0" applyFont="1" applyBorder="1" applyProtection="1">
      <protection locked="0"/>
    </xf>
    <xf numFmtId="0" fontId="12" fillId="0" borderId="0" xfId="0" applyFont="1" applyProtection="1">
      <protection locked="0"/>
    </xf>
    <xf numFmtId="3" fontId="12" fillId="0" borderId="0" xfId="0" applyNumberFormat="1" applyFont="1" applyProtection="1">
      <protection locked="0"/>
    </xf>
    <xf numFmtId="3" fontId="12" fillId="0" borderId="0" xfId="0" applyNumberFormat="1" applyFont="1" applyProtection="1"/>
    <xf numFmtId="0" fontId="11" fillId="0" borderId="0" xfId="0" applyFont="1" applyProtection="1"/>
    <xf numFmtId="0" fontId="11" fillId="0" borderId="0" xfId="0" applyFont="1" applyBorder="1" applyProtection="1"/>
    <xf numFmtId="9" fontId="12" fillId="0" borderId="0" xfId="0" applyNumberFormat="1" applyFont="1" applyProtection="1">
      <protection locked="0"/>
    </xf>
    <xf numFmtId="214" fontId="12" fillId="0" borderId="0" xfId="0" applyNumberFormat="1" applyFont="1" applyProtection="1">
      <protection locked="0"/>
    </xf>
    <xf numFmtId="0" fontId="11" fillId="0" borderId="0" xfId="0" applyFont="1" applyProtection="1">
      <protection locked="0"/>
    </xf>
    <xf numFmtId="0" fontId="12" fillId="0" borderId="0" xfId="0" applyFont="1"/>
    <xf numFmtId="0" fontId="10" fillId="0" borderId="0" xfId="0" applyFont="1" applyBorder="1" applyProtection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3" fontId="0" fillId="0" borderId="0" xfId="0" applyNumberFormat="1" applyProtection="1">
      <protection locked="0"/>
    </xf>
    <xf numFmtId="3" fontId="15" fillId="0" borderId="0" xfId="0" applyNumberFormat="1" applyFon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16" fillId="0" borderId="0" xfId="0" applyNumberFormat="1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3" fontId="0" fillId="0" borderId="4" xfId="0" applyNumberForma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166" fontId="1" fillId="0" borderId="2" xfId="2" applyNumberFormat="1" applyFont="1" applyBorder="1" applyAlignment="1" applyProtection="1">
      <alignment horizontal="center"/>
      <protection locked="0"/>
    </xf>
    <xf numFmtId="166" fontId="1" fillId="0" borderId="3" xfId="2" applyNumberFormat="1" applyBorder="1" applyAlignment="1" applyProtection="1">
      <alignment horizontal="center"/>
      <protection locked="0"/>
    </xf>
    <xf numFmtId="166" fontId="1" fillId="0" borderId="4" xfId="2" applyNumberFormat="1" applyFont="1" applyBorder="1" applyAlignment="1" applyProtection="1">
      <alignment horizontal="center"/>
      <protection locked="0"/>
    </xf>
    <xf numFmtId="166" fontId="1" fillId="0" borderId="0" xfId="2" applyNumberForma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166" fontId="1" fillId="0" borderId="1" xfId="2" applyNumberFormat="1" applyBorder="1" applyAlignment="1" applyProtection="1">
      <alignment horizontal="center"/>
      <protection locked="0"/>
    </xf>
    <xf numFmtId="166" fontId="11" fillId="0" borderId="4" xfId="2" applyNumberFormat="1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43" fontId="0" fillId="0" borderId="0" xfId="0" applyNumberFormat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0" fillId="0" borderId="0" xfId="0" applyNumberForma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left"/>
      <protection locked="0"/>
    </xf>
    <xf numFmtId="166" fontId="1" fillId="0" borderId="1" xfId="2" applyNumberFormat="1" applyFont="1" applyBorder="1" applyProtection="1">
      <protection locked="0"/>
    </xf>
    <xf numFmtId="0" fontId="10" fillId="0" borderId="0" xfId="0" applyFont="1" applyProtection="1">
      <protection locked="0"/>
    </xf>
    <xf numFmtId="166" fontId="1" fillId="0" borderId="1" xfId="2" applyNumberFormat="1" applyBorder="1" applyProtection="1">
      <protection locked="0"/>
    </xf>
    <xf numFmtId="166" fontId="1" fillId="0" borderId="6" xfId="2" applyNumberFormat="1" applyBorder="1" applyProtection="1">
      <protection locked="0"/>
    </xf>
    <xf numFmtId="166" fontId="1" fillId="0" borderId="4" xfId="2" applyNumberFormat="1" applyBorder="1" applyProtection="1">
      <protection locked="0"/>
    </xf>
    <xf numFmtId="166" fontId="1" fillId="0" borderId="7" xfId="2" applyNumberFormat="1" applyBorder="1" applyProtection="1">
      <protection locked="0"/>
    </xf>
    <xf numFmtId="0" fontId="0" fillId="0" borderId="0" xfId="0" applyProtection="1"/>
    <xf numFmtId="3" fontId="0" fillId="0" borderId="0" xfId="0" applyNumberFormat="1" applyProtection="1"/>
    <xf numFmtId="3" fontId="0" fillId="0" borderId="0" xfId="0" applyNumberFormat="1" applyAlignment="1" applyProtection="1">
      <alignment horizontal="centerContinuous"/>
      <protection locked="0"/>
    </xf>
    <xf numFmtId="3" fontId="18" fillId="0" borderId="0" xfId="0" applyNumberFormat="1" applyFont="1" applyProtection="1">
      <protection locked="0"/>
    </xf>
    <xf numFmtId="3" fontId="7" fillId="0" borderId="0" xfId="0" applyNumberFormat="1" applyFont="1" applyProtection="1">
      <protection locked="0"/>
    </xf>
    <xf numFmtId="3" fontId="16" fillId="0" borderId="0" xfId="0" applyNumberFormat="1" applyFont="1" applyAlignment="1" applyProtection="1">
      <alignment horizontal="center"/>
      <protection locked="0"/>
    </xf>
    <xf numFmtId="3" fontId="6" fillId="0" borderId="1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3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3" fontId="0" fillId="0" borderId="4" xfId="0" applyNumberFormat="1" applyBorder="1" applyProtection="1">
      <protection locked="0"/>
    </xf>
    <xf numFmtId="3" fontId="0" fillId="0" borderId="2" xfId="0" applyNumberFormat="1" applyBorder="1" applyProtection="1">
      <protection locked="0"/>
    </xf>
    <xf numFmtId="3" fontId="0" fillId="0" borderId="2" xfId="0" applyNumberFormat="1" applyBorder="1" applyAlignment="1" applyProtection="1">
      <alignment horizontal="center"/>
      <protection locked="0"/>
    </xf>
    <xf numFmtId="3" fontId="0" fillId="0" borderId="1" xfId="0" applyNumberFormat="1" applyBorder="1" applyProtection="1">
      <protection locked="0"/>
    </xf>
    <xf numFmtId="0" fontId="9" fillId="0" borderId="0" xfId="0" applyFont="1" applyAlignment="1" applyProtection="1">
      <alignment horizontal="centerContinuous"/>
      <protection locked="0"/>
    </xf>
    <xf numFmtId="0" fontId="19" fillId="0" borderId="0" xfId="0" applyFont="1" applyAlignment="1">
      <alignment horizontal="centerContinuous"/>
    </xf>
    <xf numFmtId="0" fontId="19" fillId="0" borderId="0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/>
    <xf numFmtId="0" fontId="19" fillId="0" borderId="11" xfId="0" applyFont="1" applyBorder="1" applyAlignment="1"/>
    <xf numFmtId="0" fontId="19" fillId="0" borderId="11" xfId="0" applyFont="1" applyBorder="1" applyAlignment="1">
      <alignment horizontal="left"/>
    </xf>
    <xf numFmtId="0" fontId="19" fillId="0" borderId="12" xfId="0" applyFont="1" applyBorder="1" applyAlignment="1"/>
    <xf numFmtId="0" fontId="19" fillId="0" borderId="13" xfId="0" applyFont="1" applyBorder="1" applyAlignment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19" fillId="0" borderId="13" xfId="0" applyFont="1" applyBorder="1" applyAlignment="1">
      <alignment horizontal="centerContinuous"/>
    </xf>
    <xf numFmtId="0" fontId="19" fillId="0" borderId="9" xfId="0" applyFont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0" borderId="17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19" fillId="0" borderId="0" xfId="0" applyFont="1" applyBorder="1"/>
    <xf numFmtId="0" fontId="19" fillId="0" borderId="19" xfId="0" applyFont="1" applyBorder="1"/>
    <xf numFmtId="0" fontId="0" fillId="0" borderId="19" xfId="0" applyBorder="1"/>
    <xf numFmtId="0" fontId="19" fillId="0" borderId="18" xfId="0" applyFont="1" applyBorder="1"/>
    <xf numFmtId="0" fontId="0" fillId="0" borderId="18" xfId="0" applyBorder="1"/>
    <xf numFmtId="0" fontId="19" fillId="0" borderId="20" xfId="0" applyFont="1" applyBorder="1"/>
    <xf numFmtId="0" fontId="0" fillId="0" borderId="0" xfId="0" applyBorder="1"/>
    <xf numFmtId="0" fontId="19" fillId="0" borderId="21" xfId="0" applyFont="1" applyBorder="1"/>
    <xf numFmtId="0" fontId="0" fillId="0" borderId="22" xfId="0" applyBorder="1"/>
    <xf numFmtId="0" fontId="0" fillId="0" borderId="23" xfId="0" applyBorder="1"/>
    <xf numFmtId="0" fontId="19" fillId="2" borderId="13" xfId="0" applyFont="1" applyFill="1" applyBorder="1"/>
    <xf numFmtId="0" fontId="19" fillId="2" borderId="11" xfId="0" applyFont="1" applyFill="1" applyBorder="1"/>
    <xf numFmtId="0" fontId="19" fillId="2" borderId="24" xfId="0" applyFont="1" applyFill="1" applyBorder="1"/>
    <xf numFmtId="0" fontId="19" fillId="2" borderId="25" xfId="0" applyFont="1" applyFill="1" applyBorder="1"/>
    <xf numFmtId="0" fontId="19" fillId="2" borderId="26" xfId="0" applyFont="1" applyFill="1" applyBorder="1"/>
    <xf numFmtId="0" fontId="19" fillId="0" borderId="21" xfId="0" applyFont="1" applyFill="1" applyBorder="1"/>
    <xf numFmtId="0" fontId="19" fillId="0" borderId="14" xfId="0" applyFont="1" applyFill="1" applyBorder="1"/>
    <xf numFmtId="0" fontId="19" fillId="0" borderId="17" xfId="0" applyFont="1" applyFill="1" applyBorder="1"/>
    <xf numFmtId="0" fontId="19" fillId="0" borderId="15" xfId="0" applyFont="1" applyFill="1" applyBorder="1"/>
    <xf numFmtId="0" fontId="19" fillId="0" borderId="18" xfId="0" applyFont="1" applyFill="1" applyBorder="1"/>
    <xf numFmtId="0" fontId="19" fillId="0" borderId="19" xfId="0" applyFont="1" applyFill="1" applyBorder="1"/>
    <xf numFmtId="0" fontId="0" fillId="0" borderId="2" xfId="0" applyBorder="1" applyAlignment="1" applyProtection="1">
      <alignment horizontal="centerContinuous"/>
    </xf>
    <xf numFmtId="0" fontId="0" fillId="0" borderId="3" xfId="0" applyBorder="1" applyAlignment="1" applyProtection="1">
      <alignment horizontal="centerContinuous"/>
    </xf>
    <xf numFmtId="0" fontId="0" fillId="0" borderId="4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2" xfId="0" applyBorder="1" applyAlignment="1" applyProtection="1">
      <alignment horizontal="center"/>
    </xf>
    <xf numFmtId="166" fontId="1" fillId="0" borderId="27" xfId="2" applyNumberFormat="1" applyBorder="1" applyProtection="1"/>
    <xf numFmtId="166" fontId="1" fillId="0" borderId="2" xfId="2" applyNumberFormat="1" applyBorder="1" applyProtection="1"/>
    <xf numFmtId="0" fontId="0" fillId="0" borderId="3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228" fontId="1" fillId="0" borderId="0" xfId="2" applyNumberFormat="1" applyFont="1" applyBorder="1" applyAlignment="1" applyProtection="1">
      <alignment horizontal="center"/>
    </xf>
    <xf numFmtId="5" fontId="1" fillId="0" borderId="3" xfId="2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Continuous"/>
    </xf>
    <xf numFmtId="5" fontId="1" fillId="0" borderId="28" xfId="2" applyNumberFormat="1" applyBorder="1" applyAlignment="1" applyProtection="1">
      <alignment horizontal="center"/>
    </xf>
    <xf numFmtId="5" fontId="1" fillId="0" borderId="4" xfId="2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Continuous"/>
    </xf>
    <xf numFmtId="5" fontId="1" fillId="0" borderId="0" xfId="2" applyNumberFormat="1" applyBorder="1" applyAlignment="1" applyProtection="1">
      <alignment horizontal="center"/>
    </xf>
    <xf numFmtId="5" fontId="0" fillId="0" borderId="0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Continuous"/>
    </xf>
    <xf numFmtId="0" fontId="0" fillId="0" borderId="29" xfId="0" applyBorder="1" applyAlignment="1" applyProtection="1"/>
    <xf numFmtId="0" fontId="0" fillId="0" borderId="30" xfId="0" applyBorder="1" applyAlignment="1" applyProtection="1"/>
    <xf numFmtId="5" fontId="0" fillId="0" borderId="31" xfId="0" applyNumberFormat="1" applyBorder="1" applyAlignment="1" applyProtection="1">
      <alignment horizontal="center"/>
    </xf>
    <xf numFmtId="5" fontId="2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Continuous"/>
    </xf>
    <xf numFmtId="0" fontId="11" fillId="0" borderId="9" xfId="0" applyFont="1" applyBorder="1" applyAlignment="1" applyProtection="1">
      <alignment horizontal="right"/>
      <protection locked="0"/>
    </xf>
    <xf numFmtId="171" fontId="0" fillId="0" borderId="0" xfId="0" applyNumberFormat="1" applyProtection="1">
      <protection locked="0"/>
    </xf>
    <xf numFmtId="166" fontId="1" fillId="0" borderId="0" xfId="2" applyNumberFormat="1" applyProtection="1">
      <protection locked="0"/>
    </xf>
    <xf numFmtId="171" fontId="0" fillId="0" borderId="9" xfId="0" applyNumberFormat="1" applyBorder="1" applyProtection="1">
      <protection locked="0"/>
    </xf>
    <xf numFmtId="166" fontId="1" fillId="0" borderId="9" xfId="2" applyNumberFormat="1" applyBorder="1" applyProtection="1">
      <protection locked="0"/>
    </xf>
    <xf numFmtId="171" fontId="1" fillId="0" borderId="0" xfId="2" applyNumberFormat="1" applyProtection="1">
      <protection locked="0"/>
    </xf>
    <xf numFmtId="1" fontId="1" fillId="0" borderId="9" xfId="2" applyNumberFormat="1" applyBorder="1" applyProtection="1">
      <protection locked="0"/>
    </xf>
    <xf numFmtId="0" fontId="0" fillId="0" borderId="0" xfId="0" quotePrefix="1" applyProtection="1">
      <protection locked="0"/>
    </xf>
    <xf numFmtId="171" fontId="11" fillId="0" borderId="9" xfId="0" applyNumberFormat="1" applyFont="1" applyBorder="1" applyProtection="1">
      <protection locked="0"/>
    </xf>
    <xf numFmtId="166" fontId="11" fillId="0" borderId="9" xfId="2" applyNumberFormat="1" applyFont="1" applyBorder="1" applyProtection="1">
      <protection locked="0"/>
    </xf>
    <xf numFmtId="1" fontId="1" fillId="0" borderId="0" xfId="2" applyNumberForma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" fontId="11" fillId="0" borderId="9" xfId="2" applyNumberFormat="1" applyFont="1" applyBorder="1" applyProtection="1">
      <protection locked="0"/>
    </xf>
    <xf numFmtId="166" fontId="11" fillId="0" borderId="0" xfId="2" applyNumberFormat="1" applyFont="1" applyProtection="1">
      <protection locked="0"/>
    </xf>
    <xf numFmtId="22" fontId="0" fillId="0" borderId="0" xfId="0" applyNumberFormat="1" applyProtection="1">
      <protection locked="0"/>
    </xf>
    <xf numFmtId="3" fontId="9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Continuous"/>
    </xf>
    <xf numFmtId="0" fontId="10" fillId="0" borderId="9" xfId="0" applyFont="1" applyBorder="1"/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" fillId="0" borderId="0" xfId="0" applyFont="1"/>
    <xf numFmtId="0" fontId="1" fillId="0" borderId="10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0" fillId="0" borderId="0" xfId="0" quotePrefix="1"/>
    <xf numFmtId="0" fontId="18" fillId="0" borderId="0" xfId="0" applyFont="1" applyProtection="1">
      <protection locked="0"/>
    </xf>
    <xf numFmtId="0" fontId="22" fillId="3" borderId="32" xfId="0" applyFont="1" applyFill="1" applyBorder="1" applyProtection="1">
      <protection locked="0"/>
    </xf>
    <xf numFmtId="0" fontId="22" fillId="3" borderId="33" xfId="0" applyFont="1" applyFill="1" applyBorder="1" applyProtection="1">
      <protection locked="0"/>
    </xf>
    <xf numFmtId="0" fontId="22" fillId="3" borderId="34" xfId="0" applyFont="1" applyFill="1" applyBorder="1" applyProtection="1">
      <protection locked="0"/>
    </xf>
    <xf numFmtId="0" fontId="10" fillId="3" borderId="1" xfId="0" applyFont="1" applyFill="1" applyBorder="1" applyAlignment="1" applyProtection="1">
      <alignment horizontal="centerContinuous" vertical="center"/>
      <protection locked="0"/>
    </xf>
    <xf numFmtId="0" fontId="23" fillId="0" borderId="0" xfId="0" applyFont="1" applyAlignment="1" applyProtection="1">
      <alignment horizontal="left"/>
      <protection locked="0"/>
    </xf>
    <xf numFmtId="3" fontId="9" fillId="4" borderId="27" xfId="0" applyNumberFormat="1" applyFont="1" applyFill="1" applyBorder="1" applyAlignment="1" applyProtection="1">
      <alignment horizontal="left"/>
      <protection locked="0"/>
    </xf>
    <xf numFmtId="0" fontId="22" fillId="4" borderId="27" xfId="0" applyFont="1" applyFill="1" applyBorder="1" applyAlignment="1" applyProtection="1">
      <alignment horizontal="centerContinuous"/>
      <protection locked="0"/>
    </xf>
    <xf numFmtId="0" fontId="24" fillId="4" borderId="35" xfId="0" applyFont="1" applyFill="1" applyBorder="1" applyAlignment="1" applyProtection="1">
      <alignment horizontal="centerContinuous" vertical="center"/>
      <protection locked="0"/>
    </xf>
    <xf numFmtId="0" fontId="25" fillId="4" borderId="6" xfId="0" applyFont="1" applyFill="1" applyBorder="1" applyProtection="1">
      <protection locked="0"/>
    </xf>
    <xf numFmtId="0" fontId="22" fillId="4" borderId="28" xfId="0" applyFont="1" applyFill="1" applyBorder="1" applyProtection="1">
      <protection locked="0"/>
    </xf>
    <xf numFmtId="0" fontId="24" fillId="4" borderId="7" xfId="0" applyFont="1" applyFill="1" applyBorder="1" applyAlignment="1" applyProtection="1">
      <alignment horizontal="centerContinuous" vertical="center"/>
      <protection locked="0"/>
    </xf>
    <xf numFmtId="0" fontId="24" fillId="4" borderId="36" xfId="1" applyFont="1" applyFill="1" applyBorder="1" applyAlignment="1" applyProtection="1">
      <alignment horizontal="left"/>
      <protection locked="0"/>
    </xf>
    <xf numFmtId="0" fontId="18" fillId="4" borderId="37" xfId="0" applyFont="1" applyFill="1" applyBorder="1" applyProtection="1">
      <protection locked="0"/>
    </xf>
    <xf numFmtId="0" fontId="7" fillId="4" borderId="38" xfId="0" applyFont="1" applyFill="1" applyBorder="1" applyProtection="1">
      <protection locked="0"/>
    </xf>
    <xf numFmtId="3" fontId="18" fillId="4" borderId="1" xfId="1" applyNumberFormat="1" applyFont="1" applyFill="1" applyBorder="1" applyProtection="1">
      <protection locked="0"/>
    </xf>
    <xf numFmtId="9" fontId="11" fillId="4" borderId="1" xfId="6" applyFont="1" applyFill="1" applyBorder="1" applyProtection="1">
      <protection locked="0"/>
    </xf>
    <xf numFmtId="0" fontId="7" fillId="0" borderId="0" xfId="1" applyProtection="1">
      <protection locked="0"/>
    </xf>
    <xf numFmtId="0" fontId="0" fillId="0" borderId="39" xfId="0" applyBorder="1" applyProtection="1">
      <protection locked="0"/>
    </xf>
    <xf numFmtId="0" fontId="0" fillId="0" borderId="8" xfId="0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18" fillId="3" borderId="40" xfId="1" applyFont="1" applyFill="1" applyBorder="1" applyAlignment="1" applyProtection="1">
      <alignment horizontal="right"/>
      <protection locked="0"/>
    </xf>
    <xf numFmtId="3" fontId="18" fillId="5" borderId="1" xfId="1" applyNumberFormat="1" applyFont="1" applyFill="1" applyBorder="1" applyProtection="1">
      <protection locked="0"/>
    </xf>
    <xf numFmtId="0" fontId="24" fillId="4" borderId="41" xfId="1" applyFont="1" applyFill="1" applyBorder="1" applyAlignment="1" applyProtection="1">
      <alignment horizontal="left"/>
      <protection locked="0"/>
    </xf>
    <xf numFmtId="0" fontId="18" fillId="4" borderId="11" xfId="0" applyFont="1" applyFill="1" applyBorder="1" applyProtection="1">
      <protection locked="0"/>
    </xf>
    <xf numFmtId="0" fontId="7" fillId="4" borderId="13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9" fontId="11" fillId="4" borderId="1" xfId="0" applyNumberFormat="1" applyFont="1" applyFill="1" applyBorder="1" applyProtection="1">
      <protection locked="0"/>
    </xf>
    <xf numFmtId="0" fontId="7" fillId="4" borderId="31" xfId="0" applyFont="1" applyFill="1" applyBorder="1" applyProtection="1">
      <protection locked="0"/>
    </xf>
    <xf numFmtId="0" fontId="7" fillId="0" borderId="0" xfId="1" applyNumberFormat="1" applyProtection="1">
      <protection locked="0"/>
    </xf>
    <xf numFmtId="0" fontId="0" fillId="0" borderId="39" xfId="0" applyFill="1" applyBorder="1" applyProtection="1"/>
    <xf numFmtId="0" fontId="0" fillId="0" borderId="0" xfId="0" applyFill="1" applyBorder="1" applyProtection="1"/>
    <xf numFmtId="0" fontId="18" fillId="4" borderId="41" xfId="1" applyFont="1" applyFill="1" applyBorder="1" applyAlignment="1" applyProtection="1">
      <alignment horizontal="left"/>
      <protection locked="0"/>
    </xf>
    <xf numFmtId="0" fontId="7" fillId="4" borderId="11" xfId="1" applyFill="1" applyBorder="1" applyProtection="1">
      <protection locked="0"/>
    </xf>
    <xf numFmtId="0" fontId="18" fillId="4" borderId="13" xfId="1" applyFont="1" applyFill="1" applyBorder="1" applyAlignment="1" applyProtection="1">
      <alignment horizontal="right"/>
      <protection locked="0"/>
    </xf>
    <xf numFmtId="0" fontId="12" fillId="0" borderId="39" xfId="0" applyFont="1" applyBorder="1" applyProtection="1">
      <protection locked="0"/>
    </xf>
    <xf numFmtId="0" fontId="12" fillId="0" borderId="8" xfId="0" applyFont="1" applyBorder="1" applyProtection="1">
      <protection locked="0"/>
    </xf>
    <xf numFmtId="3" fontId="12" fillId="5" borderId="1" xfId="0" applyNumberFormat="1" applyFont="1" applyFill="1" applyBorder="1" applyProtection="1">
      <protection locked="0"/>
    </xf>
    <xf numFmtId="3" fontId="11" fillId="5" borderId="1" xfId="1" applyNumberFormat="1" applyFont="1" applyFill="1" applyBorder="1" applyProtection="1">
      <protection locked="0"/>
    </xf>
    <xf numFmtId="0" fontId="26" fillId="3" borderId="40" xfId="1" applyFont="1" applyFill="1" applyBorder="1" applyAlignment="1" applyProtection="1">
      <alignment horizontal="right"/>
      <protection locked="0"/>
    </xf>
    <xf numFmtId="3" fontId="26" fillId="5" borderId="1" xfId="1" applyNumberFormat="1" applyFont="1" applyFill="1" applyBorder="1" applyProtection="1">
      <protection locked="0"/>
    </xf>
    <xf numFmtId="0" fontId="11" fillId="0" borderId="3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11" fillId="0" borderId="8" xfId="0" applyFont="1" applyBorder="1" applyProtection="1">
      <protection locked="0"/>
    </xf>
    <xf numFmtId="3" fontId="11" fillId="5" borderId="1" xfId="0" applyNumberFormat="1" applyFont="1" applyFill="1" applyBorder="1" applyProtection="1">
      <protection locked="0"/>
    </xf>
    <xf numFmtId="6" fontId="11" fillId="0" borderId="8" xfId="0" applyNumberFormat="1" applyFont="1" applyBorder="1" applyProtection="1">
      <protection locked="0"/>
    </xf>
    <xf numFmtId="6" fontId="11" fillId="0" borderId="8" xfId="0" applyNumberFormat="1" applyFont="1" applyBorder="1" applyAlignment="1" applyProtection="1">
      <alignment horizontal="left"/>
      <protection locked="0"/>
    </xf>
    <xf numFmtId="0" fontId="1" fillId="0" borderId="0" xfId="5" applyFont="1" applyBorder="1"/>
    <xf numFmtId="5" fontId="1" fillId="0" borderId="0" xfId="5" applyNumberFormat="1" applyFont="1" applyBorder="1"/>
    <xf numFmtId="0" fontId="11" fillId="0" borderId="39" xfId="5" applyFont="1" applyBorder="1"/>
    <xf numFmtId="0" fontId="11" fillId="0" borderId="0" xfId="5" applyFont="1" applyBorder="1"/>
    <xf numFmtId="5" fontId="11" fillId="0" borderId="0" xfId="5" applyNumberFormat="1" applyFont="1" applyBorder="1"/>
    <xf numFmtId="0" fontId="27" fillId="0" borderId="39" xfId="0" applyFont="1" applyBorder="1" applyProtection="1">
      <protection locked="0"/>
    </xf>
    <xf numFmtId="9" fontId="11" fillId="0" borderId="0" xfId="0" applyNumberFormat="1" applyFont="1" applyBorder="1" applyProtection="1">
      <protection locked="0"/>
    </xf>
    <xf numFmtId="0" fontId="11" fillId="0" borderId="42" xfId="0" applyFont="1" applyBorder="1" applyProtection="1">
      <protection locked="0"/>
    </xf>
    <xf numFmtId="0" fontId="11" fillId="0" borderId="9" xfId="0" applyFont="1" applyBorder="1" applyProtection="1">
      <protection locked="0"/>
    </xf>
    <xf numFmtId="0" fontId="24" fillId="3" borderId="40" xfId="1" applyFont="1" applyFill="1" applyBorder="1" applyAlignment="1" applyProtection="1">
      <alignment horizontal="right"/>
      <protection locked="0"/>
    </xf>
    <xf numFmtId="3" fontId="24" fillId="5" borderId="1" xfId="1" applyNumberFormat="1" applyFont="1" applyFill="1" applyBorder="1" applyProtection="1">
      <protection locked="0"/>
    </xf>
    <xf numFmtId="0" fontId="0" fillId="0" borderId="42" xfId="0" applyBorder="1" applyProtection="1">
      <protection locked="0"/>
    </xf>
    <xf numFmtId="0" fontId="0" fillId="0" borderId="9" xfId="0" applyBorder="1" applyProtection="1">
      <protection locked="0"/>
    </xf>
    <xf numFmtId="9" fontId="0" fillId="0" borderId="8" xfId="0" applyNumberFormat="1" applyBorder="1" applyProtection="1">
      <protection locked="0"/>
    </xf>
    <xf numFmtId="9" fontId="1" fillId="5" borderId="1" xfId="6" applyFill="1" applyBorder="1" applyProtection="1">
      <protection locked="0"/>
    </xf>
    <xf numFmtId="9" fontId="18" fillId="5" borderId="1" xfId="6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0" fillId="0" borderId="28" xfId="0" applyBorder="1" applyProtection="1">
      <protection locked="0"/>
    </xf>
    <xf numFmtId="0" fontId="18" fillId="3" borderId="43" xfId="1" applyFont="1" applyFill="1" applyBorder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0" fillId="0" borderId="5" xfId="0" applyBorder="1"/>
    <xf numFmtId="0" fontId="0" fillId="0" borderId="2" xfId="0" applyBorder="1"/>
    <xf numFmtId="0" fontId="16" fillId="0" borderId="0" xfId="0" applyFont="1" applyBorder="1" applyAlignment="1" applyProtection="1">
      <alignment horizontal="center"/>
      <protection locked="0"/>
    </xf>
    <xf numFmtId="3" fontId="6" fillId="0" borderId="6" xfId="0" applyNumberFormat="1" applyFont="1" applyBorder="1" applyAlignment="1" applyProtection="1">
      <alignment horizontal="centerContinuous"/>
      <protection locked="0"/>
    </xf>
    <xf numFmtId="3" fontId="6" fillId="0" borderId="4" xfId="0" applyNumberFormat="1" applyFont="1" applyBorder="1" applyAlignment="1" applyProtection="1">
      <alignment horizontal="center"/>
      <protection locked="0"/>
    </xf>
    <xf numFmtId="0" fontId="0" fillId="0" borderId="35" xfId="0" applyBorder="1" applyProtection="1">
      <protection locked="0"/>
    </xf>
    <xf numFmtId="3" fontId="0" fillId="0" borderId="8" xfId="0" applyNumberFormat="1" applyBorder="1" applyProtection="1">
      <protection locked="0"/>
    </xf>
    <xf numFmtId="0" fontId="6" fillId="0" borderId="0" xfId="0" quotePrefix="1" applyFont="1" applyBorder="1" applyProtection="1">
      <protection locked="0"/>
    </xf>
    <xf numFmtId="166" fontId="1" fillId="0" borderId="0" xfId="2" applyNumberFormat="1" applyBorder="1" applyProtection="1"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 applyProtection="1">
      <alignment horizontal="centerContinuous"/>
      <protection locked="0"/>
    </xf>
    <xf numFmtId="0" fontId="0" fillId="0" borderId="4" xfId="0" applyBorder="1" applyAlignment="1">
      <alignment horizontal="center"/>
    </xf>
    <xf numFmtId="0" fontId="0" fillId="0" borderId="4" xfId="0" applyBorder="1" applyAlignment="1" applyProtection="1">
      <alignment horizontal="centerContinuous"/>
      <protection locked="0"/>
    </xf>
    <xf numFmtId="0" fontId="0" fillId="0" borderId="4" xfId="0" applyBorder="1" applyAlignment="1">
      <alignment horizontal="centerContinuous"/>
    </xf>
    <xf numFmtId="0" fontId="18" fillId="0" borderId="0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228" fontId="0" fillId="0" borderId="3" xfId="0" applyNumberFormat="1" applyBorder="1" applyAlignment="1">
      <alignment horizontal="center"/>
    </xf>
    <xf numFmtId="228" fontId="1" fillId="0" borderId="3" xfId="2" applyNumberFormat="1" applyBorder="1"/>
    <xf numFmtId="228" fontId="1" fillId="0" borderId="3" xfId="2" applyNumberFormat="1" applyBorder="1" applyAlignment="1">
      <alignment horizontal="center"/>
    </xf>
    <xf numFmtId="278" fontId="0" fillId="0" borderId="3" xfId="0" applyNumberFormat="1" applyBorder="1" applyAlignment="1">
      <alignment horizontal="center"/>
    </xf>
    <xf numFmtId="228" fontId="0" fillId="0" borderId="3" xfId="0" applyNumberForma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1" fillId="0" borderId="4" xfId="0" applyFont="1" applyBorder="1" applyAlignment="1">
      <alignment horizontal="center"/>
    </xf>
    <xf numFmtId="228" fontId="11" fillId="0" borderId="3" xfId="0" applyNumberFormat="1" applyFont="1" applyBorder="1" applyAlignment="1">
      <alignment horizontal="centerContinuous"/>
    </xf>
    <xf numFmtId="228" fontId="0" fillId="0" borderId="3" xfId="0" applyNumberFormat="1" applyBorder="1"/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228" fontId="0" fillId="0" borderId="1" xfId="0" applyNumberFormat="1" applyBorder="1"/>
    <xf numFmtId="228" fontId="6" fillId="0" borderId="1" xfId="2" applyNumberFormat="1" applyFont="1" applyBorder="1"/>
    <xf numFmtId="0" fontId="0" fillId="0" borderId="0" xfId="0" applyBorder="1" applyAlignment="1">
      <alignment horizontal="center"/>
    </xf>
    <xf numFmtId="166" fontId="1" fillId="0" borderId="0" xfId="2" applyNumberFormat="1" applyBorder="1"/>
    <xf numFmtId="43" fontId="1" fillId="0" borderId="0" xfId="2" applyNumberFormat="1" applyBorder="1"/>
    <xf numFmtId="0" fontId="28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5" borderId="0" xfId="0" applyFill="1" applyAlignment="1" applyProtection="1">
      <alignment horizontal="center"/>
    </xf>
    <xf numFmtId="5" fontId="0" fillId="0" borderId="0" xfId="0" applyNumberFormat="1" applyAlignment="1" applyProtection="1">
      <alignment horizontal="center"/>
    </xf>
    <xf numFmtId="0" fontId="28" fillId="0" borderId="0" xfId="0" applyFont="1" applyProtection="1"/>
    <xf numFmtId="0" fontId="11" fillId="0" borderId="44" xfId="0" applyFont="1" applyBorder="1" applyProtection="1"/>
    <xf numFmtId="230" fontId="11" fillId="0" borderId="44" xfId="0" applyNumberFormat="1" applyFont="1" applyBorder="1" applyProtection="1"/>
    <xf numFmtId="0" fontId="10" fillId="0" borderId="45" xfId="0" applyFont="1" applyBorder="1" applyAlignment="1" applyProtection="1">
      <alignment horizontal="center"/>
    </xf>
    <xf numFmtId="230" fontId="10" fillId="0" borderId="46" xfId="0" applyNumberFormat="1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0" fillId="0" borderId="47" xfId="0" applyFont="1" applyBorder="1" applyAlignment="1" applyProtection="1">
      <alignment horizontal="center"/>
    </xf>
    <xf numFmtId="0" fontId="0" fillId="0" borderId="48" xfId="0" applyBorder="1" applyProtection="1"/>
    <xf numFmtId="0" fontId="10" fillId="0" borderId="49" xfId="0" applyFont="1" applyBorder="1" applyAlignment="1" applyProtection="1">
      <alignment horizontal="center"/>
    </xf>
    <xf numFmtId="0" fontId="10" fillId="0" borderId="50" xfId="0" applyFont="1" applyBorder="1" applyAlignment="1" applyProtection="1">
      <alignment horizontal="center"/>
    </xf>
    <xf numFmtId="9" fontId="10" fillId="0" borderId="50" xfId="0" applyNumberFormat="1" applyFont="1" applyBorder="1" applyAlignment="1" applyProtection="1">
      <alignment horizontal="center"/>
    </xf>
    <xf numFmtId="9" fontId="10" fillId="0" borderId="0" xfId="0" applyNumberFormat="1" applyFont="1" applyBorder="1" applyAlignment="1" applyProtection="1">
      <alignment horizontal="center"/>
    </xf>
    <xf numFmtId="0" fontId="0" fillId="0" borderId="51" xfId="0" applyBorder="1" applyProtection="1"/>
    <xf numFmtId="0" fontId="10" fillId="0" borderId="0" xfId="0" applyFont="1" applyBorder="1" applyAlignment="1" applyProtection="1">
      <alignment horizontal="center"/>
    </xf>
    <xf numFmtId="230" fontId="10" fillId="0" borderId="50" xfId="0" applyNumberFormat="1" applyFont="1" applyBorder="1" applyAlignment="1" applyProtection="1">
      <alignment horizontal="center"/>
    </xf>
    <xf numFmtId="0" fontId="29" fillId="0" borderId="51" xfId="0" applyFont="1" applyBorder="1" applyAlignment="1" applyProtection="1">
      <alignment horizontal="center"/>
    </xf>
    <xf numFmtId="10" fontId="30" fillId="5" borderId="0" xfId="6" applyNumberFormat="1" applyFont="1" applyFill="1" applyBorder="1" applyAlignment="1" applyProtection="1">
      <alignment horizontal="center"/>
    </xf>
    <xf numFmtId="230" fontId="10" fillId="0" borderId="0" xfId="0" applyNumberFormat="1" applyFont="1" applyBorder="1" applyAlignment="1" applyProtection="1">
      <alignment horizontal="center"/>
    </xf>
    <xf numFmtId="0" fontId="0" fillId="0" borderId="52" xfId="0" applyBorder="1" applyProtection="1"/>
    <xf numFmtId="0" fontId="32" fillId="0" borderId="10" xfId="0" applyFont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230" fontId="10" fillId="0" borderId="10" xfId="0" applyNumberFormat="1" applyFont="1" applyBorder="1" applyAlignment="1" applyProtection="1">
      <alignment horizontal="center"/>
    </xf>
    <xf numFmtId="0" fontId="0" fillId="0" borderId="10" xfId="0" applyBorder="1" applyProtection="1"/>
    <xf numFmtId="0" fontId="0" fillId="0" borderId="10" xfId="0" applyBorder="1" applyAlignment="1" applyProtection="1">
      <alignment horizontal="left"/>
    </xf>
    <xf numFmtId="39" fontId="33" fillId="5" borderId="10" xfId="0" applyNumberFormat="1" applyFont="1" applyFill="1" applyBorder="1" applyProtection="1"/>
    <xf numFmtId="230" fontId="11" fillId="0" borderId="10" xfId="0" applyNumberFormat="1" applyFont="1" applyBorder="1" applyProtection="1"/>
    <xf numFmtId="166" fontId="11" fillId="0" borderId="10" xfId="2" applyNumberFormat="1" applyFont="1" applyBorder="1" applyProtection="1"/>
    <xf numFmtId="0" fontId="34" fillId="0" borderId="10" xfId="0" applyFont="1" applyBorder="1" applyAlignment="1" applyProtection="1">
      <alignment horizontal="left"/>
    </xf>
    <xf numFmtId="39" fontId="33" fillId="5" borderId="0" xfId="0" applyNumberFormat="1" applyFont="1" applyFill="1" applyProtection="1"/>
    <xf numFmtId="39" fontId="11" fillId="0" borderId="0" xfId="0" applyNumberFormat="1" applyFont="1" applyProtection="1"/>
    <xf numFmtId="0" fontId="10" fillId="0" borderId="48" xfId="0" applyFont="1" applyBorder="1" applyAlignment="1" applyProtection="1">
      <alignment horizontal="center"/>
    </xf>
    <xf numFmtId="0" fontId="10" fillId="0" borderId="51" xfId="0" applyFont="1" applyBorder="1" applyAlignment="1" applyProtection="1">
      <alignment horizontal="center"/>
    </xf>
    <xf numFmtId="10" fontId="10" fillId="0" borderId="50" xfId="6" applyNumberFormat="1" applyFont="1" applyBorder="1" applyAlignment="1" applyProtection="1">
      <alignment horizontal="center"/>
    </xf>
    <xf numFmtId="44" fontId="10" fillId="0" borderId="50" xfId="6" applyNumberFormat="1" applyFont="1" applyBorder="1" applyAlignment="1" applyProtection="1">
      <alignment horizontal="center"/>
    </xf>
    <xf numFmtId="230" fontId="10" fillId="0" borderId="52" xfId="0" applyNumberFormat="1" applyFont="1" applyBorder="1" applyAlignment="1" applyProtection="1">
      <alignment horizontal="center"/>
    </xf>
    <xf numFmtId="39" fontId="11" fillId="0" borderId="10" xfId="0" applyNumberFormat="1" applyFont="1" applyBorder="1" applyProtection="1"/>
    <xf numFmtId="14" fontId="12" fillId="0" borderId="0" xfId="0" applyNumberFormat="1" applyFont="1" applyProtection="1">
      <protection locked="0"/>
    </xf>
    <xf numFmtId="0" fontId="35" fillId="3" borderId="32" xfId="0" applyFont="1" applyFill="1" applyBorder="1" applyProtection="1">
      <protection locked="0"/>
    </xf>
    <xf numFmtId="0" fontId="35" fillId="3" borderId="33" xfId="0" applyFont="1" applyFill="1" applyBorder="1" applyProtection="1">
      <protection locked="0"/>
    </xf>
    <xf numFmtId="0" fontId="35" fillId="3" borderId="34" xfId="0" applyFont="1" applyFill="1" applyBorder="1" applyProtection="1">
      <protection locked="0"/>
    </xf>
    <xf numFmtId="0" fontId="36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/>
      <protection locked="0"/>
    </xf>
    <xf numFmtId="3" fontId="37" fillId="4" borderId="27" xfId="0" applyNumberFormat="1" applyFont="1" applyFill="1" applyBorder="1" applyAlignment="1" applyProtection="1">
      <alignment horizontal="left"/>
      <protection locked="0"/>
    </xf>
    <xf numFmtId="0" fontId="12" fillId="4" borderId="27" xfId="0" applyFont="1" applyFill="1" applyBorder="1" applyAlignment="1" applyProtection="1">
      <alignment horizontal="centerContinuous"/>
      <protection locked="0"/>
    </xf>
    <xf numFmtId="0" fontId="26" fillId="4" borderId="27" xfId="1" applyFont="1" applyFill="1" applyBorder="1" applyAlignment="1" applyProtection="1">
      <alignment horizontal="centerContinuous"/>
      <protection locked="0"/>
    </xf>
    <xf numFmtId="0" fontId="38" fillId="0" borderId="0" xfId="1" applyFont="1" applyProtection="1">
      <protection locked="0"/>
    </xf>
    <xf numFmtId="0" fontId="37" fillId="4" borderId="6" xfId="0" applyFont="1" applyFill="1" applyBorder="1" applyProtection="1">
      <protection locked="0"/>
    </xf>
    <xf numFmtId="0" fontId="12" fillId="4" borderId="28" xfId="0" applyFont="1" applyFill="1" applyBorder="1" applyProtection="1">
      <protection locked="0"/>
    </xf>
    <xf numFmtId="0" fontId="26" fillId="4" borderId="28" xfId="1" applyFont="1" applyFill="1" applyBorder="1" applyAlignment="1" applyProtection="1">
      <alignment horizontal="right"/>
      <protection locked="0"/>
    </xf>
    <xf numFmtId="0" fontId="26" fillId="4" borderId="36" xfId="1" applyFont="1" applyFill="1" applyBorder="1" applyAlignment="1" applyProtection="1">
      <alignment horizontal="left"/>
      <protection locked="0"/>
    </xf>
    <xf numFmtId="0" fontId="38" fillId="4" borderId="37" xfId="1" applyFont="1" applyFill="1" applyBorder="1" applyProtection="1">
      <protection locked="0"/>
    </xf>
    <xf numFmtId="0" fontId="26" fillId="4" borderId="38" xfId="1" applyFont="1" applyFill="1" applyBorder="1" applyAlignment="1" applyProtection="1">
      <alignment horizontal="right"/>
      <protection locked="0"/>
    </xf>
    <xf numFmtId="3" fontId="26" fillId="4" borderId="1" xfId="1" applyNumberFormat="1" applyFont="1" applyFill="1" applyBorder="1" applyProtection="1">
      <protection locked="0"/>
    </xf>
    <xf numFmtId="166" fontId="12" fillId="0" borderId="8" xfId="2" applyNumberFormat="1" applyFont="1" applyBorder="1" applyProtection="1">
      <protection locked="0"/>
    </xf>
    <xf numFmtId="166" fontId="12" fillId="0" borderId="0" xfId="2" applyNumberFormat="1" applyFont="1" applyProtection="1">
      <protection locked="0"/>
    </xf>
    <xf numFmtId="0" fontId="26" fillId="4" borderId="41" xfId="1" applyFont="1" applyFill="1" applyBorder="1" applyAlignment="1" applyProtection="1">
      <alignment horizontal="left"/>
      <protection locked="0"/>
    </xf>
    <xf numFmtId="0" fontId="38" fillId="4" borderId="11" xfId="1" applyFont="1" applyFill="1" applyBorder="1" applyProtection="1">
      <protection locked="0"/>
    </xf>
    <xf numFmtId="0" fontId="26" fillId="4" borderId="13" xfId="1" applyFont="1" applyFill="1" applyBorder="1" applyAlignment="1" applyProtection="1">
      <alignment horizontal="right"/>
      <protection locked="0"/>
    </xf>
    <xf numFmtId="9" fontId="12" fillId="0" borderId="8" xfId="6" applyFont="1" applyBorder="1" applyProtection="1">
      <protection locked="0"/>
    </xf>
    <xf numFmtId="9" fontId="12" fillId="0" borderId="8" xfId="0" applyNumberFormat="1" applyFont="1" applyBorder="1" applyProtection="1">
      <protection locked="0"/>
    </xf>
    <xf numFmtId="6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 applyBorder="1" applyProtection="1">
      <protection locked="0"/>
    </xf>
    <xf numFmtId="3" fontId="38" fillId="0" borderId="0" xfId="1" applyNumberFormat="1" applyFont="1" applyProtection="1">
      <protection locked="0"/>
    </xf>
    <xf numFmtId="0" fontId="26" fillId="4" borderId="53" xfId="1" applyFont="1" applyFill="1" applyBorder="1" applyAlignment="1" applyProtection="1">
      <alignment horizontal="left"/>
      <protection locked="0"/>
    </xf>
    <xf numFmtId="0" fontId="38" fillId="4" borderId="10" xfId="1" applyFont="1" applyFill="1" applyBorder="1" applyProtection="1">
      <protection locked="0"/>
    </xf>
    <xf numFmtId="0" fontId="26" fillId="4" borderId="40" xfId="1" applyFont="1" applyFill="1" applyBorder="1" applyAlignment="1" applyProtection="1">
      <alignment horizontal="right"/>
      <protection locked="0"/>
    </xf>
    <xf numFmtId="44" fontId="12" fillId="0" borderId="8" xfId="3" applyFont="1" applyBorder="1" applyProtection="1">
      <protection locked="0"/>
    </xf>
    <xf numFmtId="6" fontId="12" fillId="0" borderId="8" xfId="0" applyNumberFormat="1" applyFont="1" applyBorder="1" applyProtection="1">
      <protection locked="0"/>
    </xf>
    <xf numFmtId="0" fontId="26" fillId="3" borderId="43" xfId="1" applyFont="1" applyFill="1" applyBorder="1" applyAlignment="1" applyProtection="1">
      <alignment horizontal="right"/>
      <protection locked="0"/>
    </xf>
    <xf numFmtId="0" fontId="13" fillId="0" borderId="39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2" fillId="0" borderId="28" xfId="0" applyFont="1" applyBorder="1" applyProtection="1">
      <protection locked="0"/>
    </xf>
    <xf numFmtId="41" fontId="12" fillId="0" borderId="0" xfId="0" applyNumberFormat="1" applyFont="1" applyAlignment="1" applyProtection="1">
      <alignment horizontal="right"/>
      <protection locked="0"/>
    </xf>
    <xf numFmtId="0" fontId="38" fillId="0" borderId="0" xfId="0" applyFont="1" applyProtection="1">
      <protection locked="0"/>
    </xf>
    <xf numFmtId="3" fontId="39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40" fillId="0" borderId="5" xfId="0" applyFont="1" applyBorder="1"/>
    <xf numFmtId="0" fontId="0" fillId="0" borderId="27" xfId="0" applyBorder="1"/>
    <xf numFmtId="0" fontId="40" fillId="0" borderId="1" xfId="0" applyFont="1" applyBorder="1" applyAlignment="1">
      <alignment horizontal="center"/>
    </xf>
    <xf numFmtId="0" fontId="40" fillId="0" borderId="27" xfId="0" applyFont="1" applyBorder="1"/>
    <xf numFmtId="0" fontId="0" fillId="0" borderId="35" xfId="0" applyBorder="1"/>
    <xf numFmtId="0" fontId="40" fillId="0" borderId="39" xfId="0" applyFont="1" applyBorder="1"/>
    <xf numFmtId="228" fontId="41" fillId="0" borderId="0" xfId="0" applyNumberFormat="1" applyFont="1" applyBorder="1" applyAlignment="1">
      <alignment horizontal="right"/>
    </xf>
    <xf numFmtId="0" fontId="25" fillId="0" borderId="0" xfId="0" applyFont="1" applyBorder="1"/>
    <xf numFmtId="0" fontId="0" fillId="0" borderId="8" xfId="0" applyBorder="1"/>
    <xf numFmtId="0" fontId="0" fillId="0" borderId="39" xfId="0" applyBorder="1"/>
    <xf numFmtId="0" fontId="23" fillId="0" borderId="0" xfId="0" applyFont="1" applyBorder="1"/>
    <xf numFmtId="228" fontId="41" fillId="0" borderId="0" xfId="0" applyNumberFormat="1" applyFont="1" applyBorder="1" applyAlignment="1"/>
    <xf numFmtId="278" fontId="41" fillId="0" borderId="54" xfId="0" applyNumberFormat="1" applyFont="1" applyBorder="1" applyAlignment="1">
      <alignment horizontal="center"/>
    </xf>
    <xf numFmtId="0" fontId="0" fillId="0" borderId="6" xfId="0" applyBorder="1"/>
    <xf numFmtId="0" fontId="0" fillId="0" borderId="28" xfId="0" applyBorder="1"/>
    <xf numFmtId="0" fontId="0" fillId="0" borderId="7" xfId="0" applyBorder="1"/>
    <xf numFmtId="0" fontId="28" fillId="0" borderId="39" xfId="0" applyFont="1" applyBorder="1"/>
    <xf numFmtId="228" fontId="0" fillId="0" borderId="0" xfId="0" applyNumberFormat="1" applyBorder="1" applyAlignment="1">
      <alignment horizontal="center"/>
    </xf>
    <xf numFmtId="228" fontId="28" fillId="0" borderId="52" xfId="0" applyNumberFormat="1" applyFont="1" applyBorder="1" applyAlignment="1">
      <alignment horizontal="center"/>
    </xf>
    <xf numFmtId="228" fontId="0" fillId="0" borderId="27" xfId="0" applyNumberFormat="1" applyBorder="1" applyAlignment="1">
      <alignment horizontal="center"/>
    </xf>
    <xf numFmtId="0" fontId="6" fillId="0" borderId="39" xfId="4" applyNumberFormat="1" applyFont="1" applyBorder="1"/>
    <xf numFmtId="0" fontId="1" fillId="0" borderId="0" xfId="4" applyNumberFormat="1" applyBorder="1" applyAlignment="1">
      <alignment horizontal="center"/>
    </xf>
    <xf numFmtId="0" fontId="1" fillId="0" borderId="0" xfId="4" applyNumberFormat="1" applyBorder="1"/>
    <xf numFmtId="6" fontId="10" fillId="6" borderId="10" xfId="4" applyNumberFormat="1" applyFont="1" applyFill="1" applyBorder="1" applyAlignment="1">
      <alignment horizontal="right"/>
    </xf>
    <xf numFmtId="0" fontId="10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10" fillId="0" borderId="0" xfId="4" applyNumberFormat="1" applyFont="1" applyBorder="1" applyAlignment="1">
      <alignment horizontal="left"/>
    </xf>
    <xf numFmtId="6" fontId="42" fillId="6" borderId="10" xfId="4" applyNumberFormat="1" applyFont="1" applyFill="1" applyBorder="1" applyAlignment="1">
      <alignment horizontal="right"/>
    </xf>
    <xf numFmtId="0" fontId="11" fillId="0" borderId="0" xfId="4" applyNumberFormat="1" applyFont="1" applyBorder="1" applyAlignment="1">
      <alignment horizontal="left"/>
    </xf>
    <xf numFmtId="0" fontId="0" fillId="0" borderId="39" xfId="0" applyBorder="1" applyAlignment="1">
      <alignment horizontal="right"/>
    </xf>
    <xf numFmtId="9" fontId="10" fillId="0" borderId="0" xfId="0" applyNumberFormat="1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3" fontId="0" fillId="0" borderId="10" xfId="0" applyNumberFormat="1" applyBorder="1" applyAlignment="1">
      <alignment horizontal="center"/>
    </xf>
    <xf numFmtId="228" fontId="0" fillId="0" borderId="10" xfId="0" applyNumberFormat="1" applyBorder="1" applyAlignment="1">
      <alignment horizontal="center"/>
    </xf>
    <xf numFmtId="0" fontId="43" fillId="0" borderId="39" xfId="0" applyFont="1" applyBorder="1" applyAlignment="1">
      <alignment horizontal="right"/>
    </xf>
    <xf numFmtId="228" fontId="43" fillId="0" borderId="0" xfId="0" applyNumberFormat="1" applyFont="1" applyBorder="1" applyAlignment="1">
      <alignment horizontal="center"/>
    </xf>
    <xf numFmtId="228" fontId="10" fillId="0" borderId="1" xfId="0" applyNumberFormat="1" applyFont="1" applyBorder="1"/>
    <xf numFmtId="0" fontId="44" fillId="0" borderId="39" xfId="0" applyFont="1" applyBorder="1"/>
    <xf numFmtId="228" fontId="0" fillId="0" borderId="8" xfId="0" applyNumberFormat="1" applyBorder="1"/>
    <xf numFmtId="0" fontId="40" fillId="0" borderId="4" xfId="0" applyFont="1" applyBorder="1" applyAlignment="1">
      <alignment horizontal="center"/>
    </xf>
    <xf numFmtId="0" fontId="40" fillId="0" borderId="0" xfId="0" applyFont="1" applyBorder="1"/>
    <xf numFmtId="228" fontId="41" fillId="0" borderId="54" xfId="0" applyNumberFormat="1" applyFont="1" applyBorder="1" applyAlignment="1">
      <alignment horizontal="center"/>
    </xf>
    <xf numFmtId="0" fontId="28" fillId="0" borderId="5" xfId="0" applyFont="1" applyBorder="1"/>
    <xf numFmtId="228" fontId="28" fillId="0" borderId="27" xfId="0" applyNumberFormat="1" applyFont="1" applyBorder="1" applyAlignment="1">
      <alignment horizontal="center"/>
    </xf>
    <xf numFmtId="6" fontId="0" fillId="0" borderId="0" xfId="0" applyNumberFormat="1" applyProtection="1">
      <protection locked="0"/>
    </xf>
    <xf numFmtId="1" fontId="0" fillId="0" borderId="0" xfId="0" applyNumberFormat="1"/>
    <xf numFmtId="0" fontId="10" fillId="0" borderId="42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10" fontId="31" fillId="5" borderId="52" xfId="6" applyNumberFormat="1" applyFont="1" applyFill="1" applyBorder="1" applyAlignment="1" applyProtection="1">
      <alignment horizontal="center"/>
    </xf>
    <xf numFmtId="3" fontId="0" fillId="0" borderId="0" xfId="0" applyNumberFormat="1" applyBorder="1" applyAlignment="1">
      <alignment horizontal="center"/>
    </xf>
    <xf numFmtId="44" fontId="0" fillId="0" borderId="8" xfId="3" applyFont="1" applyBorder="1" applyAlignment="1">
      <alignment horizontal="center"/>
    </xf>
    <xf numFmtId="3" fontId="0" fillId="0" borderId="0" xfId="0" applyNumberFormat="1" applyBorder="1"/>
    <xf numFmtId="44" fontId="0" fillId="0" borderId="8" xfId="3" applyFont="1" applyBorder="1"/>
    <xf numFmtId="44" fontId="0" fillId="0" borderId="1" xfId="0" applyNumberFormat="1" applyBorder="1"/>
    <xf numFmtId="3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Continuous"/>
    </xf>
    <xf numFmtId="3" fontId="11" fillId="0" borderId="3" xfId="0" applyNumberFormat="1" applyFont="1" applyBorder="1" applyAlignment="1">
      <alignment horizontal="centerContinuous"/>
    </xf>
    <xf numFmtId="0" fontId="10" fillId="0" borderId="56" xfId="0" applyFont="1" applyBorder="1" applyAlignment="1" applyProtection="1">
      <alignment horizontal="center"/>
    </xf>
    <xf numFmtId="10" fontId="30" fillId="5" borderId="57" xfId="6" applyNumberFormat="1" applyFont="1" applyFill="1" applyBorder="1" applyAlignment="1" applyProtection="1">
      <alignment horizontal="center"/>
    </xf>
    <xf numFmtId="44" fontId="30" fillId="5" borderId="57" xfId="3" applyFont="1" applyFill="1" applyBorder="1" applyAlignment="1" applyProtection="1">
      <alignment horizontal="center"/>
    </xf>
    <xf numFmtId="10" fontId="30" fillId="5" borderId="58" xfId="6" applyNumberFormat="1" applyFont="1" applyFill="1" applyBorder="1" applyAlignment="1" applyProtection="1">
      <alignment horizontal="center"/>
    </xf>
    <xf numFmtId="39" fontId="0" fillId="0" borderId="0" xfId="0" applyNumberFormat="1" applyProtection="1"/>
    <xf numFmtId="0" fontId="10" fillId="0" borderId="2" xfId="0" applyFont="1" applyBorder="1" applyAlignment="1">
      <alignment horizontal="center"/>
    </xf>
    <xf numFmtId="3" fontId="10" fillId="0" borderId="0" xfId="0" applyNumberFormat="1" applyFont="1"/>
    <xf numFmtId="166" fontId="11" fillId="0" borderId="0" xfId="2" applyNumberFormat="1" applyFont="1" applyBorder="1" applyAlignment="1" applyProtection="1">
      <alignment horizontal="center"/>
      <protection locked="0"/>
    </xf>
    <xf numFmtId="214" fontId="0" fillId="0" borderId="0" xfId="0" applyNumberFormat="1" applyBorder="1" applyProtection="1"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174" fontId="0" fillId="0" borderId="39" xfId="0" applyNumberFormat="1" applyBorder="1" applyProtection="1">
      <protection locked="0"/>
    </xf>
    <xf numFmtId="174" fontId="0" fillId="0" borderId="8" xfId="0" applyNumberFormat="1" applyBorder="1" applyProtection="1">
      <protection locked="0"/>
    </xf>
    <xf numFmtId="174" fontId="0" fillId="0" borderId="6" xfId="0" applyNumberFormat="1" applyBorder="1" applyProtection="1">
      <protection locked="0"/>
    </xf>
    <xf numFmtId="3" fontId="0" fillId="0" borderId="39" xfId="0" applyNumberFormat="1" applyBorder="1" applyProtection="1"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0" borderId="39" xfId="0" applyNumberFormat="1" applyBorder="1" applyAlignment="1" applyProtection="1">
      <alignment horizontal="center"/>
      <protection locked="0"/>
    </xf>
    <xf numFmtId="174" fontId="0" fillId="0" borderId="7" xfId="0" applyNumberFormat="1" applyBorder="1" applyProtection="1">
      <protection locked="0"/>
    </xf>
    <xf numFmtId="43" fontId="0" fillId="0" borderId="29" xfId="0" applyNumberFormat="1" applyBorder="1" applyProtection="1">
      <protection locked="0"/>
    </xf>
    <xf numFmtId="3" fontId="0" fillId="0" borderId="31" xfId="0" applyNumberFormat="1" applyBorder="1" applyProtection="1">
      <protection locked="0"/>
    </xf>
    <xf numFmtId="214" fontId="0" fillId="0" borderId="1" xfId="0" applyNumberFormat="1" applyBorder="1" applyAlignment="1" applyProtection="1">
      <alignment horizontal="center"/>
      <protection locked="0"/>
    </xf>
    <xf numFmtId="214" fontId="0" fillId="0" borderId="4" xfId="0" applyNumberFormat="1" applyBorder="1" applyAlignment="1" applyProtection="1">
      <alignment horizontal="center"/>
      <protection locked="0"/>
    </xf>
    <xf numFmtId="175" fontId="1" fillId="0" borderId="1" xfId="2" applyNumberFormat="1" applyBorder="1" applyAlignment="1" applyProtection="1">
      <alignment horizontal="center"/>
      <protection locked="0"/>
    </xf>
    <xf numFmtId="0" fontId="12" fillId="0" borderId="0" xfId="0" applyFont="1" applyAlignment="1" applyProtection="1">
      <alignment wrapText="1"/>
      <protection locked="0"/>
    </xf>
    <xf numFmtId="0" fontId="0" fillId="0" borderId="0" xfId="0" applyAlignment="1">
      <alignment wrapText="1"/>
    </xf>
    <xf numFmtId="0" fontId="11" fillId="0" borderId="0" xfId="0" applyFont="1" applyAlignment="1" applyProtection="1">
      <alignment wrapText="1"/>
    </xf>
    <xf numFmtId="0" fontId="10" fillId="0" borderId="5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3" fontId="9" fillId="0" borderId="0" xfId="0" applyNumberFormat="1" applyFont="1" applyAlignment="1" applyProtection="1">
      <alignment horizontal="center"/>
      <protection locked="0"/>
    </xf>
    <xf numFmtId="0" fontId="19" fillId="0" borderId="5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left"/>
    </xf>
    <xf numFmtId="0" fontId="19" fillId="0" borderId="9" xfId="0" applyFont="1" applyBorder="1" applyAlignment="1">
      <alignment horizontal="left"/>
    </xf>
    <xf numFmtId="3" fontId="6" fillId="0" borderId="29" xfId="0" applyNumberFormat="1" applyFont="1" applyBorder="1" applyAlignment="1" applyProtection="1">
      <alignment horizontal="center"/>
      <protection locked="0"/>
    </xf>
    <xf numFmtId="3" fontId="6" fillId="0" borderId="30" xfId="0" applyNumberFormat="1" applyFont="1" applyBorder="1" applyAlignment="1" applyProtection="1">
      <alignment horizontal="center"/>
      <protection locked="0"/>
    </xf>
    <xf numFmtId="3" fontId="6" fillId="0" borderId="31" xfId="0" applyNumberFormat="1" applyFont="1" applyBorder="1" applyAlignment="1" applyProtection="1">
      <alignment horizontal="center"/>
      <protection locked="0"/>
    </xf>
    <xf numFmtId="3" fontId="9" fillId="0" borderId="0" xfId="0" applyNumberFormat="1" applyFont="1" applyAlignment="1" applyProtection="1">
      <alignment horizontal="center"/>
    </xf>
    <xf numFmtId="0" fontId="10" fillId="0" borderId="27" xfId="0" applyFont="1" applyBorder="1" applyAlignment="1">
      <alignment horizontal="center"/>
    </xf>
    <xf numFmtId="3" fontId="39" fillId="0" borderId="0" xfId="0" applyNumberFormat="1" applyFont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Alignment="1">
      <alignment horizontal="center"/>
    </xf>
    <xf numFmtId="0" fontId="40" fillId="0" borderId="27" xfId="0" applyFont="1" applyBorder="1" applyAlignment="1">
      <alignment horizontal="right"/>
    </xf>
    <xf numFmtId="0" fontId="40" fillId="0" borderId="29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31" xfId="0" applyFont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6</xdr:col>
          <xdr:colOff>175260</xdr:colOff>
          <xdr:row>26</xdr:row>
          <xdr:rowOff>68580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1"/>
  <sheetViews>
    <sheetView tabSelected="1" workbookViewId="0"/>
  </sheetViews>
  <sheetFormatPr defaultRowHeight="13.2"/>
  <cols>
    <col min="6" max="6" width="13" customWidth="1"/>
  </cols>
  <sheetData>
    <row r="1" spans="1:22" ht="15.6">
      <c r="A1" s="1" t="str">
        <f>Scope!A1</f>
        <v>City of Austin 4 x LM6000 Power Project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6">
      <c r="A2" s="4" t="s">
        <v>633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6">
      <c r="A3" s="4" t="s">
        <v>634</v>
      </c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5"/>
      <c r="B4" s="5"/>
      <c r="C4" s="5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5"/>
      <c r="B5" s="5"/>
      <c r="C5" s="5"/>
      <c r="D5" s="5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6" t="s">
        <v>634</v>
      </c>
      <c r="B7" s="5"/>
      <c r="C7" s="5"/>
      <c r="D7" s="5"/>
      <c r="F7" s="5"/>
      <c r="G7" s="7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5"/>
      <c r="B8" s="5"/>
      <c r="C8" s="5"/>
      <c r="D8" s="5"/>
      <c r="E8" s="5"/>
      <c r="F8" s="5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6" t="s">
        <v>635</v>
      </c>
      <c r="B9" s="5"/>
      <c r="C9" s="5"/>
      <c r="D9" s="5"/>
      <c r="E9" s="5"/>
      <c r="F9" s="5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B10" s="6" t="s">
        <v>636</v>
      </c>
      <c r="C10" s="5"/>
      <c r="D10" s="5"/>
      <c r="F10" s="5"/>
      <c r="G10" s="7">
        <v>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6"/>
      <c r="B11" s="6" t="s">
        <v>637</v>
      </c>
      <c r="C11" s="5"/>
      <c r="D11" s="5"/>
      <c r="F11" s="5"/>
      <c r="G11" s="7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6"/>
      <c r="B12" s="6" t="s">
        <v>334</v>
      </c>
      <c r="C12" s="5"/>
      <c r="D12" s="5"/>
      <c r="F12" s="5"/>
      <c r="G12" s="7">
        <v>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6"/>
      <c r="B13" s="6"/>
      <c r="C13" s="5"/>
      <c r="D13" s="5"/>
      <c r="F13" s="5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6" t="s">
        <v>638</v>
      </c>
      <c r="B14" s="6"/>
      <c r="C14" s="5"/>
      <c r="D14" s="5"/>
      <c r="E14" s="5"/>
      <c r="F14" s="5"/>
      <c r="G14" s="7">
        <v>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idden="1">
      <c r="A15" s="6"/>
      <c r="B15" s="6" t="s">
        <v>639</v>
      </c>
      <c r="C15" s="5"/>
      <c r="D15" s="5"/>
      <c r="E15" s="5"/>
      <c r="F15" s="5"/>
      <c r="G15" s="7">
        <v>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6"/>
      <c r="B16" s="6"/>
      <c r="C16" s="5"/>
      <c r="D16" s="5"/>
      <c r="E16" s="5"/>
      <c r="F16" s="5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idden="1">
      <c r="A17" s="6" t="s">
        <v>640</v>
      </c>
      <c r="C17" s="5"/>
      <c r="D17" s="5"/>
      <c r="E17" s="5"/>
      <c r="F17" s="5"/>
      <c r="G17" s="7">
        <v>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idden="1">
      <c r="A18" s="5"/>
      <c r="C18" s="5"/>
      <c r="D18" s="5"/>
      <c r="E18" s="5"/>
      <c r="F18" s="5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6" t="s">
        <v>641</v>
      </c>
      <c r="C19" s="5"/>
      <c r="D19" s="5"/>
      <c r="E19" s="5"/>
      <c r="F19" s="5"/>
      <c r="G19" s="7">
        <v>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6"/>
      <c r="B20" s="8" t="s">
        <v>642</v>
      </c>
      <c r="C20" s="5"/>
      <c r="D20" s="5"/>
      <c r="E20" s="5"/>
      <c r="F20" s="5"/>
      <c r="G20" s="7">
        <v>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6"/>
      <c r="B21" s="8" t="s">
        <v>643</v>
      </c>
      <c r="C21" s="5"/>
      <c r="D21" s="5"/>
      <c r="E21" s="5"/>
      <c r="F21" s="5"/>
      <c r="G21" s="7">
        <v>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6"/>
      <c r="B22" s="8" t="s">
        <v>644</v>
      </c>
      <c r="C22" s="5"/>
      <c r="D22" s="5"/>
      <c r="E22" s="5"/>
      <c r="F22" s="5"/>
      <c r="G22" s="7">
        <v>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6"/>
      <c r="B23" s="8" t="s">
        <v>645</v>
      </c>
      <c r="C23" s="5"/>
      <c r="D23" s="5"/>
      <c r="E23" s="5"/>
      <c r="F23" s="5"/>
      <c r="G23" s="7">
        <v>10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idden="1">
      <c r="A24" s="6"/>
      <c r="B24" s="8" t="s">
        <v>646</v>
      </c>
      <c r="C24" s="5"/>
      <c r="D24" s="5"/>
      <c r="E24" s="5"/>
      <c r="F24" s="5"/>
      <c r="G24" s="7">
        <v>14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idden="1">
      <c r="A25" s="6"/>
      <c r="B25" s="8" t="s">
        <v>647</v>
      </c>
      <c r="C25" s="5"/>
      <c r="D25" s="5"/>
      <c r="E25" s="5"/>
      <c r="F25" s="5"/>
      <c r="G25" s="7">
        <v>16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idden="1">
      <c r="A26" s="6"/>
      <c r="B26" s="8" t="s">
        <v>648</v>
      </c>
      <c r="C26" s="5"/>
      <c r="D26" s="5"/>
      <c r="E26" s="5"/>
      <c r="F26" s="5"/>
      <c r="G26" s="7">
        <v>12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5"/>
      <c r="C27" s="5"/>
      <c r="D27" s="5"/>
      <c r="E27" s="5"/>
      <c r="F27" s="5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6" t="s">
        <v>649</v>
      </c>
      <c r="C28" s="5"/>
      <c r="D28" s="5"/>
      <c r="E28" s="5"/>
      <c r="F28" s="5"/>
      <c r="G28" s="7">
        <v>12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" customHeight="1">
      <c r="A29" s="6"/>
      <c r="B29" s="8" t="s">
        <v>650</v>
      </c>
      <c r="C29" s="5"/>
      <c r="D29" s="5"/>
      <c r="E29" s="5"/>
      <c r="F29" s="5"/>
      <c r="G29" s="7">
        <v>13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idden="1">
      <c r="A30" s="6"/>
      <c r="B30" s="8" t="s">
        <v>651</v>
      </c>
      <c r="C30" s="5"/>
      <c r="D30" s="5"/>
      <c r="E30" s="5"/>
      <c r="F30" s="5"/>
      <c r="G30" s="7">
        <v>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idden="1">
      <c r="A31" s="6"/>
      <c r="B31" s="8" t="s">
        <v>652</v>
      </c>
      <c r="C31" s="5"/>
      <c r="D31" s="5"/>
      <c r="E31" s="5"/>
      <c r="F31" s="5"/>
      <c r="G31" s="7">
        <v>25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idden="1">
      <c r="A32" s="6"/>
      <c r="B32" s="8" t="s">
        <v>653</v>
      </c>
      <c r="C32" s="5"/>
      <c r="D32" s="5"/>
      <c r="E32" s="5"/>
      <c r="F32" s="5"/>
      <c r="G32" s="7">
        <v>26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idden="1">
      <c r="A33" s="6"/>
      <c r="B33" s="8" t="s">
        <v>654</v>
      </c>
      <c r="C33" s="5"/>
      <c r="D33" s="5"/>
      <c r="E33" s="5"/>
      <c r="F33" s="5"/>
      <c r="G33" s="7">
        <v>19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idden="1">
      <c r="A34" s="6"/>
      <c r="B34" s="8" t="s">
        <v>655</v>
      </c>
      <c r="C34" s="5"/>
      <c r="D34" s="5"/>
      <c r="E34" s="5"/>
      <c r="F34" s="5"/>
      <c r="G34" s="7">
        <v>20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idden="1">
      <c r="A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idden="1">
      <c r="A36" s="6" t="s">
        <v>656</v>
      </c>
      <c r="C36" s="5"/>
      <c r="D36" s="5"/>
      <c r="E36" s="5"/>
      <c r="F36" s="5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idden="1">
      <c r="A37" s="6"/>
      <c r="B37" s="8" t="s">
        <v>657</v>
      </c>
      <c r="C37" s="5"/>
      <c r="D37" s="5"/>
      <c r="E37" s="5"/>
      <c r="F37" s="5"/>
      <c r="G37" s="7">
        <v>35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idden="1">
      <c r="A38" s="5"/>
      <c r="B38" s="6" t="s">
        <v>658</v>
      </c>
      <c r="C38" s="5"/>
      <c r="D38" s="5"/>
      <c r="E38" s="5"/>
      <c r="F38" s="5"/>
      <c r="G38" s="5">
        <v>25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5"/>
      <c r="B39" s="6"/>
      <c r="C39" s="5"/>
      <c r="D39" s="5"/>
      <c r="E39" s="5"/>
      <c r="F39" s="5"/>
      <c r="G39" s="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</sheetData>
  <sheetProtection password="DD3F" sheet="1" objects="1" scenarios="1"/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2"/>
  <sheetViews>
    <sheetView zoomScale="80" workbookViewId="0">
      <selection activeCell="F121" sqref="F121"/>
    </sheetView>
  </sheetViews>
  <sheetFormatPr defaultRowHeight="13.2"/>
  <cols>
    <col min="1" max="1" width="45.88671875" customWidth="1"/>
    <col min="2" max="2" width="9" customWidth="1"/>
    <col min="3" max="4" width="9.5546875" customWidth="1"/>
    <col min="5" max="5" width="10" customWidth="1"/>
    <col min="6" max="6" width="30.6640625" customWidth="1"/>
    <col min="7" max="7" width="9.44140625" customWidth="1"/>
  </cols>
  <sheetData>
    <row r="1" spans="1:8" ht="15.6">
      <c r="A1" s="171" t="str">
        <f>Scope!A1</f>
        <v>City of Austin 4 x LM6000 Power Project</v>
      </c>
      <c r="B1" s="171"/>
      <c r="C1" s="171"/>
      <c r="D1" s="171"/>
      <c r="E1" s="171"/>
      <c r="F1" s="171"/>
      <c r="G1" s="172"/>
      <c r="H1" s="172"/>
    </row>
    <row r="2" spans="1:8" ht="15.6">
      <c r="A2" s="173" t="s">
        <v>870</v>
      </c>
      <c r="B2" s="173"/>
      <c r="C2" s="173"/>
      <c r="D2" s="173"/>
      <c r="E2" s="173"/>
      <c r="F2" s="173"/>
      <c r="G2" s="172"/>
      <c r="H2" s="172"/>
    </row>
    <row r="4" spans="1:8">
      <c r="C4" s="11" t="s">
        <v>871</v>
      </c>
    </row>
    <row r="5" spans="1:8">
      <c r="C5" s="174" t="s">
        <v>872</v>
      </c>
      <c r="D5" s="175" t="s">
        <v>873</v>
      </c>
      <c r="E5" s="174" t="s">
        <v>874</v>
      </c>
      <c r="F5" s="176" t="s">
        <v>875</v>
      </c>
      <c r="G5" s="117"/>
      <c r="H5" s="117"/>
    </row>
    <row r="6" spans="1:8">
      <c r="A6" s="8" t="s">
        <v>876</v>
      </c>
      <c r="B6" s="8"/>
      <c r="C6" s="177"/>
      <c r="D6" s="178"/>
      <c r="E6" s="177"/>
      <c r="F6" s="100"/>
    </row>
    <row r="7" spans="1:8">
      <c r="A7" s="8"/>
      <c r="B7" s="8"/>
      <c r="C7" s="177"/>
      <c r="D7" s="178"/>
      <c r="E7" s="177"/>
      <c r="F7" s="100"/>
    </row>
    <row r="8" spans="1:8">
      <c r="A8" t="s">
        <v>877</v>
      </c>
      <c r="C8" s="179"/>
      <c r="D8" s="180"/>
      <c r="E8" s="179"/>
      <c r="F8" s="100"/>
    </row>
    <row r="9" spans="1:8">
      <c r="A9" t="s">
        <v>878</v>
      </c>
      <c r="C9" s="179"/>
      <c r="D9" s="180"/>
      <c r="E9" s="179" t="s">
        <v>879</v>
      </c>
      <c r="F9" s="100"/>
    </row>
    <row r="10" spans="1:8">
      <c r="A10" t="s">
        <v>880</v>
      </c>
      <c r="C10" s="179"/>
      <c r="D10" s="179" t="s">
        <v>879</v>
      </c>
      <c r="E10" s="179"/>
      <c r="F10" s="100"/>
    </row>
    <row r="11" spans="1:8">
      <c r="A11" t="s">
        <v>881</v>
      </c>
      <c r="C11" s="179" t="s">
        <v>879</v>
      </c>
      <c r="D11" s="179"/>
      <c r="E11" s="179"/>
      <c r="F11" s="100"/>
    </row>
    <row r="12" spans="1:8">
      <c r="A12" t="s">
        <v>882</v>
      </c>
      <c r="C12" s="179"/>
      <c r="D12" s="179"/>
      <c r="E12" s="179"/>
      <c r="F12" s="100"/>
    </row>
    <row r="13" spans="1:8">
      <c r="A13" t="s">
        <v>878</v>
      </c>
      <c r="C13" s="179"/>
      <c r="D13" s="179"/>
      <c r="E13" s="179" t="s">
        <v>879</v>
      </c>
      <c r="F13" s="100"/>
    </row>
    <row r="14" spans="1:8">
      <c r="A14" t="s">
        <v>880</v>
      </c>
      <c r="C14" s="179"/>
      <c r="D14" s="179" t="s">
        <v>879</v>
      </c>
      <c r="E14" s="179"/>
      <c r="F14" s="100"/>
    </row>
    <row r="15" spans="1:8">
      <c r="A15" t="s">
        <v>881</v>
      </c>
      <c r="C15" s="179" t="s">
        <v>879</v>
      </c>
      <c r="D15" s="179"/>
      <c r="E15" s="179"/>
      <c r="F15" s="100"/>
    </row>
    <row r="16" spans="1:8">
      <c r="A16" t="s">
        <v>788</v>
      </c>
      <c r="C16" s="179"/>
      <c r="D16" s="179"/>
      <c r="E16" s="179"/>
      <c r="F16" s="100"/>
    </row>
    <row r="17" spans="1:6">
      <c r="A17" t="s">
        <v>594</v>
      </c>
      <c r="C17" s="179" t="s">
        <v>879</v>
      </c>
      <c r="D17" s="179"/>
      <c r="E17" s="179"/>
      <c r="F17" s="100"/>
    </row>
    <row r="18" spans="1:6">
      <c r="A18" t="s">
        <v>883</v>
      </c>
      <c r="C18" s="179" t="s">
        <v>879</v>
      </c>
      <c r="D18" s="179"/>
      <c r="E18" s="179"/>
      <c r="F18" s="100"/>
    </row>
    <row r="19" spans="1:6">
      <c r="A19" t="s">
        <v>884</v>
      </c>
      <c r="C19" s="179" t="s">
        <v>879</v>
      </c>
      <c r="D19" s="179"/>
      <c r="E19" s="179"/>
      <c r="F19" s="100"/>
    </row>
    <row r="20" spans="1:6">
      <c r="A20" t="s">
        <v>885</v>
      </c>
      <c r="C20" s="179"/>
      <c r="D20" s="179"/>
      <c r="E20" s="179" t="s">
        <v>879</v>
      </c>
      <c r="F20" s="100" t="s">
        <v>888</v>
      </c>
    </row>
    <row r="21" spans="1:6">
      <c r="A21" t="s">
        <v>886</v>
      </c>
      <c r="C21" s="179"/>
      <c r="D21" s="179" t="s">
        <v>879</v>
      </c>
      <c r="E21" s="179"/>
      <c r="F21" s="100"/>
    </row>
    <row r="22" spans="1:6">
      <c r="A22" t="s">
        <v>887</v>
      </c>
      <c r="C22" s="179"/>
      <c r="D22" s="179"/>
      <c r="E22" s="179" t="s">
        <v>879</v>
      </c>
      <c r="F22" s="100" t="s">
        <v>888</v>
      </c>
    </row>
    <row r="23" spans="1:6">
      <c r="A23" t="s">
        <v>889</v>
      </c>
      <c r="C23" s="179"/>
      <c r="D23" s="179"/>
      <c r="E23" s="179" t="s">
        <v>879</v>
      </c>
      <c r="F23" s="100" t="s">
        <v>888</v>
      </c>
    </row>
    <row r="24" spans="1:6">
      <c r="A24" t="s">
        <v>789</v>
      </c>
      <c r="C24" s="179"/>
      <c r="D24" s="179"/>
      <c r="E24" s="179"/>
      <c r="F24" s="100"/>
    </row>
    <row r="25" spans="1:6">
      <c r="A25" t="s">
        <v>880</v>
      </c>
      <c r="C25" s="179"/>
      <c r="D25" s="179" t="s">
        <v>879</v>
      </c>
      <c r="E25" s="179"/>
      <c r="F25" s="100"/>
    </row>
    <row r="26" spans="1:6">
      <c r="A26" t="s">
        <v>881</v>
      </c>
      <c r="C26" s="179" t="s">
        <v>879</v>
      </c>
      <c r="D26" s="179"/>
      <c r="E26" s="179"/>
      <c r="F26" s="100"/>
    </row>
    <row r="27" spans="1:6">
      <c r="A27" t="s">
        <v>890</v>
      </c>
      <c r="C27" s="179"/>
      <c r="D27" s="179"/>
      <c r="E27" s="179"/>
      <c r="F27" s="100"/>
    </row>
    <row r="28" spans="1:6">
      <c r="A28" t="s">
        <v>880</v>
      </c>
      <c r="C28" s="179"/>
      <c r="D28" s="179" t="s">
        <v>879</v>
      </c>
      <c r="E28" s="179"/>
      <c r="F28" s="100"/>
    </row>
    <row r="29" spans="1:6">
      <c r="A29" t="s">
        <v>891</v>
      </c>
      <c r="C29" s="179" t="s">
        <v>879</v>
      </c>
      <c r="D29" s="179"/>
      <c r="E29" s="179"/>
      <c r="F29" s="100"/>
    </row>
    <row r="30" spans="1:6">
      <c r="A30" t="s">
        <v>892</v>
      </c>
      <c r="C30" s="179"/>
      <c r="D30" s="179"/>
      <c r="E30" s="179"/>
      <c r="F30" s="100"/>
    </row>
    <row r="31" spans="1:6">
      <c r="A31" t="s">
        <v>893</v>
      </c>
      <c r="C31" s="179"/>
      <c r="D31" s="179" t="s">
        <v>879</v>
      </c>
      <c r="E31" s="179"/>
      <c r="F31" s="100"/>
    </row>
    <row r="32" spans="1:6">
      <c r="A32" t="s">
        <v>894</v>
      </c>
      <c r="C32" s="179" t="s">
        <v>879</v>
      </c>
      <c r="D32" s="179"/>
      <c r="E32" s="179"/>
      <c r="F32" s="100"/>
    </row>
    <row r="33" spans="1:6">
      <c r="A33" t="s">
        <v>895</v>
      </c>
      <c r="C33" s="179"/>
      <c r="D33" s="179"/>
      <c r="E33" s="179"/>
      <c r="F33" s="100"/>
    </row>
    <row r="34" spans="1:6">
      <c r="A34" t="s">
        <v>595</v>
      </c>
      <c r="C34" s="179"/>
      <c r="D34" s="179"/>
      <c r="E34" s="179" t="s">
        <v>879</v>
      </c>
      <c r="F34" s="100" t="s">
        <v>596</v>
      </c>
    </row>
    <row r="35" spans="1:6">
      <c r="A35" s="181" t="s">
        <v>597</v>
      </c>
      <c r="C35" s="179"/>
      <c r="D35" s="179" t="s">
        <v>879</v>
      </c>
      <c r="E35" s="179"/>
      <c r="F35" s="100"/>
    </row>
    <row r="36" spans="1:6">
      <c r="A36" t="s">
        <v>896</v>
      </c>
      <c r="C36" s="179" t="s">
        <v>879</v>
      </c>
      <c r="D36" s="179"/>
      <c r="E36" s="179"/>
      <c r="F36" s="100"/>
    </row>
    <row r="37" spans="1:6">
      <c r="A37" s="181" t="s">
        <v>897</v>
      </c>
      <c r="C37" s="179"/>
      <c r="D37" s="179" t="s">
        <v>879</v>
      </c>
      <c r="E37" s="179"/>
      <c r="F37" s="100"/>
    </row>
    <row r="38" spans="1:6">
      <c r="A38" t="s">
        <v>898</v>
      </c>
      <c r="C38" s="179"/>
      <c r="D38" s="179"/>
      <c r="E38" s="179"/>
      <c r="F38" s="100"/>
    </row>
    <row r="39" spans="1:6">
      <c r="A39" t="s">
        <v>899</v>
      </c>
      <c r="C39" s="179" t="s">
        <v>879</v>
      </c>
      <c r="D39" s="179"/>
      <c r="E39" s="179"/>
      <c r="F39" s="100" t="s">
        <v>900</v>
      </c>
    </row>
    <row r="40" spans="1:6">
      <c r="A40" t="s">
        <v>901</v>
      </c>
      <c r="C40" s="179"/>
      <c r="D40" s="179" t="s">
        <v>879</v>
      </c>
      <c r="E40" s="179"/>
      <c r="F40" s="100" t="s">
        <v>902</v>
      </c>
    </row>
    <row r="41" spans="1:6">
      <c r="A41" t="s">
        <v>903</v>
      </c>
      <c r="C41" s="179"/>
      <c r="D41" s="179"/>
      <c r="E41" s="179" t="s">
        <v>879</v>
      </c>
      <c r="F41" s="100" t="s">
        <v>902</v>
      </c>
    </row>
    <row r="42" spans="1:6">
      <c r="A42" t="s">
        <v>904</v>
      </c>
      <c r="C42" s="179"/>
      <c r="D42" s="179"/>
      <c r="E42" s="179"/>
      <c r="F42" s="100"/>
    </row>
    <row r="43" spans="1:6">
      <c r="A43" t="s">
        <v>905</v>
      </c>
      <c r="C43" s="179" t="s">
        <v>879</v>
      </c>
      <c r="D43" s="179"/>
      <c r="E43" s="179"/>
      <c r="F43" s="100"/>
    </row>
    <row r="44" spans="1:6">
      <c r="A44" t="s">
        <v>906</v>
      </c>
      <c r="C44" s="179" t="s">
        <v>879</v>
      </c>
      <c r="D44" s="179"/>
      <c r="E44" s="179"/>
      <c r="F44" s="100"/>
    </row>
    <row r="45" spans="1:6">
      <c r="A45" s="181" t="s">
        <v>907</v>
      </c>
      <c r="C45" s="179" t="s">
        <v>879</v>
      </c>
      <c r="D45" s="179"/>
      <c r="E45" s="179"/>
      <c r="F45" s="182" t="s">
        <v>908</v>
      </c>
    </row>
    <row r="46" spans="1:6">
      <c r="A46" t="s">
        <v>909</v>
      </c>
      <c r="C46" s="179" t="s">
        <v>879</v>
      </c>
      <c r="D46" s="179"/>
      <c r="E46" s="179"/>
      <c r="F46" s="182"/>
    </row>
    <row r="47" spans="1:6">
      <c r="A47" t="s">
        <v>910</v>
      </c>
      <c r="C47" s="179" t="s">
        <v>879</v>
      </c>
      <c r="D47" s="179"/>
      <c r="E47" s="179"/>
      <c r="F47" s="100"/>
    </row>
    <row r="48" spans="1:6">
      <c r="A48" t="s">
        <v>911</v>
      </c>
      <c r="C48" s="179" t="s">
        <v>879</v>
      </c>
      <c r="D48" s="179" t="s">
        <v>879</v>
      </c>
      <c r="E48" s="179"/>
      <c r="F48" s="100"/>
    </row>
    <row r="49" spans="1:6">
      <c r="A49" t="s">
        <v>912</v>
      </c>
      <c r="C49" s="179"/>
      <c r="D49" s="179" t="s">
        <v>879</v>
      </c>
      <c r="E49" s="179"/>
      <c r="F49" s="100"/>
    </row>
    <row r="50" spans="1:6">
      <c r="A50" s="181" t="s">
        <v>913</v>
      </c>
      <c r="C50" s="179" t="s">
        <v>879</v>
      </c>
      <c r="D50" s="179"/>
      <c r="E50" s="179"/>
      <c r="F50" s="182" t="s">
        <v>914</v>
      </c>
    </row>
    <row r="51" spans="1:6">
      <c r="A51" s="181" t="s">
        <v>915</v>
      </c>
      <c r="C51" s="179" t="s">
        <v>879</v>
      </c>
      <c r="D51" s="179"/>
      <c r="E51" s="100"/>
      <c r="F51" s="100"/>
    </row>
    <row r="52" spans="1:6">
      <c r="A52" s="181" t="s">
        <v>916</v>
      </c>
      <c r="C52" s="179"/>
      <c r="D52" s="179" t="s">
        <v>879</v>
      </c>
      <c r="E52" s="179"/>
      <c r="F52" s="100"/>
    </row>
    <row r="53" spans="1:6">
      <c r="A53" s="181" t="s">
        <v>917</v>
      </c>
      <c r="C53" s="100"/>
      <c r="D53" s="179"/>
      <c r="E53" s="179" t="s">
        <v>879</v>
      </c>
      <c r="F53" s="100"/>
    </row>
    <row r="54" spans="1:6">
      <c r="A54" s="181" t="s">
        <v>918</v>
      </c>
      <c r="C54" s="179" t="s">
        <v>879</v>
      </c>
      <c r="D54" s="179"/>
      <c r="E54" s="100"/>
      <c r="F54" s="100"/>
    </row>
    <row r="55" spans="1:6">
      <c r="A55" t="s">
        <v>919</v>
      </c>
      <c r="C55" s="179" t="s">
        <v>879</v>
      </c>
      <c r="D55" s="179"/>
      <c r="E55" s="179"/>
      <c r="F55" s="100"/>
    </row>
    <row r="56" spans="1:6">
      <c r="A56" t="s">
        <v>920</v>
      </c>
      <c r="C56" s="179"/>
      <c r="D56" s="179"/>
      <c r="E56" s="179"/>
      <c r="F56" s="100" t="s">
        <v>921</v>
      </c>
    </row>
    <row r="57" spans="1:6">
      <c r="A57" t="s">
        <v>922</v>
      </c>
      <c r="C57" s="179" t="s">
        <v>879</v>
      </c>
      <c r="D57" s="179"/>
      <c r="E57" s="179"/>
      <c r="F57" s="100"/>
    </row>
    <row r="58" spans="1:6">
      <c r="A58" t="s">
        <v>923</v>
      </c>
      <c r="C58" s="179" t="s">
        <v>879</v>
      </c>
      <c r="D58" s="179"/>
      <c r="E58" s="179"/>
      <c r="F58" s="100"/>
    </row>
    <row r="59" spans="1:6">
      <c r="C59" s="12"/>
      <c r="D59" s="12"/>
      <c r="E59" s="12"/>
    </row>
    <row r="60" spans="1:6">
      <c r="A60" t="s">
        <v>924</v>
      </c>
      <c r="C60" s="12"/>
      <c r="D60" s="12"/>
      <c r="E60" s="12"/>
    </row>
    <row r="61" spans="1:6">
      <c r="A61" t="s">
        <v>925</v>
      </c>
      <c r="C61" s="12"/>
      <c r="D61" s="12"/>
      <c r="E61" s="12"/>
    </row>
    <row r="62" spans="1:6">
      <c r="C62" s="11" t="s">
        <v>871</v>
      </c>
      <c r="D62" s="13"/>
      <c r="E62" s="13"/>
      <c r="F62" s="13"/>
    </row>
    <row r="63" spans="1:6">
      <c r="C63" s="183" t="s">
        <v>872</v>
      </c>
      <c r="D63" s="184" t="s">
        <v>873</v>
      </c>
      <c r="E63" s="183" t="s">
        <v>874</v>
      </c>
      <c r="F63" s="11" t="s">
        <v>875</v>
      </c>
    </row>
    <row r="64" spans="1:6">
      <c r="A64" t="s">
        <v>926</v>
      </c>
      <c r="C64" s="179" t="s">
        <v>879</v>
      </c>
      <c r="D64" s="179"/>
      <c r="E64" s="179"/>
      <c r="F64" s="100" t="s">
        <v>927</v>
      </c>
    </row>
    <row r="65" spans="1:6">
      <c r="A65" t="s">
        <v>928</v>
      </c>
      <c r="C65" s="179"/>
      <c r="D65" s="179"/>
      <c r="E65" s="179"/>
      <c r="F65" s="100"/>
    </row>
    <row r="66" spans="1:6">
      <c r="A66" t="s">
        <v>929</v>
      </c>
      <c r="C66" s="179"/>
      <c r="D66" s="179" t="s">
        <v>879</v>
      </c>
      <c r="E66" s="179"/>
      <c r="F66" s="100"/>
    </row>
    <row r="67" spans="1:6">
      <c r="A67" t="s">
        <v>930</v>
      </c>
      <c r="C67" s="179"/>
      <c r="D67" s="179" t="s">
        <v>879</v>
      </c>
      <c r="E67" s="179"/>
      <c r="F67" s="100"/>
    </row>
    <row r="68" spans="1:6">
      <c r="A68" t="s">
        <v>931</v>
      </c>
      <c r="C68" s="179"/>
      <c r="D68" s="179" t="s">
        <v>879</v>
      </c>
      <c r="E68" s="179"/>
      <c r="F68" s="100"/>
    </row>
    <row r="69" spans="1:6">
      <c r="A69" s="181" t="s">
        <v>932</v>
      </c>
      <c r="C69" s="179" t="s">
        <v>879</v>
      </c>
      <c r="D69" s="179"/>
      <c r="E69" s="179"/>
      <c r="F69" s="100"/>
    </row>
    <row r="70" spans="1:6">
      <c r="C70" s="179"/>
      <c r="D70" s="179"/>
      <c r="E70" s="179"/>
      <c r="F70" s="100"/>
    </row>
    <row r="71" spans="1:6">
      <c r="A71" s="8" t="s">
        <v>933</v>
      </c>
      <c r="B71" s="8"/>
      <c r="C71" s="179"/>
      <c r="D71" s="179"/>
      <c r="E71" s="179"/>
      <c r="F71" s="100"/>
    </row>
    <row r="72" spans="1:6">
      <c r="A72" s="8"/>
      <c r="B72" s="8"/>
      <c r="C72" s="179"/>
      <c r="D72" s="179"/>
      <c r="E72" s="179"/>
      <c r="F72" s="100"/>
    </row>
    <row r="73" spans="1:6">
      <c r="A73" t="s">
        <v>798</v>
      </c>
      <c r="C73" s="179"/>
      <c r="D73" s="179"/>
      <c r="E73" s="179"/>
      <c r="F73" s="100"/>
    </row>
    <row r="74" spans="1:6">
      <c r="A74" t="s">
        <v>934</v>
      </c>
      <c r="C74" s="179" t="s">
        <v>879</v>
      </c>
      <c r="D74" s="179"/>
      <c r="E74" s="179"/>
      <c r="F74" s="100"/>
    </row>
    <row r="75" spans="1:6">
      <c r="A75" t="s">
        <v>935</v>
      </c>
      <c r="C75" s="179" t="s">
        <v>879</v>
      </c>
      <c r="D75" s="179"/>
      <c r="E75" s="179"/>
      <c r="F75" s="100"/>
    </row>
    <row r="76" spans="1:6">
      <c r="A76" t="s">
        <v>936</v>
      </c>
      <c r="C76" s="179"/>
      <c r="D76" s="179"/>
      <c r="E76" s="179"/>
      <c r="F76" s="100"/>
    </row>
    <row r="77" spans="1:6">
      <c r="A77" t="s">
        <v>937</v>
      </c>
      <c r="C77" s="179"/>
      <c r="D77" s="179"/>
      <c r="E77" s="179"/>
      <c r="F77" s="100" t="s">
        <v>921</v>
      </c>
    </row>
    <row r="78" spans="1:6">
      <c r="A78" t="s">
        <v>938</v>
      </c>
      <c r="C78" s="179"/>
      <c r="D78" s="179" t="s">
        <v>879</v>
      </c>
      <c r="E78" s="179"/>
      <c r="F78" s="100"/>
    </row>
    <row r="79" spans="1:6">
      <c r="A79" t="s">
        <v>939</v>
      </c>
      <c r="C79" s="179"/>
      <c r="D79" s="179" t="s">
        <v>879</v>
      </c>
      <c r="E79" s="179"/>
      <c r="F79" s="100"/>
    </row>
    <row r="80" spans="1:6">
      <c r="A80" t="s">
        <v>940</v>
      </c>
      <c r="C80" s="179"/>
      <c r="D80" s="179" t="s">
        <v>879</v>
      </c>
      <c r="E80" s="179"/>
      <c r="F80" s="100"/>
    </row>
    <row r="81" spans="1:6">
      <c r="A81" t="s">
        <v>941</v>
      </c>
      <c r="C81" s="179"/>
      <c r="D81" s="179" t="s">
        <v>879</v>
      </c>
      <c r="E81" s="179"/>
      <c r="F81" s="100"/>
    </row>
    <row r="82" spans="1:6">
      <c r="A82" t="s">
        <v>942</v>
      </c>
      <c r="C82" s="179"/>
      <c r="D82" s="179"/>
      <c r="E82" s="179"/>
      <c r="F82" s="100"/>
    </row>
    <row r="83" spans="1:6">
      <c r="A83" t="s">
        <v>943</v>
      </c>
      <c r="C83" s="179" t="s">
        <v>879</v>
      </c>
      <c r="D83" s="179"/>
      <c r="E83" s="179"/>
      <c r="F83" s="100"/>
    </row>
    <row r="84" spans="1:6">
      <c r="A84" t="s">
        <v>944</v>
      </c>
      <c r="C84" s="179" t="s">
        <v>879</v>
      </c>
      <c r="D84" s="179"/>
      <c r="E84" s="179"/>
      <c r="F84" s="100"/>
    </row>
    <row r="85" spans="1:6">
      <c r="A85" t="s">
        <v>945</v>
      </c>
      <c r="C85" s="179" t="s">
        <v>879</v>
      </c>
      <c r="D85" s="100"/>
      <c r="E85" s="179"/>
      <c r="F85" s="100"/>
    </row>
    <row r="86" spans="1:6">
      <c r="A86" t="s">
        <v>946</v>
      </c>
      <c r="C86" s="179" t="s">
        <v>879</v>
      </c>
      <c r="D86" s="179"/>
      <c r="E86" s="179"/>
      <c r="F86" s="100"/>
    </row>
    <row r="87" spans="1:6">
      <c r="A87" t="s">
        <v>947</v>
      </c>
      <c r="C87" s="179" t="s">
        <v>879</v>
      </c>
      <c r="D87" s="179"/>
      <c r="E87" s="179"/>
      <c r="F87" s="100"/>
    </row>
    <row r="88" spans="1:6">
      <c r="A88" t="s">
        <v>948</v>
      </c>
      <c r="C88" s="179"/>
      <c r="D88" s="179" t="s">
        <v>879</v>
      </c>
      <c r="E88" s="179"/>
      <c r="F88" s="100"/>
    </row>
    <row r="89" spans="1:6">
      <c r="A89" t="s">
        <v>949</v>
      </c>
      <c r="C89" s="179"/>
      <c r="D89" s="179" t="s">
        <v>879</v>
      </c>
      <c r="E89" s="179"/>
      <c r="F89" s="100"/>
    </row>
    <row r="90" spans="1:6">
      <c r="A90" t="s">
        <v>950</v>
      </c>
      <c r="C90" s="179"/>
      <c r="D90" s="179"/>
      <c r="E90" s="179"/>
      <c r="F90" s="100"/>
    </row>
    <row r="91" spans="1:6">
      <c r="A91" t="s">
        <v>951</v>
      </c>
      <c r="C91" s="179" t="s">
        <v>879</v>
      </c>
      <c r="D91" s="179"/>
      <c r="E91" s="179"/>
      <c r="F91" s="100"/>
    </row>
    <row r="92" spans="1:6">
      <c r="A92" t="s">
        <v>598</v>
      </c>
      <c r="C92" s="179"/>
      <c r="D92" s="179" t="s">
        <v>879</v>
      </c>
      <c r="E92" s="179"/>
      <c r="F92" s="100"/>
    </row>
    <row r="93" spans="1:6">
      <c r="A93" t="s">
        <v>952</v>
      </c>
      <c r="C93" s="179"/>
      <c r="D93" s="179"/>
      <c r="E93" s="179"/>
      <c r="F93" s="100"/>
    </row>
    <row r="94" spans="1:6">
      <c r="A94" t="s">
        <v>953</v>
      </c>
      <c r="C94" s="179" t="s">
        <v>879</v>
      </c>
      <c r="D94" s="179"/>
      <c r="E94" s="179"/>
      <c r="F94" s="100"/>
    </row>
    <row r="95" spans="1:6">
      <c r="A95" t="s">
        <v>954</v>
      </c>
      <c r="C95" s="179"/>
      <c r="D95" s="179" t="s">
        <v>879</v>
      </c>
      <c r="E95" s="179"/>
      <c r="F95" s="100"/>
    </row>
    <row r="96" spans="1:6">
      <c r="A96" t="s">
        <v>955</v>
      </c>
      <c r="C96" s="179"/>
      <c r="D96" s="179"/>
      <c r="E96" s="179"/>
      <c r="F96" s="100"/>
    </row>
    <row r="97" spans="1:6">
      <c r="A97" t="s">
        <v>956</v>
      </c>
      <c r="C97" s="179" t="s">
        <v>879</v>
      </c>
      <c r="D97" s="179"/>
      <c r="E97" s="179"/>
      <c r="F97" s="100"/>
    </row>
    <row r="98" spans="1:6">
      <c r="A98" t="s">
        <v>957</v>
      </c>
      <c r="C98" s="179" t="s">
        <v>879</v>
      </c>
      <c r="D98" s="179"/>
      <c r="E98" s="179"/>
      <c r="F98" s="100"/>
    </row>
    <row r="99" spans="1:6">
      <c r="A99" t="s">
        <v>958</v>
      </c>
      <c r="C99" s="179"/>
      <c r="D99" s="179" t="s">
        <v>879</v>
      </c>
      <c r="E99" s="179"/>
      <c r="F99" s="100"/>
    </row>
    <row r="100" spans="1:6">
      <c r="A100" t="s">
        <v>959</v>
      </c>
      <c r="C100" s="179"/>
      <c r="D100" s="179"/>
      <c r="E100" s="179"/>
      <c r="F100" s="100"/>
    </row>
    <row r="101" spans="1:6">
      <c r="A101" t="s">
        <v>960</v>
      </c>
      <c r="C101" s="179"/>
      <c r="D101" s="179" t="s">
        <v>879</v>
      </c>
      <c r="E101" s="179"/>
      <c r="F101" s="100"/>
    </row>
    <row r="102" spans="1:6">
      <c r="A102" t="s">
        <v>961</v>
      </c>
      <c r="C102" s="179"/>
      <c r="D102" s="179" t="s">
        <v>879</v>
      </c>
      <c r="E102" s="179"/>
      <c r="F102" s="100"/>
    </row>
    <row r="103" spans="1:6">
      <c r="A103" t="s">
        <v>962</v>
      </c>
      <c r="C103" s="179"/>
      <c r="D103" s="179" t="s">
        <v>879</v>
      </c>
      <c r="E103" s="179"/>
      <c r="F103" s="100"/>
    </row>
    <row r="104" spans="1:6">
      <c r="A104" t="s">
        <v>963</v>
      </c>
      <c r="C104" s="179"/>
      <c r="D104" s="179" t="s">
        <v>879</v>
      </c>
      <c r="E104" s="179"/>
      <c r="F104" s="100"/>
    </row>
    <row r="105" spans="1:6">
      <c r="A105" t="s">
        <v>964</v>
      </c>
      <c r="C105" s="179" t="s">
        <v>879</v>
      </c>
      <c r="D105" s="179"/>
      <c r="E105" s="179"/>
      <c r="F105" s="100"/>
    </row>
    <row r="106" spans="1:6">
      <c r="A106" t="s">
        <v>965</v>
      </c>
      <c r="C106" s="179"/>
      <c r="D106" s="179"/>
      <c r="E106" s="179"/>
      <c r="F106" s="100"/>
    </row>
    <row r="107" spans="1:6">
      <c r="A107" t="s">
        <v>966</v>
      </c>
      <c r="C107" s="179" t="s">
        <v>879</v>
      </c>
      <c r="D107" s="179"/>
      <c r="E107" s="179"/>
      <c r="F107" s="100"/>
    </row>
    <row r="108" spans="1:6">
      <c r="A108" t="s">
        <v>967</v>
      </c>
      <c r="C108" s="179"/>
      <c r="D108" s="179" t="s">
        <v>879</v>
      </c>
      <c r="E108" s="179" t="s">
        <v>879</v>
      </c>
      <c r="F108" s="100" t="s">
        <v>968</v>
      </c>
    </row>
    <row r="109" spans="1:6">
      <c r="A109" t="s">
        <v>969</v>
      </c>
      <c r="C109" s="179"/>
      <c r="D109" s="179"/>
      <c r="E109" s="179"/>
      <c r="F109" s="100"/>
    </row>
    <row r="110" spans="1:6">
      <c r="A110" t="s">
        <v>970</v>
      </c>
      <c r="C110" s="179" t="s">
        <v>879</v>
      </c>
      <c r="D110" s="179"/>
      <c r="E110" s="179"/>
      <c r="F110" s="100"/>
    </row>
    <row r="111" spans="1:6">
      <c r="A111" t="s">
        <v>971</v>
      </c>
      <c r="C111" s="179" t="s">
        <v>879</v>
      </c>
      <c r="D111" s="179"/>
      <c r="E111" s="179"/>
      <c r="F111" s="100"/>
    </row>
    <row r="112" spans="1:6">
      <c r="A112" t="s">
        <v>972</v>
      </c>
      <c r="C112" s="179"/>
      <c r="D112" s="179" t="s">
        <v>879</v>
      </c>
      <c r="E112" s="179"/>
      <c r="F112" s="100"/>
    </row>
    <row r="113" spans="1:6">
      <c r="A113" t="s">
        <v>973</v>
      </c>
      <c r="C113" s="179"/>
      <c r="D113" s="179" t="s">
        <v>879</v>
      </c>
      <c r="E113" s="179"/>
      <c r="F113" s="100"/>
    </row>
    <row r="114" spans="1:6">
      <c r="A114" t="s">
        <v>974</v>
      </c>
      <c r="C114" s="179"/>
      <c r="D114" s="179"/>
      <c r="E114" s="179"/>
      <c r="F114" s="100"/>
    </row>
    <row r="115" spans="1:6">
      <c r="A115" t="s">
        <v>971</v>
      </c>
      <c r="C115" s="179" t="s">
        <v>879</v>
      </c>
      <c r="D115" s="179"/>
      <c r="E115" s="179"/>
      <c r="F115" s="100"/>
    </row>
    <row r="116" spans="1:6">
      <c r="A116" t="s">
        <v>972</v>
      </c>
      <c r="C116" s="179"/>
      <c r="D116" s="179" t="s">
        <v>879</v>
      </c>
      <c r="E116" s="179"/>
      <c r="F116" s="100"/>
    </row>
    <row r="117" spans="1:6" hidden="1">
      <c r="A117" t="s">
        <v>975</v>
      </c>
      <c r="C117" s="100"/>
      <c r="D117" s="100"/>
      <c r="E117" s="179" t="s">
        <v>879</v>
      </c>
      <c r="F117" s="100" t="s">
        <v>976</v>
      </c>
    </row>
    <row r="118" spans="1:6">
      <c r="A118" t="s">
        <v>977</v>
      </c>
      <c r="C118" s="100"/>
      <c r="D118" s="179" t="s">
        <v>879</v>
      </c>
      <c r="E118" s="179"/>
      <c r="F118" s="100"/>
    </row>
    <row r="119" spans="1:6">
      <c r="A119" t="s">
        <v>978</v>
      </c>
      <c r="C119" s="179"/>
      <c r="D119" s="179" t="s">
        <v>879</v>
      </c>
      <c r="E119" s="179"/>
      <c r="F119" s="100"/>
    </row>
    <row r="120" spans="1:6">
      <c r="A120" t="s">
        <v>979</v>
      </c>
      <c r="C120" s="179"/>
      <c r="D120" s="179"/>
      <c r="E120" s="179"/>
      <c r="F120" s="100" t="s">
        <v>921</v>
      </c>
    </row>
    <row r="121" spans="1:6">
      <c r="A121" s="185" t="s">
        <v>980</v>
      </c>
    </row>
    <row r="122" spans="1:6">
      <c r="A122" t="s">
        <v>981</v>
      </c>
    </row>
  </sheetData>
  <printOptions horizontalCentered="1"/>
  <pageMargins left="0.75" right="0.75" top="1" bottom="1" header="0.5" footer="0.5"/>
  <pageSetup scale="79" fitToHeight="2" orientation="portrait" horizontalDpi="4294967292" verticalDpi="4294967292" r:id="rId1"/>
  <headerFooter alignWithMargins="0">
    <oddFooter>&amp;LScot Chambers
&amp;D&amp;CPage _____&amp;R&amp;F
&amp;A</oddFooter>
  </headerFooter>
  <rowBreaks count="3" manualBreakCount="3">
    <brk id="61" max="65535" man="1"/>
    <brk id="62" max="5" man="1"/>
    <brk id="65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  <pageSetUpPr fitToPage="1"/>
  </sheetPr>
  <dimension ref="A1:M901"/>
  <sheetViews>
    <sheetView zoomScale="80" workbookViewId="0">
      <pane ySplit="2" topLeftCell="A263" activePane="bottomLeft" state="frozen"/>
      <selection activeCell="E5" sqref="E5"/>
      <selection pane="bottomLeft" activeCell="L292" sqref="L292"/>
    </sheetView>
  </sheetViews>
  <sheetFormatPr defaultColWidth="9.109375" defaultRowHeight="13.2" outlineLevelRow="2"/>
  <cols>
    <col min="1" max="1" width="23.6640625" style="3" hidden="1" customWidth="1"/>
    <col min="2" max="2" width="24.44140625" style="3" hidden="1" customWidth="1"/>
    <col min="3" max="3" width="20.88671875" style="3" hidden="1" customWidth="1"/>
    <col min="4" max="4" width="22.88671875" style="3" hidden="1" customWidth="1"/>
    <col min="5" max="5" width="35.109375" style="3" customWidth="1"/>
    <col min="6" max="6" width="42.5546875" style="3" customWidth="1"/>
    <col min="7" max="7" width="15.109375" style="3" customWidth="1"/>
    <col min="8" max="8" width="15.6640625" style="3" customWidth="1"/>
    <col min="9" max="9" width="15.6640625" style="3" hidden="1" customWidth="1"/>
    <col min="10" max="10" width="13.88671875" style="3" hidden="1" customWidth="1"/>
    <col min="11" max="11" width="2.5546875" style="3" customWidth="1"/>
    <col min="12" max="12" width="9.44140625" style="45" customWidth="1"/>
    <col min="13" max="13" width="9.109375" style="45"/>
    <col min="14" max="16384" width="9.109375" style="3"/>
  </cols>
  <sheetData>
    <row r="1" spans="1:13" ht="18" customHeight="1" thickBot="1">
      <c r="L1" s="3"/>
      <c r="M1" s="3"/>
    </row>
    <row r="2" spans="1:13" ht="17.25" customHeight="1" thickBot="1">
      <c r="B2" s="186" t="s">
        <v>982</v>
      </c>
      <c r="C2" s="186" t="s">
        <v>983</v>
      </c>
      <c r="D2" s="186" t="s">
        <v>984</v>
      </c>
      <c r="E2" s="187" t="s">
        <v>985</v>
      </c>
      <c r="F2" s="188" t="s">
        <v>986</v>
      </c>
      <c r="G2" s="189"/>
      <c r="H2" s="190" t="s">
        <v>987</v>
      </c>
      <c r="I2" s="190" t="s">
        <v>988</v>
      </c>
      <c r="J2" s="190" t="s">
        <v>989</v>
      </c>
      <c r="L2" s="191" t="s">
        <v>990</v>
      </c>
    </row>
    <row r="3" spans="1:13" ht="17.25" customHeight="1">
      <c r="B3" s="186"/>
      <c r="C3" s="186"/>
      <c r="D3" s="186"/>
      <c r="E3" s="192" t="str">
        <f>Scope!A1</f>
        <v>City of Austin 4 x LM6000 Power Project</v>
      </c>
      <c r="F3" s="193"/>
      <c r="G3" s="193"/>
      <c r="H3" s="194"/>
      <c r="I3" s="194"/>
      <c r="J3" s="194"/>
      <c r="L3" s="191"/>
    </row>
    <row r="4" spans="1:13" ht="23.25" customHeight="1" thickBot="1">
      <c r="B4" s="186"/>
      <c r="C4" s="186"/>
      <c r="D4" s="186"/>
      <c r="E4" s="195" t="s">
        <v>991</v>
      </c>
      <c r="F4" s="196"/>
      <c r="G4" s="196"/>
      <c r="H4" s="197"/>
      <c r="I4" s="197"/>
      <c r="J4" s="197"/>
      <c r="L4" s="191"/>
    </row>
    <row r="5" spans="1:13" s="203" customFormat="1" ht="13.8" outlineLevel="1" thickBot="1">
      <c r="A5" s="3" t="s">
        <v>992</v>
      </c>
      <c r="B5" s="3" t="s">
        <v>993</v>
      </c>
      <c r="C5" s="3" t="s">
        <v>994</v>
      </c>
      <c r="D5" s="3" t="s">
        <v>995</v>
      </c>
      <c r="E5" s="198" t="s">
        <v>761</v>
      </c>
      <c r="F5" s="199"/>
      <c r="G5" s="200"/>
      <c r="H5" s="201"/>
      <c r="I5" s="201"/>
      <c r="J5" s="202"/>
    </row>
    <row r="6" spans="1:13" ht="13.8" outlineLevel="2" thickBot="1">
      <c r="A6" s="3" t="str">
        <f>B6&amp;C6&amp;D6</f>
        <v>O&amp;M Mobilization BudgetOperating ExpensesPublic Relations</v>
      </c>
      <c r="B6" s="3" t="s">
        <v>993</v>
      </c>
      <c r="C6" s="3" t="s">
        <v>994</v>
      </c>
      <c r="D6" s="3" t="s">
        <v>995</v>
      </c>
      <c r="E6" s="204" t="s">
        <v>996</v>
      </c>
      <c r="F6" s="41" t="s">
        <v>997</v>
      </c>
      <c r="G6" s="205"/>
      <c r="H6" s="206"/>
      <c r="I6" s="206">
        <f t="shared" ref="I6:I15" si="0">H6</f>
        <v>0</v>
      </c>
      <c r="J6" s="206">
        <f t="shared" ref="J6:J15" si="1">H6-I6</f>
        <v>0</v>
      </c>
      <c r="L6" s="3"/>
      <c r="M6" s="3"/>
    </row>
    <row r="7" spans="1:13" ht="13.8" outlineLevel="2" thickBot="1">
      <c r="E7" s="204" t="s">
        <v>998</v>
      </c>
      <c r="F7" s="41" t="s">
        <v>999</v>
      </c>
      <c r="G7" s="205"/>
      <c r="H7" s="206"/>
      <c r="I7" s="206">
        <f t="shared" si="0"/>
        <v>0</v>
      </c>
      <c r="J7" s="206">
        <f t="shared" si="1"/>
        <v>0</v>
      </c>
      <c r="L7" s="3"/>
      <c r="M7" s="3"/>
    </row>
    <row r="8" spans="1:13" ht="13.8" outlineLevel="2" thickBot="1">
      <c r="E8" s="204" t="s">
        <v>1000</v>
      </c>
      <c r="F8" s="41" t="s">
        <v>1001</v>
      </c>
      <c r="G8" s="205"/>
      <c r="H8" s="206"/>
      <c r="I8" s="206">
        <f t="shared" si="0"/>
        <v>0</v>
      </c>
      <c r="J8" s="206">
        <f t="shared" si="1"/>
        <v>0</v>
      </c>
      <c r="L8" s="3"/>
      <c r="M8" s="3"/>
    </row>
    <row r="9" spans="1:13" ht="13.8" outlineLevel="2" thickBot="1">
      <c r="E9" s="204" t="s">
        <v>1002</v>
      </c>
      <c r="F9" s="41"/>
      <c r="G9" s="205"/>
      <c r="H9" s="206"/>
      <c r="I9" s="206">
        <f t="shared" si="0"/>
        <v>0</v>
      </c>
      <c r="J9" s="206">
        <f t="shared" si="1"/>
        <v>0</v>
      </c>
      <c r="L9" s="3"/>
      <c r="M9" s="3"/>
    </row>
    <row r="10" spans="1:13" ht="13.8" outlineLevel="2" thickBot="1">
      <c r="E10" s="204"/>
      <c r="F10" s="41"/>
      <c r="G10" s="205"/>
      <c r="H10" s="206"/>
      <c r="I10" s="206">
        <f t="shared" si="0"/>
        <v>0</v>
      </c>
      <c r="J10" s="206">
        <f t="shared" si="1"/>
        <v>0</v>
      </c>
      <c r="L10" s="3"/>
      <c r="M10" s="3"/>
    </row>
    <row r="11" spans="1:13" ht="13.8" outlineLevel="2" thickBot="1">
      <c r="E11" s="204"/>
      <c r="F11" s="41"/>
      <c r="G11" s="205"/>
      <c r="H11" s="206"/>
      <c r="I11" s="206">
        <f t="shared" si="0"/>
        <v>0</v>
      </c>
      <c r="J11" s="206">
        <f t="shared" si="1"/>
        <v>0</v>
      </c>
      <c r="L11" s="3"/>
      <c r="M11" s="3"/>
    </row>
    <row r="12" spans="1:13" ht="13.8" outlineLevel="2" thickBot="1">
      <c r="E12" s="204"/>
      <c r="F12" s="41"/>
      <c r="G12" s="205"/>
      <c r="H12" s="206"/>
      <c r="I12" s="206">
        <f t="shared" si="0"/>
        <v>0</v>
      </c>
      <c r="J12" s="206">
        <f t="shared" si="1"/>
        <v>0</v>
      </c>
      <c r="L12" s="3"/>
      <c r="M12" s="3"/>
    </row>
    <row r="13" spans="1:13" ht="13.8" outlineLevel="2" thickBot="1">
      <c r="E13" s="204"/>
      <c r="F13" s="41"/>
      <c r="G13" s="205"/>
      <c r="H13" s="206"/>
      <c r="I13" s="206">
        <f t="shared" si="0"/>
        <v>0</v>
      </c>
      <c r="J13" s="206">
        <f t="shared" si="1"/>
        <v>0</v>
      </c>
      <c r="L13" s="3"/>
      <c r="M13" s="3"/>
    </row>
    <row r="14" spans="1:13" ht="13.8" outlineLevel="2" thickBot="1">
      <c r="E14" s="204"/>
      <c r="F14" s="41"/>
      <c r="G14" s="205"/>
      <c r="H14" s="206"/>
      <c r="I14" s="206">
        <f t="shared" si="0"/>
        <v>0</v>
      </c>
      <c r="J14" s="206">
        <f t="shared" si="1"/>
        <v>0</v>
      </c>
      <c r="L14" s="3"/>
      <c r="M14" s="3"/>
    </row>
    <row r="15" spans="1:13" ht="13.8" outlineLevel="2" thickBot="1">
      <c r="E15" s="204"/>
      <c r="F15" s="41"/>
      <c r="G15" s="205"/>
      <c r="H15" s="206"/>
      <c r="I15" s="206">
        <f t="shared" si="0"/>
        <v>0</v>
      </c>
      <c r="J15" s="206">
        <f t="shared" si="1"/>
        <v>0</v>
      </c>
      <c r="L15" s="3"/>
      <c r="M15" s="3"/>
    </row>
    <row r="16" spans="1:13" s="203" customFormat="1" ht="13.8" outlineLevel="1" thickBot="1">
      <c r="A16" s="203" t="s">
        <v>1003</v>
      </c>
      <c r="B16" s="203" t="s">
        <v>993</v>
      </c>
      <c r="C16" s="203" t="s">
        <v>994</v>
      </c>
      <c r="D16" s="203" t="s">
        <v>995</v>
      </c>
      <c r="E16" s="41" t="s">
        <v>1004</v>
      </c>
      <c r="G16" s="207" t="s">
        <v>1005</v>
      </c>
      <c r="H16" s="208">
        <f>SUBTOTAL(9,H6:H15)</f>
        <v>0</v>
      </c>
      <c r="I16" s="208">
        <f>SUBTOTAL(9,I6:I15)</f>
        <v>0</v>
      </c>
      <c r="J16" s="208">
        <f>SUBTOTAL(9,J6:J15)</f>
        <v>0</v>
      </c>
    </row>
    <row r="17" spans="1:13" ht="13.5" customHeight="1" thickBot="1">
      <c r="A17" s="3" t="s">
        <v>1006</v>
      </c>
      <c r="B17" s="3" t="s">
        <v>993</v>
      </c>
      <c r="C17" s="3" t="s">
        <v>994</v>
      </c>
      <c r="D17" s="3" t="s">
        <v>1007</v>
      </c>
      <c r="E17" s="209" t="s">
        <v>1007</v>
      </c>
      <c r="F17" s="210"/>
      <c r="G17" s="211"/>
      <c r="H17" s="212"/>
      <c r="I17" s="213"/>
      <c r="J17" s="214"/>
      <c r="M17" s="3"/>
    </row>
    <row r="18" spans="1:13" ht="13.5" customHeight="1" outlineLevel="2" thickBot="1">
      <c r="E18" s="204" t="s">
        <v>1008</v>
      </c>
      <c r="F18" s="41"/>
      <c r="G18" s="205"/>
      <c r="H18" s="206">
        <f>'Pay &amp; Benefits Calculations'!P55</f>
        <v>117282.88608738461</v>
      </c>
      <c r="I18" s="206">
        <f>H18</f>
        <v>117282.88608738461</v>
      </c>
      <c r="J18" s="206">
        <f>H18-I18</f>
        <v>0</v>
      </c>
      <c r="L18" s="3"/>
      <c r="M18" s="3"/>
    </row>
    <row r="19" spans="1:13" ht="13.5" customHeight="1" outlineLevel="2" thickBot="1">
      <c r="E19" s="204" t="s">
        <v>1009</v>
      </c>
      <c r="F19" s="41"/>
      <c r="G19" s="205"/>
      <c r="H19" s="206"/>
      <c r="I19" s="206">
        <f>H19</f>
        <v>0</v>
      </c>
      <c r="J19" s="206">
        <f>H19-I19</f>
        <v>0</v>
      </c>
      <c r="L19" s="3"/>
      <c r="M19" s="3"/>
    </row>
    <row r="20" spans="1:13" ht="13.5" customHeight="1" outlineLevel="2" thickBot="1">
      <c r="E20" s="204"/>
      <c r="F20" s="41"/>
      <c r="G20" s="205"/>
      <c r="H20" s="206"/>
      <c r="I20" s="206">
        <f>H20</f>
        <v>0</v>
      </c>
      <c r="J20" s="206">
        <f>H20-I20</f>
        <v>0</v>
      </c>
      <c r="L20" s="3"/>
      <c r="M20" s="3"/>
    </row>
    <row r="21" spans="1:13" ht="13.5" customHeight="1" outlineLevel="2" thickBot="1">
      <c r="E21" s="204"/>
      <c r="F21" s="41"/>
      <c r="G21" s="205"/>
      <c r="H21" s="206"/>
      <c r="I21" s="206">
        <f>H21</f>
        <v>0</v>
      </c>
      <c r="J21" s="206">
        <f>H21-I21</f>
        <v>0</v>
      </c>
      <c r="L21" s="3"/>
      <c r="M21" s="3"/>
    </row>
    <row r="22" spans="1:13" s="203" customFormat="1" ht="13.5" customHeight="1" outlineLevel="1" thickBot="1">
      <c r="A22" s="215" t="s">
        <v>1010</v>
      </c>
      <c r="B22" s="203" t="s">
        <v>993</v>
      </c>
      <c r="C22" s="203" t="s">
        <v>994</v>
      </c>
      <c r="D22" s="203" t="s">
        <v>1007</v>
      </c>
      <c r="E22" s="204"/>
      <c r="F22" s="41"/>
      <c r="G22" s="207" t="s">
        <v>1005</v>
      </c>
      <c r="H22" s="208">
        <f>SUBTOTAL(9,H18:H21)</f>
        <v>117282.88608738461</v>
      </c>
      <c r="I22" s="208">
        <f>SUBTOTAL(9,I18:I21)</f>
        <v>117282.88608738461</v>
      </c>
      <c r="J22" s="208">
        <f>SUBTOTAL(9,J18:J21)</f>
        <v>0</v>
      </c>
    </row>
    <row r="23" spans="1:13" s="203" customFormat="1" ht="13.5" customHeight="1" outlineLevel="1" thickBot="1">
      <c r="A23" s="3" t="s">
        <v>1011</v>
      </c>
      <c r="B23" s="3" t="s">
        <v>993</v>
      </c>
      <c r="C23" s="3" t="s">
        <v>994</v>
      </c>
      <c r="D23" s="3" t="s">
        <v>785</v>
      </c>
      <c r="E23" s="209" t="s">
        <v>785</v>
      </c>
      <c r="F23" s="210"/>
      <c r="G23" s="211"/>
      <c r="H23" s="201"/>
      <c r="I23" s="202"/>
      <c r="J23" s="202"/>
    </row>
    <row r="24" spans="1:13" ht="13.5" customHeight="1" outlineLevel="2" thickBot="1">
      <c r="A24" s="3" t="str">
        <f>B24&amp;C24&amp;D24</f>
        <v>O&amp;M Mobilization BudgetOperating ExpensesEmployee Expenses</v>
      </c>
      <c r="B24" s="3" t="s">
        <v>993</v>
      </c>
      <c r="C24" s="3" t="s">
        <v>994</v>
      </c>
      <c r="D24" s="3" t="s">
        <v>785</v>
      </c>
      <c r="E24" s="204" t="s">
        <v>1012</v>
      </c>
      <c r="F24" s="41" t="s">
        <v>617</v>
      </c>
      <c r="G24" s="205"/>
      <c r="H24" s="206">
        <v>1000</v>
      </c>
      <c r="I24" s="206">
        <f>H24-J24</f>
        <v>1000</v>
      </c>
      <c r="J24" s="206"/>
      <c r="L24" s="3"/>
      <c r="M24" s="3"/>
    </row>
    <row r="25" spans="1:13" ht="13.5" customHeight="1" outlineLevel="2" thickBot="1">
      <c r="E25" s="204" t="s">
        <v>1013</v>
      </c>
      <c r="F25" s="41" t="s">
        <v>1014</v>
      </c>
      <c r="G25" s="205"/>
      <c r="H25" s="206">
        <v>1200</v>
      </c>
      <c r="I25" s="206">
        <f>H25-J25</f>
        <v>1200</v>
      </c>
      <c r="J25" s="206"/>
      <c r="L25" s="3"/>
      <c r="M25" s="3"/>
    </row>
    <row r="26" spans="1:13" ht="13.5" customHeight="1" outlineLevel="2" thickBot="1">
      <c r="E26" s="204" t="s">
        <v>1015</v>
      </c>
      <c r="F26" s="41"/>
      <c r="G26" s="205"/>
      <c r="H26" s="206">
        <v>1000</v>
      </c>
      <c r="I26" s="206">
        <f>H26-J26</f>
        <v>1000</v>
      </c>
      <c r="J26" s="206"/>
      <c r="L26" s="3"/>
      <c r="M26" s="3"/>
    </row>
    <row r="27" spans="1:13" ht="13.5" customHeight="1" outlineLevel="2" thickBot="1">
      <c r="E27" s="204" t="s">
        <v>785</v>
      </c>
      <c r="F27" s="41" t="s">
        <v>599</v>
      </c>
      <c r="G27" s="205"/>
      <c r="H27" s="206">
        <v>750</v>
      </c>
      <c r="I27" s="206"/>
      <c r="J27" s="206"/>
      <c r="L27" s="3"/>
      <c r="M27" s="3"/>
    </row>
    <row r="28" spans="1:13" s="203" customFormat="1" ht="13.5" customHeight="1" outlineLevel="1" thickBot="1">
      <c r="A28" s="203" t="s">
        <v>1016</v>
      </c>
      <c r="B28" s="203" t="s">
        <v>993</v>
      </c>
      <c r="C28" s="203" t="s">
        <v>994</v>
      </c>
      <c r="D28" s="203" t="s">
        <v>785</v>
      </c>
      <c r="E28" s="204"/>
      <c r="F28" s="41"/>
      <c r="G28" s="207" t="s">
        <v>1005</v>
      </c>
      <c r="H28" s="208">
        <f>SUBTOTAL(9,H24:H27)</f>
        <v>3950</v>
      </c>
      <c r="I28" s="208">
        <f>SUBTOTAL(9,I24:I26)</f>
        <v>3200</v>
      </c>
      <c r="J28" s="208">
        <f>SUBTOTAL(9,J24:J26)</f>
        <v>0</v>
      </c>
    </row>
    <row r="29" spans="1:13" s="203" customFormat="1" ht="13.5" customHeight="1" outlineLevel="1" thickBot="1">
      <c r="A29" s="3" t="s">
        <v>1017</v>
      </c>
      <c r="B29" s="3" t="s">
        <v>993</v>
      </c>
      <c r="C29" s="3" t="s">
        <v>994</v>
      </c>
      <c r="D29" s="3" t="s">
        <v>786</v>
      </c>
      <c r="E29" s="209" t="s">
        <v>786</v>
      </c>
      <c r="F29" s="210"/>
      <c r="G29" s="211"/>
      <c r="H29" s="201"/>
      <c r="I29" s="202"/>
      <c r="J29" s="201"/>
    </row>
    <row r="30" spans="1:13" ht="13.8" outlineLevel="2" thickBot="1">
      <c r="A30" s="3" t="str">
        <f>B30&amp;C30&amp;D30</f>
        <v>O&amp;M Mobilization BudgetOperating ExpensesRecruiting Expenses</v>
      </c>
      <c r="B30" s="3" t="s">
        <v>993</v>
      </c>
      <c r="C30" s="3" t="s">
        <v>994</v>
      </c>
      <c r="D30" s="3" t="s">
        <v>786</v>
      </c>
      <c r="E30" s="216" t="s">
        <v>1018</v>
      </c>
      <c r="F30" s="41" t="s">
        <v>613</v>
      </c>
      <c r="G30" s="205"/>
      <c r="H30" s="206">
        <v>0</v>
      </c>
      <c r="I30" s="206">
        <f>H30</f>
        <v>0</v>
      </c>
      <c r="J30" s="206">
        <f>H30-I30</f>
        <v>0</v>
      </c>
      <c r="L30" s="3"/>
      <c r="M30" s="3"/>
    </row>
    <row r="31" spans="1:13" ht="13.5" customHeight="1" outlineLevel="2" thickBot="1">
      <c r="A31" s="3" t="str">
        <f>B31&amp;C31&amp;D31</f>
        <v>O&amp;M Mobilization BudgetOperating ExpensesRecruiting Expenses</v>
      </c>
      <c r="B31" s="3" t="s">
        <v>993</v>
      </c>
      <c r="C31" s="3" t="s">
        <v>994</v>
      </c>
      <c r="D31" s="3" t="s">
        <v>786</v>
      </c>
      <c r="E31" s="216" t="s">
        <v>1019</v>
      </c>
      <c r="F31" s="41" t="s">
        <v>1020</v>
      </c>
      <c r="G31" s="205"/>
      <c r="H31" s="206">
        <v>3000</v>
      </c>
      <c r="I31" s="206">
        <f>H31</f>
        <v>3000</v>
      </c>
      <c r="J31" s="206">
        <f>H31-I31</f>
        <v>0</v>
      </c>
      <c r="L31" s="3"/>
      <c r="M31" s="3"/>
    </row>
    <row r="32" spans="1:13" ht="13.5" customHeight="1" outlineLevel="2" thickBot="1">
      <c r="E32" s="216" t="s">
        <v>1021</v>
      </c>
      <c r="F32" s="41" t="s">
        <v>1022</v>
      </c>
      <c r="G32" s="205"/>
      <c r="H32" s="206">
        <f>200*Plt_Staff!B20</f>
        <v>1000</v>
      </c>
      <c r="I32" s="206">
        <f>H32</f>
        <v>1000</v>
      </c>
      <c r="J32" s="206">
        <f>H32-I32</f>
        <v>0</v>
      </c>
      <c r="L32" s="3"/>
      <c r="M32" s="3"/>
    </row>
    <row r="33" spans="1:13" ht="13.5" customHeight="1" outlineLevel="2" thickBot="1">
      <c r="E33" s="204" t="s">
        <v>1023</v>
      </c>
      <c r="F33" s="41" t="s">
        <v>1024</v>
      </c>
      <c r="G33" s="205"/>
      <c r="H33" s="206">
        <v>1000</v>
      </c>
      <c r="I33" s="206">
        <f>H33</f>
        <v>1000</v>
      </c>
      <c r="J33" s="206">
        <f>H33-I33</f>
        <v>0</v>
      </c>
      <c r="L33" s="3"/>
      <c r="M33" s="3"/>
    </row>
    <row r="34" spans="1:13" ht="13.5" customHeight="1" outlineLevel="2" thickBot="1">
      <c r="E34" s="204"/>
      <c r="F34" s="41"/>
      <c r="G34" s="205"/>
      <c r="H34" s="206"/>
      <c r="I34" s="206"/>
      <c r="J34" s="206"/>
      <c r="L34" s="3"/>
      <c r="M34" s="3"/>
    </row>
    <row r="35" spans="1:13" s="203" customFormat="1" ht="13.8" outlineLevel="1" thickBot="1">
      <c r="A35" s="203" t="s">
        <v>1025</v>
      </c>
      <c r="B35" s="203" t="s">
        <v>993</v>
      </c>
      <c r="C35" s="203" t="s">
        <v>994</v>
      </c>
      <c r="D35" s="203" t="s">
        <v>786</v>
      </c>
      <c r="E35" s="204"/>
      <c r="F35" s="41"/>
      <c r="G35" s="207" t="s">
        <v>1005</v>
      </c>
      <c r="H35" s="208">
        <f>SUBTOTAL(9,H30:H34)</f>
        <v>5000</v>
      </c>
      <c r="I35" s="208">
        <f>SUBTOTAL(9,I31:I34)</f>
        <v>5000</v>
      </c>
      <c r="J35" s="208">
        <f>SUBTOTAL(9,J30:J34)</f>
        <v>0</v>
      </c>
    </row>
    <row r="36" spans="1:13" s="203" customFormat="1" ht="13.8" outlineLevel="1" thickBot="1">
      <c r="A36" s="3" t="s">
        <v>1026</v>
      </c>
      <c r="B36" s="3" t="s">
        <v>993</v>
      </c>
      <c r="C36" s="3" t="s">
        <v>994</v>
      </c>
      <c r="D36" s="3" t="s">
        <v>787</v>
      </c>
      <c r="E36" s="209" t="s">
        <v>787</v>
      </c>
      <c r="F36" s="210"/>
      <c r="G36" s="211"/>
      <c r="H36" s="201"/>
      <c r="I36" s="202"/>
      <c r="J36" s="201"/>
    </row>
    <row r="37" spans="1:13" ht="13.8" hidden="1" outlineLevel="2" thickBot="1">
      <c r="E37" s="216" t="s">
        <v>1027</v>
      </c>
      <c r="F37" s="217"/>
      <c r="G37" s="205"/>
      <c r="H37" s="206">
        <f>0.25*Plt_Staff!C8</f>
        <v>0</v>
      </c>
      <c r="I37" s="206">
        <f>H37</f>
        <v>0</v>
      </c>
      <c r="J37" s="206">
        <f>H37-I37</f>
        <v>0</v>
      </c>
      <c r="L37" s="3"/>
      <c r="M37" s="3"/>
    </row>
    <row r="38" spans="1:13" ht="13.8" outlineLevel="2" thickBot="1">
      <c r="E38" s="204" t="s">
        <v>1028</v>
      </c>
      <c r="F38" s="217" t="s">
        <v>1029</v>
      </c>
      <c r="G38" s="205"/>
      <c r="H38" s="206">
        <v>5000</v>
      </c>
      <c r="I38" s="206">
        <f>H38</f>
        <v>5000</v>
      </c>
      <c r="J38" s="206">
        <f>H38-I38</f>
        <v>0</v>
      </c>
      <c r="L38" s="3"/>
      <c r="M38" s="3"/>
    </row>
    <row r="39" spans="1:13" ht="13.8" outlineLevel="2" thickBot="1">
      <c r="E39" s="204" t="s">
        <v>1030</v>
      </c>
      <c r="F39" s="217" t="s">
        <v>1029</v>
      </c>
      <c r="G39" s="205"/>
      <c r="H39" s="206">
        <v>5000</v>
      </c>
      <c r="I39" s="206">
        <f>H39</f>
        <v>5000</v>
      </c>
      <c r="J39" s="206">
        <f>H39-I39</f>
        <v>0</v>
      </c>
      <c r="L39" s="3"/>
      <c r="M39" s="3"/>
    </row>
    <row r="40" spans="1:13" ht="13.8" outlineLevel="2" thickBot="1">
      <c r="E40" s="204" t="s">
        <v>1031</v>
      </c>
      <c r="F40" s="41"/>
      <c r="G40" s="205"/>
      <c r="H40" s="206"/>
      <c r="I40" s="206"/>
      <c r="J40" s="206"/>
      <c r="L40" s="3"/>
      <c r="M40" s="3"/>
    </row>
    <row r="41" spans="1:13" s="203" customFormat="1" ht="13.8" outlineLevel="1" thickBot="1">
      <c r="A41" s="203" t="s">
        <v>1032</v>
      </c>
      <c r="B41" s="203" t="s">
        <v>993</v>
      </c>
      <c r="C41" s="203" t="s">
        <v>994</v>
      </c>
      <c r="D41" s="203" t="s">
        <v>787</v>
      </c>
      <c r="E41" s="204"/>
      <c r="F41" s="41"/>
      <c r="G41" s="207" t="s">
        <v>1005</v>
      </c>
      <c r="H41" s="208">
        <f>SUBTOTAL(9,H37:H39)</f>
        <v>10000</v>
      </c>
      <c r="I41" s="208">
        <f>SUBTOTAL(9,I37:I39)</f>
        <v>10000</v>
      </c>
      <c r="J41" s="208">
        <f>SUBTOTAL(9,J37:J39)</f>
        <v>0</v>
      </c>
    </row>
    <row r="42" spans="1:13" s="203" customFormat="1" ht="13.8" outlineLevel="1" thickBot="1">
      <c r="A42" s="3" t="s">
        <v>1033</v>
      </c>
      <c r="B42" s="3" t="s">
        <v>993</v>
      </c>
      <c r="C42" s="3" t="s">
        <v>994</v>
      </c>
      <c r="D42" s="3" t="s">
        <v>788</v>
      </c>
      <c r="E42" s="209" t="s">
        <v>788</v>
      </c>
      <c r="F42" s="210"/>
      <c r="G42" s="211"/>
      <c r="H42" s="201"/>
      <c r="I42" s="201"/>
      <c r="J42" s="201"/>
    </row>
    <row r="43" spans="1:13" ht="13.8" outlineLevel="2" thickBot="1">
      <c r="A43" s="3" t="str">
        <f>B43&amp;C43&amp;D43</f>
        <v>O&amp;M Mobilization BudgetOperating ExpensesOutside Services</v>
      </c>
      <c r="B43" s="3" t="s">
        <v>993</v>
      </c>
      <c r="C43" s="3" t="s">
        <v>994</v>
      </c>
      <c r="D43" s="3" t="s">
        <v>788</v>
      </c>
      <c r="E43" s="204" t="s">
        <v>1034</v>
      </c>
      <c r="F43" s="41" t="s">
        <v>1035</v>
      </c>
      <c r="G43" s="205"/>
      <c r="H43" s="206"/>
      <c r="I43" s="206">
        <f t="shared" ref="I43:I50" si="2">H43</f>
        <v>0</v>
      </c>
      <c r="J43" s="206">
        <f t="shared" ref="J43:J50" si="3">H43-I43</f>
        <v>0</v>
      </c>
      <c r="L43" s="3"/>
      <c r="M43" s="3"/>
    </row>
    <row r="44" spans="1:13" ht="13.8" outlineLevel="2" thickBot="1">
      <c r="A44" s="3" t="str">
        <f>B44&amp;C44&amp;D44</f>
        <v>O&amp;M Mobilization BudgetOperating ExpensesOutside Services</v>
      </c>
      <c r="B44" s="3" t="s">
        <v>993</v>
      </c>
      <c r="C44" s="3" t="s">
        <v>994</v>
      </c>
      <c r="D44" s="3" t="s">
        <v>788</v>
      </c>
      <c r="E44" s="204" t="s">
        <v>1036</v>
      </c>
      <c r="F44" s="41" t="s">
        <v>1035</v>
      </c>
      <c r="G44" s="205"/>
      <c r="H44" s="206"/>
      <c r="I44" s="206">
        <f t="shared" si="2"/>
        <v>0</v>
      </c>
      <c r="J44" s="206">
        <f t="shared" si="3"/>
        <v>0</v>
      </c>
      <c r="L44" s="3"/>
      <c r="M44" s="3"/>
    </row>
    <row r="45" spans="1:13" ht="13.8" outlineLevel="2" thickBot="1">
      <c r="A45" s="3" t="str">
        <f>B45&amp;C45&amp;D45</f>
        <v>O&amp;M Mobilization BudgetOperating ExpensesOutside Services</v>
      </c>
      <c r="B45" s="3" t="s">
        <v>993</v>
      </c>
      <c r="C45" s="3" t="s">
        <v>994</v>
      </c>
      <c r="D45" s="3" t="s">
        <v>788</v>
      </c>
      <c r="E45" s="204" t="s">
        <v>1037</v>
      </c>
      <c r="F45" s="41" t="s">
        <v>1038</v>
      </c>
      <c r="G45" s="205"/>
      <c r="H45" s="206">
        <f>800*4</f>
        <v>3200</v>
      </c>
      <c r="I45" s="206">
        <f t="shared" si="2"/>
        <v>3200</v>
      </c>
      <c r="J45" s="206">
        <f t="shared" si="3"/>
        <v>0</v>
      </c>
      <c r="L45" s="3"/>
      <c r="M45" s="3"/>
    </row>
    <row r="46" spans="1:13" ht="13.8" outlineLevel="2" thickBot="1">
      <c r="A46" s="3" t="str">
        <f>B46&amp;C46&amp;D46</f>
        <v>O&amp;M Mobilization BudgetOperating ExpensesOutside Services</v>
      </c>
      <c r="B46" s="3" t="s">
        <v>993</v>
      </c>
      <c r="C46" s="3" t="s">
        <v>994</v>
      </c>
      <c r="D46" s="3" t="s">
        <v>788</v>
      </c>
      <c r="E46" s="204" t="s">
        <v>1039</v>
      </c>
      <c r="F46" s="41" t="s">
        <v>613</v>
      </c>
      <c r="G46" s="205"/>
      <c r="H46" s="206">
        <v>0</v>
      </c>
      <c r="I46" s="206">
        <f t="shared" si="2"/>
        <v>0</v>
      </c>
      <c r="J46" s="206">
        <f t="shared" si="3"/>
        <v>0</v>
      </c>
      <c r="L46" s="3"/>
      <c r="M46" s="3"/>
    </row>
    <row r="47" spans="1:13" ht="13.8" outlineLevel="2" thickBot="1">
      <c r="E47" s="204" t="s">
        <v>1040</v>
      </c>
      <c r="F47" s="41" t="s">
        <v>613</v>
      </c>
      <c r="G47" s="205"/>
      <c r="H47" s="206">
        <v>0</v>
      </c>
      <c r="I47" s="206">
        <f t="shared" si="2"/>
        <v>0</v>
      </c>
      <c r="J47" s="206">
        <f t="shared" si="3"/>
        <v>0</v>
      </c>
      <c r="L47" s="3"/>
      <c r="M47" s="3"/>
    </row>
    <row r="48" spans="1:13" ht="13.8" outlineLevel="2" thickBot="1">
      <c r="A48" s="3" t="str">
        <f>B48&amp;C48&amp;D48</f>
        <v>O&amp;M Mobilization BudgetOperating ExpensesOutside Services</v>
      </c>
      <c r="B48" s="3" t="s">
        <v>993</v>
      </c>
      <c r="C48" s="3" t="s">
        <v>994</v>
      </c>
      <c r="D48" s="3" t="s">
        <v>788</v>
      </c>
      <c r="E48" s="204" t="s">
        <v>1041</v>
      </c>
      <c r="F48" s="41" t="s">
        <v>613</v>
      </c>
      <c r="G48" s="205"/>
      <c r="H48" s="206">
        <v>0</v>
      </c>
      <c r="I48" s="206">
        <f t="shared" si="2"/>
        <v>0</v>
      </c>
      <c r="J48" s="206">
        <f t="shared" si="3"/>
        <v>0</v>
      </c>
      <c r="L48" s="3"/>
      <c r="M48" s="3"/>
    </row>
    <row r="49" spans="1:13" ht="13.8" outlineLevel="2" thickBot="1">
      <c r="A49" s="3" t="str">
        <f>B49&amp;C49&amp;D49</f>
        <v>O&amp;M Mobilization BudgetOperating ExpensesOutside Services</v>
      </c>
      <c r="B49" s="3" t="s">
        <v>993</v>
      </c>
      <c r="C49" s="3" t="s">
        <v>994</v>
      </c>
      <c r="D49" s="3" t="s">
        <v>788</v>
      </c>
      <c r="E49" s="204" t="s">
        <v>1042</v>
      </c>
      <c r="F49" s="41" t="s">
        <v>613</v>
      </c>
      <c r="G49" s="205"/>
      <c r="H49" s="206"/>
      <c r="I49" s="206">
        <f t="shared" si="2"/>
        <v>0</v>
      </c>
      <c r="J49" s="206">
        <f t="shared" si="3"/>
        <v>0</v>
      </c>
      <c r="L49" s="3"/>
      <c r="M49" s="3"/>
    </row>
    <row r="50" spans="1:13" ht="13.8" outlineLevel="2" thickBot="1">
      <c r="A50" s="3" t="str">
        <f>B50&amp;C50&amp;D50</f>
        <v>O&amp;M Mobilization BudgetOperating ExpensesOutside Services</v>
      </c>
      <c r="B50" s="3" t="s">
        <v>993</v>
      </c>
      <c r="C50" s="3" t="s">
        <v>994</v>
      </c>
      <c r="D50" s="3" t="s">
        <v>788</v>
      </c>
      <c r="E50" s="204" t="s">
        <v>1043</v>
      </c>
      <c r="F50" s="41" t="s">
        <v>613</v>
      </c>
      <c r="G50" s="205"/>
      <c r="H50" s="206"/>
      <c r="I50" s="206">
        <f t="shared" si="2"/>
        <v>0</v>
      </c>
      <c r="J50" s="206">
        <f t="shared" si="3"/>
        <v>0</v>
      </c>
      <c r="L50" s="3"/>
      <c r="M50" s="3"/>
    </row>
    <row r="51" spans="1:13" ht="13.8" outlineLevel="2" thickBot="1">
      <c r="E51" s="204" t="s">
        <v>1044</v>
      </c>
      <c r="F51" s="41" t="s">
        <v>613</v>
      </c>
      <c r="G51" s="205"/>
      <c r="H51" s="206"/>
      <c r="I51" s="206"/>
      <c r="J51" s="206"/>
      <c r="L51" s="3"/>
      <c r="M51" s="3"/>
    </row>
    <row r="52" spans="1:13" ht="13.8" outlineLevel="2" thickBot="1">
      <c r="E52" s="204" t="s">
        <v>1045</v>
      </c>
      <c r="F52" s="41" t="s">
        <v>613</v>
      </c>
      <c r="G52" s="205"/>
      <c r="H52" s="206"/>
      <c r="I52" s="206"/>
      <c r="J52" s="206"/>
      <c r="L52" s="3"/>
      <c r="M52" s="3"/>
    </row>
    <row r="53" spans="1:13" ht="13.8" outlineLevel="2" thickBot="1">
      <c r="E53" s="204" t="s">
        <v>1046</v>
      </c>
      <c r="F53" s="41" t="s">
        <v>1035</v>
      </c>
      <c r="G53" s="205"/>
      <c r="H53" s="206"/>
      <c r="I53" s="206">
        <f>H53</f>
        <v>0</v>
      </c>
      <c r="J53" s="206">
        <f>H53-I53</f>
        <v>0</v>
      </c>
      <c r="L53" s="3"/>
      <c r="M53" s="3"/>
    </row>
    <row r="54" spans="1:13" ht="13.8" outlineLevel="2" thickBot="1">
      <c r="E54" s="204" t="s">
        <v>1047</v>
      </c>
      <c r="F54" s="41" t="s">
        <v>1035</v>
      </c>
      <c r="G54" s="205"/>
      <c r="H54" s="206"/>
      <c r="I54" s="206">
        <f>H54</f>
        <v>0</v>
      </c>
      <c r="J54" s="206">
        <f>H54-I54</f>
        <v>0</v>
      </c>
      <c r="L54" s="3"/>
      <c r="M54" s="3"/>
    </row>
    <row r="55" spans="1:13" ht="13.8" outlineLevel="2" thickBot="1">
      <c r="E55" s="204" t="s">
        <v>621</v>
      </c>
      <c r="F55" s="41" t="s">
        <v>613</v>
      </c>
      <c r="G55" s="205"/>
      <c r="H55" s="206"/>
      <c r="I55" s="206">
        <f>H55</f>
        <v>0</v>
      </c>
      <c r="J55" s="206">
        <f>H55-I55</f>
        <v>0</v>
      </c>
      <c r="L55" s="3"/>
      <c r="M55" s="3"/>
    </row>
    <row r="56" spans="1:13" ht="13.8" outlineLevel="2" thickBot="1">
      <c r="E56" s="204" t="s">
        <v>1048</v>
      </c>
      <c r="F56" s="41"/>
      <c r="G56" s="205"/>
      <c r="H56" s="206">
        <v>3000</v>
      </c>
      <c r="I56" s="206"/>
      <c r="J56" s="206"/>
      <c r="L56" s="3"/>
      <c r="M56" s="3"/>
    </row>
    <row r="57" spans="1:13" ht="13.8" outlineLevel="2" thickBot="1">
      <c r="A57" s="3" t="str">
        <f>B57&amp;C57&amp;D57</f>
        <v>O&amp;M Mobilization BudgetOperating ExpensesOutside Services</v>
      </c>
      <c r="B57" s="3" t="s">
        <v>993</v>
      </c>
      <c r="C57" s="3" t="s">
        <v>994</v>
      </c>
      <c r="D57" s="3" t="s">
        <v>788</v>
      </c>
      <c r="E57" s="204" t="s">
        <v>1049</v>
      </c>
      <c r="F57" s="41"/>
      <c r="G57" s="205"/>
      <c r="H57" s="206"/>
      <c r="I57" s="206">
        <f>H57</f>
        <v>0</v>
      </c>
      <c r="J57" s="206">
        <f>H57-I57</f>
        <v>0</v>
      </c>
      <c r="L57" s="3"/>
      <c r="M57" s="3"/>
    </row>
    <row r="58" spans="1:13" ht="13.8" outlineLevel="2" thickBot="1">
      <c r="E58" s="204" t="s">
        <v>1050</v>
      </c>
      <c r="F58" s="41" t="s">
        <v>1051</v>
      </c>
      <c r="G58" s="205"/>
      <c r="H58" s="206">
        <f>20*160</f>
        <v>3200</v>
      </c>
      <c r="I58" s="206"/>
      <c r="J58" s="206"/>
      <c r="L58" s="3"/>
      <c r="M58" s="3"/>
    </row>
    <row r="59" spans="1:13" s="203" customFormat="1" ht="13.8" outlineLevel="1" thickBot="1">
      <c r="A59" s="203" t="s">
        <v>1052</v>
      </c>
      <c r="B59" s="203" t="s">
        <v>993</v>
      </c>
      <c r="C59" s="203" t="s">
        <v>994</v>
      </c>
      <c r="D59" s="203" t="s">
        <v>788</v>
      </c>
      <c r="E59" s="204"/>
      <c r="F59" s="41"/>
      <c r="G59" s="207" t="s">
        <v>1005</v>
      </c>
      <c r="H59" s="208">
        <f>SUBTOTAL(9,H43:H58)</f>
        <v>9400</v>
      </c>
      <c r="I59" s="208">
        <f>SUBTOTAL(9,I43:I58)</f>
        <v>3200</v>
      </c>
      <c r="J59" s="208">
        <f>SUBTOTAL(9,J43:J58)</f>
        <v>0</v>
      </c>
    </row>
    <row r="60" spans="1:13" s="203" customFormat="1" ht="13.8" outlineLevel="1" thickBot="1">
      <c r="A60" s="3" t="s">
        <v>1053</v>
      </c>
      <c r="B60" s="3" t="s">
        <v>993</v>
      </c>
      <c r="C60" s="3" t="s">
        <v>994</v>
      </c>
      <c r="D60" s="3" t="s">
        <v>789</v>
      </c>
      <c r="E60" s="209" t="s">
        <v>789</v>
      </c>
      <c r="F60" s="210"/>
      <c r="G60" s="211"/>
      <c r="H60" s="201"/>
      <c r="I60" s="201"/>
      <c r="J60" s="201"/>
    </row>
    <row r="61" spans="1:13" ht="13.8" outlineLevel="2" thickBot="1">
      <c r="E61" s="216" t="s">
        <v>1054</v>
      </c>
      <c r="F61" s="217" t="s">
        <v>1055</v>
      </c>
      <c r="G61" s="205"/>
      <c r="H61" s="206">
        <v>600</v>
      </c>
      <c r="I61" s="206">
        <f>H61-J61</f>
        <v>600</v>
      </c>
      <c r="J61" s="206"/>
      <c r="L61" s="3"/>
      <c r="M61" s="3"/>
    </row>
    <row r="62" spans="1:13" ht="13.8" outlineLevel="2" thickBot="1">
      <c r="A62" s="3" t="str">
        <f>B62&amp;C62&amp;D62</f>
        <v>O&amp;M Mobilization BudgetOperating ExpensesOther Supplies &amp; Expenses</v>
      </c>
      <c r="B62" s="3" t="s">
        <v>993</v>
      </c>
      <c r="C62" s="3" t="s">
        <v>994</v>
      </c>
      <c r="D62" s="3" t="s">
        <v>789</v>
      </c>
      <c r="E62" s="216" t="s">
        <v>1056</v>
      </c>
      <c r="F62" s="217" t="s">
        <v>1057</v>
      </c>
      <c r="G62" s="205"/>
      <c r="H62" s="206">
        <v>2500</v>
      </c>
      <c r="I62" s="206">
        <f>H62-J62</f>
        <v>2500</v>
      </c>
      <c r="J62" s="206"/>
      <c r="L62" s="3"/>
      <c r="M62" s="3"/>
    </row>
    <row r="63" spans="1:13" ht="13.8" outlineLevel="2" thickBot="1">
      <c r="A63" s="3" t="str">
        <f>B63&amp;C63&amp;D63</f>
        <v>O&amp;M Mobilization BudgetOperating ExpensesOther Supplies &amp; Expenses</v>
      </c>
      <c r="B63" s="3" t="s">
        <v>993</v>
      </c>
      <c r="C63" s="3" t="s">
        <v>994</v>
      </c>
      <c r="D63" s="3" t="s">
        <v>789</v>
      </c>
      <c r="E63" s="216" t="s">
        <v>1058</v>
      </c>
      <c r="F63" s="217" t="s">
        <v>1059</v>
      </c>
      <c r="G63" s="205"/>
      <c r="H63" s="206">
        <f>1*5*1000*1.5/14+500</f>
        <v>1035.7142857142858</v>
      </c>
      <c r="I63" s="206">
        <f>H63-J63</f>
        <v>1035.7142857142858</v>
      </c>
      <c r="J63" s="206"/>
      <c r="L63" s="3"/>
      <c r="M63" s="3"/>
    </row>
    <row r="64" spans="1:13" ht="13.8" outlineLevel="2" thickBot="1">
      <c r="A64" s="3" t="str">
        <f>B64&amp;C64&amp;D64</f>
        <v>O&amp;M Mobilization BudgetOperating ExpensesOther Supplies &amp; Expenses</v>
      </c>
      <c r="B64" s="3" t="s">
        <v>993</v>
      </c>
      <c r="C64" s="3" t="s">
        <v>994</v>
      </c>
      <c r="D64" s="3" t="s">
        <v>789</v>
      </c>
      <c r="E64" s="216" t="s">
        <v>1060</v>
      </c>
      <c r="F64" s="217"/>
      <c r="G64" s="205"/>
      <c r="H64" s="206">
        <v>2000</v>
      </c>
      <c r="I64" s="206">
        <f>H64-J64</f>
        <v>2000</v>
      </c>
      <c r="J64" s="206"/>
      <c r="L64" s="3"/>
      <c r="M64" s="3"/>
    </row>
    <row r="65" spans="1:13" ht="13.8" outlineLevel="2" thickBot="1">
      <c r="A65" s="3" t="str">
        <f>B65&amp;C65&amp;D65</f>
        <v>O&amp;M Mobilization BudgetOperating ExpensesOther Supplies &amp; Expenses</v>
      </c>
      <c r="B65" s="3" t="s">
        <v>993</v>
      </c>
      <c r="C65" s="3" t="s">
        <v>994</v>
      </c>
      <c r="D65" s="3" t="s">
        <v>789</v>
      </c>
      <c r="E65" s="216" t="s">
        <v>1061</v>
      </c>
      <c r="F65" s="217" t="s">
        <v>1062</v>
      </c>
      <c r="G65" s="205"/>
      <c r="H65" s="206">
        <v>2500</v>
      </c>
      <c r="I65" s="206">
        <f>H65-J65</f>
        <v>2500</v>
      </c>
      <c r="J65" s="206"/>
      <c r="L65" s="3"/>
      <c r="M65" s="3"/>
    </row>
    <row r="66" spans="1:13" ht="13.8" outlineLevel="2" thickBot="1">
      <c r="E66" s="204"/>
      <c r="F66" s="41"/>
      <c r="G66" s="205"/>
      <c r="H66" s="206"/>
      <c r="I66" s="206"/>
      <c r="J66" s="206"/>
      <c r="L66" s="3"/>
      <c r="M66" s="3"/>
    </row>
    <row r="67" spans="1:13" s="203" customFormat="1" ht="13.8" outlineLevel="1" thickBot="1">
      <c r="A67" s="203" t="s">
        <v>1063</v>
      </c>
      <c r="B67" s="203" t="s">
        <v>993</v>
      </c>
      <c r="C67" s="203" t="s">
        <v>994</v>
      </c>
      <c r="D67" s="203" t="s">
        <v>789</v>
      </c>
      <c r="E67" s="204"/>
      <c r="F67" s="41"/>
      <c r="G67" s="207" t="s">
        <v>1005</v>
      </c>
      <c r="H67" s="208">
        <f>SUBTOTAL(9,H61:H66)</f>
        <v>8635.7142857142862</v>
      </c>
      <c r="I67" s="208">
        <f>SUBTOTAL(9,I61:I66)</f>
        <v>8635.7142857142862</v>
      </c>
      <c r="J67" s="208">
        <f>SUBTOTAL(9,J61:J66)</f>
        <v>0</v>
      </c>
    </row>
    <row r="68" spans="1:13" s="203" customFormat="1" ht="13.8" outlineLevel="1" thickBot="1">
      <c r="A68" s="3" t="s">
        <v>1064</v>
      </c>
      <c r="B68" s="3" t="s">
        <v>993</v>
      </c>
      <c r="C68" s="3" t="s">
        <v>994</v>
      </c>
      <c r="D68" s="3" t="s">
        <v>790</v>
      </c>
      <c r="E68" s="209" t="s">
        <v>790</v>
      </c>
      <c r="F68" s="210"/>
      <c r="G68" s="211"/>
      <c r="H68" s="201"/>
      <c r="I68" s="201"/>
      <c r="J68" s="201"/>
    </row>
    <row r="69" spans="1:13" ht="13.8" outlineLevel="2" thickBot="1">
      <c r="A69" s="3" t="str">
        <f>B69&amp;C69&amp;D69</f>
        <v>O&amp;M Mobilization BudgetOperating ExpensesCommunications</v>
      </c>
      <c r="B69" s="3" t="s">
        <v>993</v>
      </c>
      <c r="C69" s="3" t="s">
        <v>994</v>
      </c>
      <c r="D69" s="3" t="s">
        <v>790</v>
      </c>
      <c r="E69" s="204" t="s">
        <v>1065</v>
      </c>
      <c r="F69" s="41" t="s">
        <v>1066</v>
      </c>
      <c r="G69" s="205"/>
      <c r="H69" s="206">
        <f>5*500</f>
        <v>2500</v>
      </c>
      <c r="I69" s="206">
        <f>H69-J69</f>
        <v>2500</v>
      </c>
      <c r="J69" s="206"/>
      <c r="L69" s="3"/>
      <c r="M69" s="3"/>
    </row>
    <row r="70" spans="1:13" ht="13.8" outlineLevel="2" thickBot="1">
      <c r="A70" s="3" t="str">
        <f>B70&amp;C70&amp;D70</f>
        <v>O&amp;M Mobilization BudgetOperating ExpensesCommunications</v>
      </c>
      <c r="B70" s="3" t="s">
        <v>993</v>
      </c>
      <c r="C70" s="3" t="s">
        <v>994</v>
      </c>
      <c r="D70" s="3" t="s">
        <v>790</v>
      </c>
      <c r="E70" s="204" t="s">
        <v>1067</v>
      </c>
      <c r="F70" s="41" t="s">
        <v>1068</v>
      </c>
      <c r="G70" s="205"/>
      <c r="H70" s="206">
        <f>2*6*300</f>
        <v>3600</v>
      </c>
      <c r="I70" s="206">
        <f>H70-J70</f>
        <v>3600</v>
      </c>
      <c r="J70" s="206"/>
      <c r="L70" s="3"/>
      <c r="M70" s="3"/>
    </row>
    <row r="71" spans="1:13" ht="13.8" outlineLevel="2" thickBot="1">
      <c r="A71" s="3" t="str">
        <f>B71&amp;C71&amp;D71</f>
        <v>O&amp;M Mobilization BudgetOperating ExpensesCommunications</v>
      </c>
      <c r="B71" s="3" t="s">
        <v>993</v>
      </c>
      <c r="C71" s="3" t="s">
        <v>994</v>
      </c>
      <c r="D71" s="3" t="s">
        <v>790</v>
      </c>
      <c r="E71" s="204"/>
      <c r="F71" s="41" t="s">
        <v>1069</v>
      </c>
      <c r="G71" s="205"/>
      <c r="H71" s="206">
        <f>2*100</f>
        <v>200</v>
      </c>
      <c r="I71" s="206">
        <f>H71-J71</f>
        <v>200</v>
      </c>
      <c r="J71" s="206"/>
      <c r="L71" s="3"/>
      <c r="M71" s="3"/>
    </row>
    <row r="72" spans="1:13" ht="13.8" outlineLevel="2" thickBot="1">
      <c r="E72" s="204"/>
      <c r="F72" s="41"/>
      <c r="G72" s="205"/>
      <c r="H72" s="206"/>
      <c r="I72" s="206"/>
      <c r="J72" s="206"/>
      <c r="L72" s="3"/>
      <c r="M72" s="3"/>
    </row>
    <row r="73" spans="1:13" s="203" customFormat="1" ht="13.8" outlineLevel="1" thickBot="1">
      <c r="A73" s="203" t="s">
        <v>1070</v>
      </c>
      <c r="B73" s="203" t="s">
        <v>993</v>
      </c>
      <c r="C73" s="203" t="s">
        <v>994</v>
      </c>
      <c r="D73" s="203" t="s">
        <v>790</v>
      </c>
      <c r="E73" s="204"/>
      <c r="F73" s="41"/>
      <c r="G73" s="207" t="s">
        <v>1005</v>
      </c>
      <c r="H73" s="208">
        <f>SUBTOTAL(9,H69:H71)</f>
        <v>6300</v>
      </c>
      <c r="I73" s="208">
        <f>SUBTOTAL(9,I69:I71)</f>
        <v>6300</v>
      </c>
      <c r="J73" s="208">
        <f>SUBTOTAL(9,J69:J71)</f>
        <v>0</v>
      </c>
    </row>
    <row r="74" spans="1:13" s="203" customFormat="1" ht="13.8" outlineLevel="1" thickBot="1">
      <c r="A74" s="3" t="s">
        <v>1071</v>
      </c>
      <c r="B74" s="3" t="s">
        <v>993</v>
      </c>
      <c r="C74" s="3" t="s">
        <v>994</v>
      </c>
      <c r="D74" s="3" t="s">
        <v>1072</v>
      </c>
      <c r="E74" s="209" t="s">
        <v>791</v>
      </c>
      <c r="F74" s="210"/>
      <c r="G74" s="211"/>
      <c r="H74" s="201"/>
      <c r="I74" s="201"/>
      <c r="J74" s="201"/>
    </row>
    <row r="75" spans="1:13" ht="13.8" outlineLevel="2" thickBot="1">
      <c r="A75" s="3" t="str">
        <f>B75&amp;C75&amp;D75</f>
        <v>O&amp;M Mobilization BudgetOperating ExpensesMiscellaneous Office Expenses</v>
      </c>
      <c r="B75" s="3" t="s">
        <v>993</v>
      </c>
      <c r="C75" s="3" t="s">
        <v>994</v>
      </c>
      <c r="D75" s="3" t="s">
        <v>1072</v>
      </c>
      <c r="E75" s="204" t="s">
        <v>1073</v>
      </c>
      <c r="F75" s="41" t="s">
        <v>614</v>
      </c>
      <c r="G75" s="205"/>
      <c r="H75" s="206"/>
      <c r="I75" s="206">
        <f>H75-J75</f>
        <v>0</v>
      </c>
      <c r="J75" s="206"/>
      <c r="L75" s="3"/>
      <c r="M75" s="3"/>
    </row>
    <row r="76" spans="1:13" ht="13.8" outlineLevel="2" thickBot="1">
      <c r="A76" s="3" t="str">
        <f>B76&amp;C76&amp;D76</f>
        <v>O&amp;M Mobilization BudgetOperating ExpensesMiscellaneous Office Expenses</v>
      </c>
      <c r="B76" s="3" t="s">
        <v>993</v>
      </c>
      <c r="C76" s="3" t="s">
        <v>994</v>
      </c>
      <c r="D76" s="3" t="s">
        <v>1072</v>
      </c>
      <c r="E76" s="204" t="s">
        <v>1074</v>
      </c>
      <c r="F76" s="41"/>
      <c r="G76" s="205"/>
      <c r="H76" s="206"/>
      <c r="I76" s="206">
        <f>H76-J76</f>
        <v>0</v>
      </c>
      <c r="J76" s="206"/>
      <c r="L76" s="3"/>
      <c r="M76" s="3"/>
    </row>
    <row r="77" spans="1:13" ht="13.8" outlineLevel="2" thickBot="1">
      <c r="A77" s="3" t="str">
        <f>B77&amp;C77&amp;D77</f>
        <v>O&amp;M Mobilization BudgetOperating ExpensesMiscellaneous Office Expenses</v>
      </c>
      <c r="B77" s="3" t="s">
        <v>993</v>
      </c>
      <c r="C77" s="3" t="s">
        <v>994</v>
      </c>
      <c r="D77" s="3" t="s">
        <v>1072</v>
      </c>
      <c r="E77" s="204" t="s">
        <v>1075</v>
      </c>
      <c r="F77" s="41"/>
      <c r="G77" s="205"/>
      <c r="H77" s="206"/>
      <c r="I77" s="206">
        <f>H77-J77</f>
        <v>0</v>
      </c>
      <c r="J77" s="206"/>
      <c r="L77" s="3"/>
      <c r="M77" s="3"/>
    </row>
    <row r="78" spans="1:13" ht="13.8" outlineLevel="2" thickBot="1">
      <c r="A78" s="3" t="str">
        <f>B78&amp;C78&amp;D78</f>
        <v>O&amp;M Mobilization BudgetOperating ExpensesMiscellaneous Office Expenses</v>
      </c>
      <c r="B78" s="3" t="s">
        <v>993</v>
      </c>
      <c r="C78" s="3" t="s">
        <v>994</v>
      </c>
      <c r="D78" s="3" t="s">
        <v>1072</v>
      </c>
      <c r="E78" s="204" t="s">
        <v>1076</v>
      </c>
      <c r="G78" s="205"/>
      <c r="H78" s="206"/>
      <c r="I78" s="206">
        <f>H78-J78</f>
        <v>0</v>
      </c>
      <c r="J78" s="206"/>
      <c r="L78" s="3"/>
      <c r="M78" s="3"/>
    </row>
    <row r="79" spans="1:13" ht="13.8" outlineLevel="2" thickBot="1">
      <c r="E79" s="204" t="s">
        <v>1077</v>
      </c>
      <c r="G79" s="205"/>
      <c r="H79" s="206"/>
      <c r="I79" s="206">
        <f>H79-J79</f>
        <v>0</v>
      </c>
      <c r="J79" s="206"/>
      <c r="L79" s="3"/>
      <c r="M79" s="3"/>
    </row>
    <row r="80" spans="1:13" ht="13.8" outlineLevel="2" thickBot="1">
      <c r="E80" s="204"/>
      <c r="F80" s="41" t="s">
        <v>1078</v>
      </c>
      <c r="G80" s="205"/>
      <c r="H80" s="206"/>
      <c r="I80" s="206"/>
      <c r="J80" s="206"/>
      <c r="L80" s="3"/>
      <c r="M80" s="3"/>
    </row>
    <row r="81" spans="1:13" s="203" customFormat="1" ht="13.8" outlineLevel="1" thickBot="1">
      <c r="A81" s="203" t="s">
        <v>1079</v>
      </c>
      <c r="B81" s="203" t="s">
        <v>993</v>
      </c>
      <c r="C81" s="203" t="s">
        <v>994</v>
      </c>
      <c r="D81" s="203" t="s">
        <v>1072</v>
      </c>
      <c r="E81" s="204"/>
      <c r="F81" s="41"/>
      <c r="G81" s="207" t="s">
        <v>1005</v>
      </c>
      <c r="H81" s="208">
        <f>SUBTOTAL(9,H75:H79)</f>
        <v>0</v>
      </c>
      <c r="I81" s="208">
        <f>SUBTOTAL(9,I75:I79)</f>
        <v>0</v>
      </c>
      <c r="J81" s="208">
        <f>SUBTOTAL(9,J75:J79)</f>
        <v>0</v>
      </c>
    </row>
    <row r="82" spans="1:13" s="203" customFormat="1" ht="13.8" outlineLevel="1" thickBot="1">
      <c r="A82" s="3" t="s">
        <v>1080</v>
      </c>
      <c r="B82" s="3" t="s">
        <v>993</v>
      </c>
      <c r="C82" s="3" t="s">
        <v>994</v>
      </c>
      <c r="D82" s="3" t="s">
        <v>792</v>
      </c>
      <c r="E82" s="209" t="s">
        <v>792</v>
      </c>
      <c r="F82" s="210"/>
      <c r="G82" s="211"/>
      <c r="H82" s="201"/>
      <c r="I82" s="201"/>
      <c r="J82" s="201"/>
    </row>
    <row r="83" spans="1:13" ht="13.8" outlineLevel="2" thickBot="1">
      <c r="A83" s="3" t="str">
        <f t="shared" ref="A83:A96" si="4">B83&amp;C83&amp;D83</f>
        <v>O&amp;M Mobilization BudgetOperating ExpensesTraining</v>
      </c>
      <c r="B83" s="3" t="s">
        <v>993</v>
      </c>
      <c r="C83" s="3" t="s">
        <v>994</v>
      </c>
      <c r="D83" s="3" t="s">
        <v>792</v>
      </c>
      <c r="E83" s="204" t="s">
        <v>1081</v>
      </c>
      <c r="F83" s="41" t="s">
        <v>1082</v>
      </c>
      <c r="G83" s="205"/>
      <c r="H83" s="206">
        <f>Training!I53*1000</f>
        <v>72202</v>
      </c>
      <c r="I83" s="206">
        <f t="shared" ref="I83:I97" si="5">H83</f>
        <v>72202</v>
      </c>
      <c r="J83" s="206">
        <f t="shared" ref="J83:J97" si="6">H83-I83</f>
        <v>0</v>
      </c>
      <c r="L83" s="3"/>
      <c r="M83" s="3"/>
    </row>
    <row r="84" spans="1:13" ht="13.8" outlineLevel="2" thickBot="1">
      <c r="A84" s="3" t="str">
        <f t="shared" si="4"/>
        <v>O&amp;M Mobilization BudgetOperating ExpensesTraining</v>
      </c>
      <c r="B84" s="3" t="s">
        <v>993</v>
      </c>
      <c r="C84" s="3" t="s">
        <v>994</v>
      </c>
      <c r="D84" s="3" t="s">
        <v>792</v>
      </c>
      <c r="E84" s="204" t="s">
        <v>1083</v>
      </c>
      <c r="F84" s="41"/>
      <c r="G84" s="205"/>
      <c r="H84" s="206"/>
      <c r="I84" s="206">
        <f t="shared" si="5"/>
        <v>0</v>
      </c>
      <c r="J84" s="206">
        <f t="shared" si="6"/>
        <v>0</v>
      </c>
      <c r="L84" s="3"/>
      <c r="M84" s="3"/>
    </row>
    <row r="85" spans="1:13" ht="13.8" outlineLevel="2" thickBot="1">
      <c r="A85" s="3" t="str">
        <f t="shared" si="4"/>
        <v>O&amp;M Mobilization BudgetOperating ExpensesTraining</v>
      </c>
      <c r="B85" s="3" t="s">
        <v>993</v>
      </c>
      <c r="C85" s="3" t="s">
        <v>994</v>
      </c>
      <c r="D85" s="3" t="s">
        <v>792</v>
      </c>
      <c r="E85" s="204" t="s">
        <v>1084</v>
      </c>
      <c r="F85" s="41"/>
      <c r="G85" s="205"/>
      <c r="H85" s="206"/>
      <c r="I85" s="206">
        <f t="shared" si="5"/>
        <v>0</v>
      </c>
      <c r="J85" s="206">
        <f t="shared" si="6"/>
        <v>0</v>
      </c>
      <c r="L85" s="3"/>
      <c r="M85" s="3"/>
    </row>
    <row r="86" spans="1:13" ht="13.8" outlineLevel="2" thickBot="1">
      <c r="A86" s="3" t="str">
        <f t="shared" si="4"/>
        <v>O&amp;M Mobilization BudgetOperating ExpensesTraining</v>
      </c>
      <c r="B86" s="3" t="s">
        <v>993</v>
      </c>
      <c r="C86" s="3" t="s">
        <v>994</v>
      </c>
      <c r="D86" s="3" t="s">
        <v>792</v>
      </c>
      <c r="E86" s="204" t="s">
        <v>1085</v>
      </c>
      <c r="F86" s="41"/>
      <c r="G86" s="205"/>
      <c r="H86" s="206"/>
      <c r="I86" s="206">
        <f t="shared" si="5"/>
        <v>0</v>
      </c>
      <c r="J86" s="206">
        <f t="shared" si="6"/>
        <v>0</v>
      </c>
      <c r="L86" s="3"/>
      <c r="M86" s="3"/>
    </row>
    <row r="87" spans="1:13" ht="13.8" outlineLevel="2" thickBot="1">
      <c r="A87" s="3" t="str">
        <f t="shared" si="4"/>
        <v>O&amp;M Mobilization BudgetOperating ExpensesTraining</v>
      </c>
      <c r="B87" s="3" t="s">
        <v>993</v>
      </c>
      <c r="C87" s="3" t="s">
        <v>994</v>
      </c>
      <c r="D87" s="3" t="s">
        <v>792</v>
      </c>
      <c r="E87" s="204" t="s">
        <v>1086</v>
      </c>
      <c r="F87" s="41"/>
      <c r="G87" s="205"/>
      <c r="H87" s="206"/>
      <c r="I87" s="206">
        <f t="shared" si="5"/>
        <v>0</v>
      </c>
      <c r="J87" s="206">
        <f t="shared" si="6"/>
        <v>0</v>
      </c>
      <c r="L87" s="3"/>
      <c r="M87" s="3"/>
    </row>
    <row r="88" spans="1:13" ht="13.8" outlineLevel="2" thickBot="1">
      <c r="A88" s="3" t="str">
        <f t="shared" si="4"/>
        <v>O&amp;M Mobilization BudgetOperating ExpensesTraining</v>
      </c>
      <c r="B88" s="3" t="s">
        <v>993</v>
      </c>
      <c r="C88" s="3" t="s">
        <v>994</v>
      </c>
      <c r="D88" s="3" t="s">
        <v>792</v>
      </c>
      <c r="E88" s="204" t="s">
        <v>1087</v>
      </c>
      <c r="F88" s="41"/>
      <c r="G88" s="205"/>
      <c r="H88" s="206"/>
      <c r="I88" s="206">
        <f t="shared" si="5"/>
        <v>0</v>
      </c>
      <c r="J88" s="206">
        <f t="shared" si="6"/>
        <v>0</v>
      </c>
      <c r="L88" s="3"/>
      <c r="M88" s="3"/>
    </row>
    <row r="89" spans="1:13" ht="13.8" outlineLevel="2" thickBot="1">
      <c r="A89" s="3" t="str">
        <f t="shared" si="4"/>
        <v>O&amp;M Mobilization BudgetOperating ExpensesTraining</v>
      </c>
      <c r="B89" s="3" t="s">
        <v>993</v>
      </c>
      <c r="C89" s="3" t="s">
        <v>994</v>
      </c>
      <c r="D89" s="3" t="s">
        <v>792</v>
      </c>
      <c r="E89" s="204" t="s">
        <v>1088</v>
      </c>
      <c r="F89" s="41"/>
      <c r="G89" s="205"/>
      <c r="H89" s="206"/>
      <c r="I89" s="206">
        <f t="shared" si="5"/>
        <v>0</v>
      </c>
      <c r="J89" s="206">
        <f t="shared" si="6"/>
        <v>0</v>
      </c>
      <c r="L89" s="3"/>
      <c r="M89" s="3"/>
    </row>
    <row r="90" spans="1:13" ht="13.8" outlineLevel="2" thickBot="1">
      <c r="A90" s="3" t="str">
        <f t="shared" si="4"/>
        <v>O&amp;M Mobilization BudgetOperating ExpensesTraining</v>
      </c>
      <c r="B90" s="3" t="s">
        <v>993</v>
      </c>
      <c r="C90" s="3" t="s">
        <v>994</v>
      </c>
      <c r="D90" s="3" t="s">
        <v>792</v>
      </c>
      <c r="E90" s="204" t="s">
        <v>1089</v>
      </c>
      <c r="F90" s="41"/>
      <c r="G90" s="205"/>
      <c r="H90" s="206"/>
      <c r="I90" s="206">
        <f t="shared" si="5"/>
        <v>0</v>
      </c>
      <c r="J90" s="206">
        <f t="shared" si="6"/>
        <v>0</v>
      </c>
      <c r="L90" s="3"/>
      <c r="M90" s="3"/>
    </row>
    <row r="91" spans="1:13" ht="13.8" outlineLevel="2" thickBot="1">
      <c r="A91" s="3" t="str">
        <f t="shared" si="4"/>
        <v>O&amp;M Mobilization BudgetOperating ExpensesTraining</v>
      </c>
      <c r="B91" s="3" t="s">
        <v>993</v>
      </c>
      <c r="C91" s="3" t="s">
        <v>994</v>
      </c>
      <c r="D91" s="3" t="s">
        <v>792</v>
      </c>
      <c r="E91" s="204" t="s">
        <v>1090</v>
      </c>
      <c r="F91" s="41"/>
      <c r="G91" s="205"/>
      <c r="H91" s="206"/>
      <c r="I91" s="206">
        <f t="shared" si="5"/>
        <v>0</v>
      </c>
      <c r="J91" s="206">
        <f t="shared" si="6"/>
        <v>0</v>
      </c>
      <c r="L91" s="3"/>
      <c r="M91" s="3"/>
    </row>
    <row r="92" spans="1:13" ht="13.8" outlineLevel="2" thickBot="1">
      <c r="A92" s="3" t="str">
        <f t="shared" si="4"/>
        <v>O&amp;M Mobilization BudgetOperating ExpensesTraining</v>
      </c>
      <c r="B92" s="3" t="s">
        <v>993</v>
      </c>
      <c r="C92" s="3" t="s">
        <v>994</v>
      </c>
      <c r="D92" s="3" t="s">
        <v>792</v>
      </c>
      <c r="E92" s="204" t="s">
        <v>1091</v>
      </c>
      <c r="F92" s="41"/>
      <c r="G92" s="205"/>
      <c r="H92" s="206"/>
      <c r="I92" s="206">
        <f t="shared" si="5"/>
        <v>0</v>
      </c>
      <c r="J92" s="206">
        <f t="shared" si="6"/>
        <v>0</v>
      </c>
      <c r="L92" s="3"/>
      <c r="M92" s="3"/>
    </row>
    <row r="93" spans="1:13" ht="13.8" outlineLevel="2" thickBot="1">
      <c r="A93" s="3" t="str">
        <f t="shared" si="4"/>
        <v>O&amp;M Mobilization BudgetOperating ExpensesTraining</v>
      </c>
      <c r="B93" s="3" t="s">
        <v>993</v>
      </c>
      <c r="C93" s="3" t="s">
        <v>994</v>
      </c>
      <c r="D93" s="3" t="s">
        <v>792</v>
      </c>
      <c r="E93" s="204" t="s">
        <v>1092</v>
      </c>
      <c r="F93" s="41"/>
      <c r="G93" s="205"/>
      <c r="H93" s="206"/>
      <c r="I93" s="206">
        <f t="shared" si="5"/>
        <v>0</v>
      </c>
      <c r="J93" s="206">
        <f t="shared" si="6"/>
        <v>0</v>
      </c>
      <c r="L93" s="3"/>
      <c r="M93" s="3"/>
    </row>
    <row r="94" spans="1:13" ht="13.8" outlineLevel="2" thickBot="1">
      <c r="A94" s="3" t="str">
        <f t="shared" si="4"/>
        <v>O&amp;M Mobilization BudgetOperating ExpensesTraining</v>
      </c>
      <c r="B94" s="3" t="s">
        <v>993</v>
      </c>
      <c r="C94" s="3" t="s">
        <v>994</v>
      </c>
      <c r="D94" s="3" t="s">
        <v>792</v>
      </c>
      <c r="E94" s="204" t="s">
        <v>1093</v>
      </c>
      <c r="F94" s="41"/>
      <c r="G94" s="205"/>
      <c r="H94" s="206"/>
      <c r="I94" s="206">
        <f t="shared" si="5"/>
        <v>0</v>
      </c>
      <c r="J94" s="206">
        <f t="shared" si="6"/>
        <v>0</v>
      </c>
      <c r="L94" s="3"/>
      <c r="M94" s="3"/>
    </row>
    <row r="95" spans="1:13" ht="13.5" customHeight="1" outlineLevel="2" thickBot="1">
      <c r="A95" s="3" t="str">
        <f t="shared" si="4"/>
        <v>O&amp;M Mobilization BudgetOperating ExpensesTraining</v>
      </c>
      <c r="B95" s="3" t="s">
        <v>993</v>
      </c>
      <c r="C95" s="3" t="s">
        <v>994</v>
      </c>
      <c r="D95" s="3" t="s">
        <v>792</v>
      </c>
      <c r="E95" s="204" t="s">
        <v>1094</v>
      </c>
      <c r="F95" s="41"/>
      <c r="G95" s="205"/>
      <c r="H95" s="206"/>
      <c r="I95" s="206">
        <f t="shared" si="5"/>
        <v>0</v>
      </c>
      <c r="J95" s="206">
        <f t="shared" si="6"/>
        <v>0</v>
      </c>
      <c r="L95" s="3"/>
      <c r="M95" s="3"/>
    </row>
    <row r="96" spans="1:13" ht="13.8" outlineLevel="2" thickBot="1">
      <c r="A96" s="3" t="str">
        <f t="shared" si="4"/>
        <v>O&amp;M Mobilization BudgetOperating ExpensesTraining</v>
      </c>
      <c r="B96" s="3" t="s">
        <v>993</v>
      </c>
      <c r="C96" s="3" t="s">
        <v>994</v>
      </c>
      <c r="D96" s="3" t="s">
        <v>792</v>
      </c>
      <c r="E96" s="204" t="s">
        <v>1095</v>
      </c>
      <c r="F96" s="41"/>
      <c r="G96" s="205"/>
      <c r="H96" s="206"/>
      <c r="I96" s="206">
        <f t="shared" si="5"/>
        <v>0</v>
      </c>
      <c r="J96" s="206">
        <f t="shared" si="6"/>
        <v>0</v>
      </c>
      <c r="L96" s="3"/>
      <c r="M96" s="3"/>
    </row>
    <row r="97" spans="1:13" ht="13.8" outlineLevel="2" thickBot="1">
      <c r="E97" s="204"/>
      <c r="F97" s="41"/>
      <c r="G97" s="205"/>
      <c r="H97" s="206"/>
      <c r="I97" s="206">
        <f t="shared" si="5"/>
        <v>0</v>
      </c>
      <c r="J97" s="206">
        <f t="shared" si="6"/>
        <v>0</v>
      </c>
      <c r="L97" s="3"/>
      <c r="M97" s="3"/>
    </row>
    <row r="98" spans="1:13" s="203" customFormat="1" ht="13.8" outlineLevel="1" thickBot="1">
      <c r="A98" s="203" t="s">
        <v>1096</v>
      </c>
      <c r="B98" s="203" t="s">
        <v>993</v>
      </c>
      <c r="C98" s="203" t="s">
        <v>994</v>
      </c>
      <c r="D98" s="203" t="s">
        <v>792</v>
      </c>
      <c r="E98" s="204"/>
      <c r="F98" s="41"/>
      <c r="G98" s="207" t="s">
        <v>1005</v>
      </c>
      <c r="H98" s="208">
        <f>SUBTOTAL(9,H83:H96)</f>
        <v>72202</v>
      </c>
      <c r="I98" s="208">
        <f>SUBTOTAL(9,I83:I96)</f>
        <v>72202</v>
      </c>
      <c r="J98" s="208">
        <f>SUBTOTAL(9,J83:J96)</f>
        <v>0</v>
      </c>
    </row>
    <row r="99" spans="1:13" s="203" customFormat="1" ht="13.8" outlineLevel="1" thickBot="1">
      <c r="A99" s="3" t="s">
        <v>1097</v>
      </c>
      <c r="B99" s="3" t="s">
        <v>993</v>
      </c>
      <c r="C99" s="3" t="s">
        <v>994</v>
      </c>
      <c r="D99" s="3" t="s">
        <v>1098</v>
      </c>
      <c r="E99" s="218" t="s">
        <v>1098</v>
      </c>
      <c r="F99" s="219"/>
      <c r="G99" s="220"/>
      <c r="H99" s="201"/>
      <c r="I99" s="201"/>
      <c r="J99" s="201"/>
    </row>
    <row r="100" spans="1:13" ht="13.8" outlineLevel="2" thickBot="1">
      <c r="A100" s="3" t="str">
        <f>B100&amp;C100&amp;D100</f>
        <v>O&amp;M Mobilization BudgetOperating ExpensesManuals/Operating Procedures</v>
      </c>
      <c r="B100" s="3" t="s">
        <v>993</v>
      </c>
      <c r="C100" s="3" t="s">
        <v>994</v>
      </c>
      <c r="D100" s="3" t="s">
        <v>1098</v>
      </c>
      <c r="E100" s="204" t="s">
        <v>1099</v>
      </c>
      <c r="F100" s="41" t="s">
        <v>620</v>
      </c>
      <c r="G100" s="205"/>
      <c r="H100" s="206">
        <v>0</v>
      </c>
      <c r="I100" s="206">
        <f t="shared" ref="I100:I115" si="7">H100</f>
        <v>0</v>
      </c>
      <c r="J100" s="206">
        <f t="shared" ref="J100:J115" si="8">H100-I100</f>
        <v>0</v>
      </c>
      <c r="L100" s="3"/>
      <c r="M100" s="3"/>
    </row>
    <row r="101" spans="1:13" ht="13.8" outlineLevel="2" thickBot="1">
      <c r="A101" s="3" t="str">
        <f>B101&amp;C101&amp;D101</f>
        <v>O&amp;M Mobilization BudgetOperating ExpensesManuals/Operating Procedures</v>
      </c>
      <c r="B101" s="3" t="s">
        <v>993</v>
      </c>
      <c r="C101" s="3" t="s">
        <v>994</v>
      </c>
      <c r="D101" s="3" t="s">
        <v>1098</v>
      </c>
      <c r="E101" s="204" t="s">
        <v>1100</v>
      </c>
      <c r="F101" s="41" t="s">
        <v>1101</v>
      </c>
      <c r="G101" s="205"/>
      <c r="H101" s="206">
        <f>5*2*400</f>
        <v>4000</v>
      </c>
      <c r="I101" s="206">
        <f t="shared" si="7"/>
        <v>4000</v>
      </c>
      <c r="J101" s="206">
        <f t="shared" si="8"/>
        <v>0</v>
      </c>
      <c r="L101" s="3"/>
      <c r="M101" s="3"/>
    </row>
    <row r="102" spans="1:13" ht="13.8" outlineLevel="2" thickBot="1">
      <c r="E102" s="204" t="s">
        <v>1102</v>
      </c>
      <c r="F102" s="41" t="s">
        <v>1103</v>
      </c>
      <c r="G102" s="205"/>
      <c r="H102" s="206">
        <f>H101/2</f>
        <v>2000</v>
      </c>
      <c r="I102" s="206">
        <f t="shared" si="7"/>
        <v>2000</v>
      </c>
      <c r="J102" s="206">
        <f t="shared" si="8"/>
        <v>0</v>
      </c>
      <c r="L102" s="3"/>
      <c r="M102" s="3"/>
    </row>
    <row r="103" spans="1:13" ht="13.8" outlineLevel="2" thickBot="1">
      <c r="A103" s="3" t="str">
        <f t="shared" ref="A103:A110" si="9">B103&amp;C103&amp;D103</f>
        <v>O&amp;M Mobilization BudgetOperating ExpensesManuals/Operating Procedures</v>
      </c>
      <c r="B103" s="3" t="s">
        <v>993</v>
      </c>
      <c r="C103" s="3" t="s">
        <v>994</v>
      </c>
      <c r="D103" s="3" t="s">
        <v>1098</v>
      </c>
      <c r="E103" s="204" t="s">
        <v>1104</v>
      </c>
      <c r="F103" s="41" t="s">
        <v>620</v>
      </c>
      <c r="G103" s="205"/>
      <c r="H103" s="206">
        <v>0</v>
      </c>
      <c r="I103" s="206">
        <f t="shared" si="7"/>
        <v>0</v>
      </c>
      <c r="J103" s="206">
        <f t="shared" si="8"/>
        <v>0</v>
      </c>
      <c r="L103" s="3"/>
      <c r="M103" s="3"/>
    </row>
    <row r="104" spans="1:13" ht="13.8" outlineLevel="2" thickBot="1">
      <c r="A104" s="3" t="str">
        <f t="shared" si="9"/>
        <v>O&amp;M Mobilization BudgetOperating ExpensesManuals/Operating Procedures</v>
      </c>
      <c r="B104" s="3" t="s">
        <v>993</v>
      </c>
      <c r="C104" s="3" t="s">
        <v>994</v>
      </c>
      <c r="D104" s="3" t="s">
        <v>1098</v>
      </c>
      <c r="E104" s="204" t="s">
        <v>1105</v>
      </c>
      <c r="F104" s="41" t="s">
        <v>620</v>
      </c>
      <c r="G104" s="205"/>
      <c r="H104" s="206">
        <v>0</v>
      </c>
      <c r="I104" s="206">
        <f t="shared" si="7"/>
        <v>0</v>
      </c>
      <c r="J104" s="206">
        <f t="shared" si="8"/>
        <v>0</v>
      </c>
      <c r="L104" s="3"/>
      <c r="M104" s="3"/>
    </row>
    <row r="105" spans="1:13" ht="13.8" outlineLevel="2" thickBot="1">
      <c r="A105" s="3" t="str">
        <f t="shared" si="9"/>
        <v>O&amp;M Mobilization BudgetOperating ExpensesManuals/Operating Procedures</v>
      </c>
      <c r="B105" s="3" t="s">
        <v>993</v>
      </c>
      <c r="C105" s="3" t="s">
        <v>994</v>
      </c>
      <c r="D105" s="3" t="s">
        <v>1098</v>
      </c>
      <c r="E105" s="204" t="s">
        <v>1106</v>
      </c>
      <c r="F105" s="41" t="s">
        <v>1107</v>
      </c>
      <c r="G105" s="205"/>
      <c r="H105" s="206">
        <f>40*400</f>
        <v>16000</v>
      </c>
      <c r="I105" s="206">
        <f t="shared" si="7"/>
        <v>16000</v>
      </c>
      <c r="J105" s="206">
        <f t="shared" si="8"/>
        <v>0</v>
      </c>
      <c r="L105" s="3"/>
      <c r="M105" s="3"/>
    </row>
    <row r="106" spans="1:13" ht="13.8" outlineLevel="2" thickBot="1">
      <c r="A106" s="3" t="str">
        <f t="shared" si="9"/>
        <v>O&amp;M Mobilization BudgetOperating ExpensesManuals/Operating Procedures</v>
      </c>
      <c r="B106" s="3" t="s">
        <v>993</v>
      </c>
      <c r="C106" s="3" t="s">
        <v>994</v>
      </c>
      <c r="D106" s="3" t="s">
        <v>1098</v>
      </c>
      <c r="E106" s="204" t="s">
        <v>1108</v>
      </c>
      <c r="F106" s="41" t="s">
        <v>620</v>
      </c>
      <c r="G106" s="205"/>
      <c r="H106" s="206">
        <v>0</v>
      </c>
      <c r="I106" s="206">
        <f t="shared" si="7"/>
        <v>0</v>
      </c>
      <c r="J106" s="206">
        <f t="shared" si="8"/>
        <v>0</v>
      </c>
      <c r="L106" s="3"/>
      <c r="M106" s="3"/>
    </row>
    <row r="107" spans="1:13" ht="13.8" outlineLevel="2" thickBot="1">
      <c r="A107" s="3" t="str">
        <f t="shared" si="9"/>
        <v>O&amp;M Mobilization BudgetOperating ExpensesManuals/Operating Procedures</v>
      </c>
      <c r="B107" s="3" t="s">
        <v>993</v>
      </c>
      <c r="C107" s="3" t="s">
        <v>994</v>
      </c>
      <c r="D107" s="3" t="s">
        <v>1098</v>
      </c>
      <c r="E107" s="204" t="s">
        <v>1109</v>
      </c>
      <c r="F107" s="41" t="s">
        <v>620</v>
      </c>
      <c r="G107" s="205"/>
      <c r="H107" s="206">
        <v>0</v>
      </c>
      <c r="I107" s="206">
        <f t="shared" si="7"/>
        <v>0</v>
      </c>
      <c r="J107" s="206">
        <f t="shared" si="8"/>
        <v>0</v>
      </c>
      <c r="L107" s="3"/>
      <c r="M107" s="3"/>
    </row>
    <row r="108" spans="1:13" ht="13.8" outlineLevel="2" thickBot="1">
      <c r="A108" s="3" t="str">
        <f t="shared" si="9"/>
        <v>O&amp;M Mobilization BudgetOperating ExpensesManuals/Operating Procedures</v>
      </c>
      <c r="B108" s="3" t="s">
        <v>993</v>
      </c>
      <c r="C108" s="3" t="s">
        <v>994</v>
      </c>
      <c r="D108" s="3" t="s">
        <v>1098</v>
      </c>
      <c r="E108" s="204" t="s">
        <v>1110</v>
      </c>
      <c r="F108" s="41" t="s">
        <v>620</v>
      </c>
      <c r="G108" s="205"/>
      <c r="H108" s="206">
        <v>0</v>
      </c>
      <c r="I108" s="206">
        <f t="shared" si="7"/>
        <v>0</v>
      </c>
      <c r="J108" s="206">
        <f t="shared" si="8"/>
        <v>0</v>
      </c>
      <c r="L108" s="3"/>
      <c r="M108" s="3"/>
    </row>
    <row r="109" spans="1:13" ht="13.8" outlineLevel="2" thickBot="1">
      <c r="A109" s="3" t="str">
        <f t="shared" si="9"/>
        <v>O&amp;M Mobilization BudgetOperating ExpensesManuals/Operating Procedures</v>
      </c>
      <c r="B109" s="3" t="s">
        <v>993</v>
      </c>
      <c r="C109" s="3" t="s">
        <v>994</v>
      </c>
      <c r="D109" s="3" t="s">
        <v>1098</v>
      </c>
      <c r="E109" s="204" t="s">
        <v>1112</v>
      </c>
      <c r="F109" s="41" t="s">
        <v>620</v>
      </c>
      <c r="G109" s="205"/>
      <c r="H109" s="206">
        <v>0</v>
      </c>
      <c r="I109" s="206">
        <f t="shared" si="7"/>
        <v>0</v>
      </c>
      <c r="J109" s="206">
        <f t="shared" si="8"/>
        <v>0</v>
      </c>
      <c r="L109" s="3"/>
      <c r="M109" s="3"/>
    </row>
    <row r="110" spans="1:13" ht="13.8" outlineLevel="2" thickBot="1">
      <c r="A110" s="3" t="str">
        <f t="shared" si="9"/>
        <v>O&amp;M Mobilization BudgetOperating ExpensesManuals/Operating Procedures</v>
      </c>
      <c r="B110" s="3" t="s">
        <v>993</v>
      </c>
      <c r="C110" s="3" t="s">
        <v>994</v>
      </c>
      <c r="D110" s="3" t="s">
        <v>1098</v>
      </c>
      <c r="E110" s="204" t="s">
        <v>1113</v>
      </c>
      <c r="F110" s="41" t="s">
        <v>620</v>
      </c>
      <c r="G110" s="205"/>
      <c r="H110" s="206">
        <v>0</v>
      </c>
      <c r="I110" s="206">
        <f t="shared" si="7"/>
        <v>0</v>
      </c>
      <c r="J110" s="206">
        <f t="shared" si="8"/>
        <v>0</v>
      </c>
      <c r="L110" s="3"/>
      <c r="M110" s="3"/>
    </row>
    <row r="111" spans="1:13" ht="13.8" outlineLevel="2" thickBot="1">
      <c r="E111" s="204" t="s">
        <v>1041</v>
      </c>
      <c r="F111" s="41" t="s">
        <v>620</v>
      </c>
      <c r="G111" s="205"/>
      <c r="H111" s="206">
        <v>0</v>
      </c>
      <c r="I111" s="206">
        <f t="shared" si="7"/>
        <v>0</v>
      </c>
      <c r="J111" s="206">
        <f t="shared" si="8"/>
        <v>0</v>
      </c>
      <c r="L111" s="3"/>
      <c r="M111" s="3"/>
    </row>
    <row r="112" spans="1:13" ht="13.8" outlineLevel="2" thickBot="1">
      <c r="E112" s="204" t="s">
        <v>644</v>
      </c>
      <c r="F112" s="41" t="s">
        <v>1111</v>
      </c>
      <c r="G112" s="205"/>
      <c r="H112" s="206">
        <v>4000</v>
      </c>
      <c r="I112" s="206">
        <f t="shared" si="7"/>
        <v>4000</v>
      </c>
      <c r="J112" s="206">
        <f t="shared" si="8"/>
        <v>0</v>
      </c>
      <c r="L112" s="3"/>
      <c r="M112" s="3"/>
    </row>
    <row r="113" spans="1:13" ht="13.8" outlineLevel="2" thickBot="1">
      <c r="A113" s="3" t="str">
        <f>B113&amp;C113&amp;D113</f>
        <v>O&amp;M Mobilization BudgetOperating ExpensesManuals/Operating Procedures</v>
      </c>
      <c r="B113" s="3" t="s">
        <v>993</v>
      </c>
      <c r="C113" s="3" t="s">
        <v>994</v>
      </c>
      <c r="D113" s="3" t="s">
        <v>1098</v>
      </c>
      <c r="E113" s="204"/>
      <c r="F113" s="41"/>
      <c r="G113" s="205"/>
      <c r="H113" s="206"/>
      <c r="I113" s="206">
        <f t="shared" si="7"/>
        <v>0</v>
      </c>
      <c r="J113" s="206">
        <f t="shared" si="8"/>
        <v>0</v>
      </c>
      <c r="L113" s="3"/>
      <c r="M113" s="3"/>
    </row>
    <row r="114" spans="1:13" ht="13.8" outlineLevel="2" thickBot="1">
      <c r="A114" s="3" t="str">
        <f>B114&amp;C114&amp;D114</f>
        <v>O&amp;M Mobilization BudgetOperating ExpensesManuals/Operating Procedures</v>
      </c>
      <c r="B114" s="3" t="s">
        <v>993</v>
      </c>
      <c r="C114" s="3" t="s">
        <v>994</v>
      </c>
      <c r="D114" s="3" t="s">
        <v>1098</v>
      </c>
      <c r="E114" s="204" t="s">
        <v>1114</v>
      </c>
      <c r="F114" s="41"/>
      <c r="G114" s="205"/>
      <c r="H114" s="206">
        <v>3000</v>
      </c>
      <c r="I114" s="206">
        <f t="shared" si="7"/>
        <v>3000</v>
      </c>
      <c r="J114" s="206">
        <f t="shared" si="8"/>
        <v>0</v>
      </c>
      <c r="L114" s="3"/>
      <c r="M114" s="3"/>
    </row>
    <row r="115" spans="1:13" ht="13.8" outlineLevel="2" thickBot="1">
      <c r="E115" s="204" t="s">
        <v>1115</v>
      </c>
      <c r="F115" s="41" t="s">
        <v>1116</v>
      </c>
      <c r="G115" s="205"/>
      <c r="H115" s="206">
        <f>0.05*H114</f>
        <v>150</v>
      </c>
      <c r="I115" s="206">
        <f t="shared" si="7"/>
        <v>150</v>
      </c>
      <c r="J115" s="206">
        <f t="shared" si="8"/>
        <v>0</v>
      </c>
      <c r="L115" s="3"/>
      <c r="M115" s="3"/>
    </row>
    <row r="116" spans="1:13" ht="13.8" outlineLevel="2" thickBot="1">
      <c r="A116" s="3" t="str">
        <f>B116&amp;C116&amp;D116</f>
        <v>O&amp;M Mobilization BudgetOperating ExpensesManuals/Operating Procedures</v>
      </c>
      <c r="B116" s="3" t="s">
        <v>993</v>
      </c>
      <c r="C116" s="3" t="s">
        <v>994</v>
      </c>
      <c r="D116" s="3" t="s">
        <v>1098</v>
      </c>
      <c r="E116" s="204"/>
      <c r="F116" s="41"/>
      <c r="G116" s="205"/>
      <c r="H116" s="206"/>
      <c r="I116" s="206"/>
      <c r="J116" s="206"/>
      <c r="L116" s="3"/>
      <c r="M116" s="3"/>
    </row>
    <row r="117" spans="1:13" s="203" customFormat="1" ht="13.8" outlineLevel="1" thickBot="1">
      <c r="A117" s="203" t="s">
        <v>1117</v>
      </c>
      <c r="B117" s="203" t="s">
        <v>993</v>
      </c>
      <c r="C117" s="203" t="s">
        <v>994</v>
      </c>
      <c r="D117" s="203" t="s">
        <v>1098</v>
      </c>
      <c r="E117" s="204"/>
      <c r="F117" s="41"/>
      <c r="G117" s="207" t="s">
        <v>1005</v>
      </c>
      <c r="H117" s="208">
        <f>SUBTOTAL(9,H100:H116)</f>
        <v>29150</v>
      </c>
      <c r="I117" s="208">
        <f>SUBTOTAL(9,I100:I116)</f>
        <v>29150</v>
      </c>
      <c r="J117" s="208">
        <f>SUBTOTAL(9,J100:J116)</f>
        <v>0</v>
      </c>
    </row>
    <row r="118" spans="1:13" s="203" customFormat="1" ht="13.8" outlineLevel="1" thickBot="1">
      <c r="A118" s="3" t="s">
        <v>1118</v>
      </c>
      <c r="B118" s="3" t="s">
        <v>993</v>
      </c>
      <c r="C118" s="3" t="s">
        <v>994</v>
      </c>
      <c r="D118" s="3" t="s">
        <v>794</v>
      </c>
      <c r="E118" s="218" t="s">
        <v>794</v>
      </c>
      <c r="F118" s="219"/>
      <c r="G118" s="220"/>
      <c r="H118" s="201"/>
      <c r="I118" s="201"/>
      <c r="J118" s="201"/>
    </row>
    <row r="119" spans="1:13" ht="13.8" outlineLevel="2" thickBot="1">
      <c r="A119" s="3" t="str">
        <f>B119&amp;C119&amp;D119</f>
        <v>O&amp;M Mobilization BudgetOperating ExpensesPermits</v>
      </c>
      <c r="B119" s="3" t="s">
        <v>993</v>
      </c>
      <c r="C119" s="3" t="s">
        <v>994</v>
      </c>
      <c r="D119" s="3" t="s">
        <v>794</v>
      </c>
      <c r="E119" s="204" t="s">
        <v>1119</v>
      </c>
      <c r="F119" s="41"/>
      <c r="G119" s="205"/>
      <c r="H119" s="206">
        <v>0</v>
      </c>
      <c r="I119" s="206">
        <f>H119-J119</f>
        <v>0</v>
      </c>
      <c r="J119" s="206"/>
      <c r="L119" s="3"/>
      <c r="M119" s="3"/>
    </row>
    <row r="120" spans="1:13" s="203" customFormat="1" ht="13.8" outlineLevel="1" thickBot="1">
      <c r="A120" s="203" t="s">
        <v>1120</v>
      </c>
      <c r="B120" s="203" t="s">
        <v>993</v>
      </c>
      <c r="C120" s="203" t="s">
        <v>994</v>
      </c>
      <c r="D120" s="203" t="s">
        <v>794</v>
      </c>
      <c r="E120" s="204"/>
      <c r="F120" s="41"/>
      <c r="G120" s="207" t="s">
        <v>1005</v>
      </c>
      <c r="H120" s="208">
        <f>SUBTOTAL(9,H119:H119)</f>
        <v>0</v>
      </c>
      <c r="I120" s="208">
        <f>SUBTOTAL(9,I119:I119)</f>
        <v>0</v>
      </c>
      <c r="J120" s="208">
        <f>SUBTOTAL(9,J119:J119)</f>
        <v>0</v>
      </c>
    </row>
    <row r="121" spans="1:13" s="203" customFormat="1" ht="13.8" outlineLevel="1" thickBot="1">
      <c r="A121" s="3" t="s">
        <v>1121</v>
      </c>
      <c r="B121" s="3" t="s">
        <v>993</v>
      </c>
      <c r="C121" s="3" t="s">
        <v>994</v>
      </c>
      <c r="D121" s="3" t="s">
        <v>795</v>
      </c>
      <c r="E121" s="218" t="s">
        <v>1122</v>
      </c>
      <c r="F121" s="219"/>
      <c r="G121" s="220"/>
      <c r="H121" s="201"/>
      <c r="I121" s="201"/>
      <c r="J121" s="201"/>
    </row>
    <row r="122" spans="1:13" ht="13.8" outlineLevel="2" thickBot="1">
      <c r="A122" s="3" t="str">
        <f>B122&amp;C122&amp;D122</f>
        <v>O&amp;M Mobilization BudgetOperating ExpensesInsurance</v>
      </c>
      <c r="B122" s="3" t="s">
        <v>993</v>
      </c>
      <c r="C122" s="3" t="s">
        <v>994</v>
      </c>
      <c r="D122" s="3" t="s">
        <v>795</v>
      </c>
      <c r="E122" s="204"/>
      <c r="F122" s="41"/>
      <c r="G122" s="205"/>
      <c r="H122" s="206">
        <v>0</v>
      </c>
      <c r="I122" s="206">
        <f>H122-J122</f>
        <v>0</v>
      </c>
      <c r="J122" s="206"/>
      <c r="L122" s="3"/>
      <c r="M122" s="3"/>
    </row>
    <row r="123" spans="1:13" ht="13.8" outlineLevel="2" thickBot="1">
      <c r="A123" s="3" t="str">
        <f>B123&amp;C123&amp;D123</f>
        <v>O&amp;M Mobilization BudgetOperating ExpensesInsurance</v>
      </c>
      <c r="B123" s="3" t="s">
        <v>993</v>
      </c>
      <c r="C123" s="3" t="s">
        <v>994</v>
      </c>
      <c r="D123" s="3" t="s">
        <v>795</v>
      </c>
      <c r="E123" s="204"/>
      <c r="F123" s="41"/>
      <c r="G123" s="205"/>
      <c r="H123" s="206"/>
      <c r="I123" s="206"/>
      <c r="J123" s="206"/>
      <c r="L123" s="3"/>
      <c r="M123" s="3"/>
    </row>
    <row r="124" spans="1:13" s="203" customFormat="1" ht="13.8" outlineLevel="1" thickBot="1">
      <c r="A124" s="203" t="s">
        <v>1123</v>
      </c>
      <c r="B124" s="203" t="s">
        <v>993</v>
      </c>
      <c r="C124" s="203" t="s">
        <v>994</v>
      </c>
      <c r="D124" s="203" t="s">
        <v>795</v>
      </c>
      <c r="E124" s="204"/>
      <c r="F124" s="41"/>
      <c r="G124" s="207" t="s">
        <v>1005</v>
      </c>
      <c r="H124" s="208">
        <f>SUBTOTAL(9,H122:H123)</f>
        <v>0</v>
      </c>
      <c r="I124" s="208">
        <f>SUBTOTAL(9,I122:I123)</f>
        <v>0</v>
      </c>
      <c r="J124" s="208">
        <f>SUBTOTAL(9,J122:J123)</f>
        <v>0</v>
      </c>
    </row>
    <row r="125" spans="1:13" s="203" customFormat="1" ht="13.8" outlineLevel="1" thickBot="1">
      <c r="E125" s="218" t="s">
        <v>796</v>
      </c>
      <c r="F125" s="219"/>
      <c r="G125" s="220"/>
      <c r="H125" s="201"/>
      <c r="I125" s="201"/>
      <c r="J125" s="201"/>
    </row>
    <row r="126" spans="1:13" s="203" customFormat="1" ht="13.8" outlineLevel="1" thickBot="1">
      <c r="E126" s="221" t="s">
        <v>796</v>
      </c>
      <c r="F126" s="21" t="s">
        <v>1124</v>
      </c>
      <c r="G126" s="222"/>
      <c r="H126" s="223">
        <f>1*350*30</f>
        <v>10500</v>
      </c>
      <c r="I126" s="206">
        <f>H126</f>
        <v>10500</v>
      </c>
      <c r="J126" s="206">
        <f>H126-I126</f>
        <v>0</v>
      </c>
    </row>
    <row r="127" spans="1:13" s="203" customFormat="1" ht="13.8" outlineLevel="1" thickBot="1">
      <c r="E127" s="221" t="s">
        <v>1125</v>
      </c>
      <c r="F127" s="21" t="s">
        <v>1126</v>
      </c>
      <c r="G127" s="222"/>
      <c r="H127" s="223">
        <f>1*125*30</f>
        <v>3750</v>
      </c>
      <c r="I127" s="206">
        <f>H127</f>
        <v>3750</v>
      </c>
      <c r="J127" s="206">
        <f>H127-I127</f>
        <v>0</v>
      </c>
    </row>
    <row r="128" spans="1:13" s="203" customFormat="1" ht="13.8" outlineLevel="1" thickBot="1">
      <c r="E128" s="221" t="s">
        <v>1127</v>
      </c>
      <c r="F128" s="21" t="s">
        <v>1128</v>
      </c>
      <c r="G128" s="222"/>
      <c r="H128" s="223">
        <v>1000</v>
      </c>
      <c r="I128" s="206">
        <f>H128</f>
        <v>1000</v>
      </c>
      <c r="J128" s="206">
        <f>H128-I128</f>
        <v>0</v>
      </c>
    </row>
    <row r="129" spans="1:13" s="203" customFormat="1" ht="13.8" outlineLevel="1" thickBot="1">
      <c r="E129" s="221"/>
      <c r="F129" s="21"/>
      <c r="G129" s="222"/>
      <c r="H129" s="223"/>
      <c r="I129" s="206">
        <f>H129</f>
        <v>0</v>
      </c>
      <c r="J129" s="206">
        <f>H129-I129</f>
        <v>0</v>
      </c>
    </row>
    <row r="130" spans="1:13" s="203" customFormat="1" ht="13.8" outlineLevel="1" thickBot="1">
      <c r="E130" s="221"/>
      <c r="F130" s="21"/>
      <c r="G130" s="222"/>
      <c r="H130" s="223"/>
      <c r="I130" s="224"/>
      <c r="J130" s="224"/>
    </row>
    <row r="131" spans="1:13" s="203" customFormat="1" ht="13.8" outlineLevel="1" thickBot="1">
      <c r="E131" s="221" t="s">
        <v>1129</v>
      </c>
      <c r="F131" s="21"/>
      <c r="G131" s="225" t="s">
        <v>1005</v>
      </c>
      <c r="H131" s="226">
        <f>SUBTOTAL(9,H126:H129)</f>
        <v>15250</v>
      </c>
      <c r="I131" s="226">
        <f>SUBTOTAL(9,I126:I129)</f>
        <v>15250</v>
      </c>
      <c r="J131" s="226">
        <f>SUBTOTAL(9,J126:J129)</f>
        <v>0</v>
      </c>
    </row>
    <row r="132" spans="1:13" s="203" customFormat="1" ht="13.8" outlineLevel="1" thickBot="1">
      <c r="A132" s="3" t="s">
        <v>1130</v>
      </c>
      <c r="B132" s="3" t="s">
        <v>993</v>
      </c>
      <c r="C132" s="3" t="s">
        <v>1131</v>
      </c>
      <c r="D132" s="3" t="s">
        <v>1132</v>
      </c>
      <c r="E132" s="218" t="s">
        <v>1132</v>
      </c>
      <c r="F132" s="219"/>
      <c r="G132" s="220"/>
      <c r="H132" s="201"/>
      <c r="I132" s="201"/>
      <c r="J132" s="201"/>
    </row>
    <row r="133" spans="1:13" ht="13.8" outlineLevel="2" thickBot="1">
      <c r="A133" s="3" t="str">
        <f t="shared" ref="A133:A147" si="10">B133&amp;C133&amp;D133</f>
        <v>O&amp;M Mobilization BudgetProcurement ExpensesOffice Furnishings, Equipment, Supplies</v>
      </c>
      <c r="B133" s="3" t="s">
        <v>993</v>
      </c>
      <c r="C133" s="3" t="s">
        <v>1131</v>
      </c>
      <c r="D133" s="3" t="s">
        <v>1132</v>
      </c>
      <c r="E133" s="204" t="s">
        <v>1133</v>
      </c>
      <c r="F133" s="41" t="s">
        <v>1134</v>
      </c>
      <c r="G133" s="205"/>
      <c r="H133" s="206">
        <v>1600</v>
      </c>
      <c r="I133" s="206">
        <f t="shared" ref="I133:I165" si="11">H133</f>
        <v>1600</v>
      </c>
      <c r="J133" s="206">
        <f t="shared" ref="J133:J165" si="12">H133-I133</f>
        <v>0</v>
      </c>
      <c r="L133" s="3"/>
      <c r="M133" s="3"/>
    </row>
    <row r="134" spans="1:13" ht="13.8" outlineLevel="2" thickBot="1">
      <c r="A134" s="3" t="str">
        <f t="shared" si="10"/>
        <v>O&amp;M Mobilization BudgetProcurement ExpensesOffice Furnishings, Equipment, Supplies</v>
      </c>
      <c r="B134" s="3" t="s">
        <v>993</v>
      </c>
      <c r="C134" s="3" t="s">
        <v>1131</v>
      </c>
      <c r="D134" s="3" t="s">
        <v>1132</v>
      </c>
      <c r="E134" s="204" t="s">
        <v>1135</v>
      </c>
      <c r="F134" s="41" t="s">
        <v>1136</v>
      </c>
      <c r="G134" s="205"/>
      <c r="H134" s="206">
        <v>600</v>
      </c>
      <c r="I134" s="206">
        <f t="shared" si="11"/>
        <v>600</v>
      </c>
      <c r="J134" s="206">
        <f t="shared" si="12"/>
        <v>0</v>
      </c>
      <c r="L134" s="3"/>
      <c r="M134" s="3"/>
    </row>
    <row r="135" spans="1:13" ht="13.8" outlineLevel="2" thickBot="1">
      <c r="A135" s="3" t="str">
        <f t="shared" si="10"/>
        <v>O&amp;M Mobilization BudgetProcurement ExpensesOffice Furnishings, Equipment, Supplies</v>
      </c>
      <c r="B135" s="3" t="s">
        <v>993</v>
      </c>
      <c r="C135" s="3" t="s">
        <v>1131</v>
      </c>
      <c r="D135" s="3" t="s">
        <v>1132</v>
      </c>
      <c r="E135" s="204" t="s">
        <v>1137</v>
      </c>
      <c r="F135" s="41" t="s">
        <v>1138</v>
      </c>
      <c r="G135" s="205"/>
      <c r="H135" s="206">
        <v>750</v>
      </c>
      <c r="I135" s="206">
        <f t="shared" si="11"/>
        <v>750</v>
      </c>
      <c r="J135" s="206">
        <f t="shared" si="12"/>
        <v>0</v>
      </c>
      <c r="L135" s="3"/>
      <c r="M135" s="3"/>
    </row>
    <row r="136" spans="1:13" ht="13.8" outlineLevel="2" thickBot="1">
      <c r="A136" s="3" t="str">
        <f t="shared" si="10"/>
        <v>O&amp;M Mobilization BudgetProcurement ExpensesOffice Furnishings, Equipment, Supplies</v>
      </c>
      <c r="B136" s="3" t="s">
        <v>993</v>
      </c>
      <c r="C136" s="3" t="s">
        <v>1131</v>
      </c>
      <c r="D136" s="3" t="s">
        <v>1132</v>
      </c>
      <c r="E136" s="204" t="s">
        <v>1139</v>
      </c>
      <c r="F136" s="41" t="s">
        <v>1140</v>
      </c>
      <c r="G136" s="205"/>
      <c r="H136" s="206">
        <f>4*200</f>
        <v>800</v>
      </c>
      <c r="I136" s="206">
        <f t="shared" si="11"/>
        <v>800</v>
      </c>
      <c r="J136" s="206">
        <f t="shared" si="12"/>
        <v>0</v>
      </c>
      <c r="L136" s="3"/>
      <c r="M136" s="3"/>
    </row>
    <row r="137" spans="1:13" ht="13.8" outlineLevel="2" thickBot="1">
      <c r="A137" s="3" t="str">
        <f t="shared" si="10"/>
        <v>O&amp;M Mobilization BudgetProcurement ExpensesOffice Furnishings, Equipment, Supplies</v>
      </c>
      <c r="B137" s="3" t="s">
        <v>993</v>
      </c>
      <c r="C137" s="3" t="s">
        <v>1131</v>
      </c>
      <c r="D137" s="3" t="s">
        <v>1132</v>
      </c>
      <c r="E137" s="204" t="s">
        <v>1141</v>
      </c>
      <c r="F137" s="41" t="s">
        <v>1142</v>
      </c>
      <c r="G137" s="205"/>
      <c r="H137" s="206">
        <v>500</v>
      </c>
      <c r="I137" s="206">
        <f t="shared" si="11"/>
        <v>500</v>
      </c>
      <c r="J137" s="206">
        <f t="shared" si="12"/>
        <v>0</v>
      </c>
      <c r="L137" s="3"/>
      <c r="M137" s="3"/>
    </row>
    <row r="138" spans="1:13" ht="13.8" outlineLevel="2" thickBot="1">
      <c r="A138" s="3" t="str">
        <f t="shared" si="10"/>
        <v>O&amp;M Mobilization BudgetProcurement ExpensesOffice Furnishings, Equipment, Supplies</v>
      </c>
      <c r="B138" s="3" t="s">
        <v>993</v>
      </c>
      <c r="C138" s="3" t="s">
        <v>1131</v>
      </c>
      <c r="D138" s="3" t="s">
        <v>1132</v>
      </c>
      <c r="E138" s="204" t="s">
        <v>1143</v>
      </c>
      <c r="F138" s="41" t="s">
        <v>1144</v>
      </c>
      <c r="G138" s="205"/>
      <c r="H138" s="206">
        <v>1000</v>
      </c>
      <c r="I138" s="206">
        <f t="shared" si="11"/>
        <v>1000</v>
      </c>
      <c r="J138" s="206">
        <f t="shared" si="12"/>
        <v>0</v>
      </c>
      <c r="L138" s="3"/>
      <c r="M138" s="3"/>
    </row>
    <row r="139" spans="1:13" ht="13.8" outlineLevel="2" thickBot="1">
      <c r="A139" s="3" t="str">
        <f t="shared" si="10"/>
        <v>O&amp;M Mobilization BudgetProcurement ExpensesOffice Furnishings, Equipment, Supplies</v>
      </c>
      <c r="B139" s="3" t="s">
        <v>993</v>
      </c>
      <c r="C139" s="3" t="s">
        <v>1131</v>
      </c>
      <c r="D139" s="3" t="s">
        <v>1132</v>
      </c>
      <c r="E139" s="204" t="s">
        <v>1145</v>
      </c>
      <c r="F139" s="41" t="s">
        <v>1146</v>
      </c>
      <c r="G139" s="205"/>
      <c r="H139" s="206">
        <v>0</v>
      </c>
      <c r="I139" s="206">
        <f t="shared" si="11"/>
        <v>0</v>
      </c>
      <c r="J139" s="206">
        <f t="shared" si="12"/>
        <v>0</v>
      </c>
      <c r="L139" s="3"/>
      <c r="M139" s="3"/>
    </row>
    <row r="140" spans="1:13" ht="13.8" outlineLevel="2" thickBot="1">
      <c r="A140" s="3" t="str">
        <f t="shared" si="10"/>
        <v>O&amp;M Mobilization BudgetProcurement ExpensesOffice Furnishings, Equipment, Supplies</v>
      </c>
      <c r="B140" s="3" t="s">
        <v>993</v>
      </c>
      <c r="C140" s="3" t="s">
        <v>1131</v>
      </c>
      <c r="D140" s="3" t="s">
        <v>1132</v>
      </c>
      <c r="E140" s="204" t="s">
        <v>1147</v>
      </c>
      <c r="F140" s="41" t="s">
        <v>1148</v>
      </c>
      <c r="G140" s="205"/>
      <c r="H140" s="206">
        <v>0</v>
      </c>
      <c r="I140" s="206">
        <f t="shared" si="11"/>
        <v>0</v>
      </c>
      <c r="J140" s="206">
        <f t="shared" si="12"/>
        <v>0</v>
      </c>
      <c r="L140" s="3"/>
      <c r="M140" s="3"/>
    </row>
    <row r="141" spans="1:13" ht="13.8" outlineLevel="2" thickBot="1">
      <c r="A141" s="3" t="str">
        <f t="shared" si="10"/>
        <v>O&amp;M Mobilization BudgetProcurement ExpensesOffice Furnishings, Equipment, Supplies</v>
      </c>
      <c r="B141" s="3" t="s">
        <v>993</v>
      </c>
      <c r="C141" s="3" t="s">
        <v>1131</v>
      </c>
      <c r="D141" s="3" t="s">
        <v>1132</v>
      </c>
      <c r="E141" s="204" t="s">
        <v>1149</v>
      </c>
      <c r="F141" s="41" t="s">
        <v>1150</v>
      </c>
      <c r="G141" s="205"/>
      <c r="H141" s="206">
        <v>150</v>
      </c>
      <c r="I141" s="206">
        <f t="shared" si="11"/>
        <v>150</v>
      </c>
      <c r="J141" s="206">
        <f t="shared" si="12"/>
        <v>0</v>
      </c>
      <c r="L141" s="3"/>
      <c r="M141" s="3"/>
    </row>
    <row r="142" spans="1:13" ht="13.8" outlineLevel="2" thickBot="1">
      <c r="A142" s="3" t="str">
        <f t="shared" si="10"/>
        <v>O&amp;M Mobilization BudgetProcurement ExpensesOffice Furnishings, Equipment, Supplies</v>
      </c>
      <c r="B142" s="3" t="s">
        <v>993</v>
      </c>
      <c r="C142" s="3" t="s">
        <v>1131</v>
      </c>
      <c r="D142" s="3" t="s">
        <v>1132</v>
      </c>
      <c r="E142" s="204" t="s">
        <v>1151</v>
      </c>
      <c r="F142" s="41" t="s">
        <v>1152</v>
      </c>
      <c r="G142" s="205"/>
      <c r="H142" s="206">
        <v>150</v>
      </c>
      <c r="I142" s="206">
        <f t="shared" si="11"/>
        <v>150</v>
      </c>
      <c r="J142" s="206">
        <f t="shared" si="12"/>
        <v>0</v>
      </c>
      <c r="L142" s="3"/>
      <c r="M142" s="3"/>
    </row>
    <row r="143" spans="1:13" ht="13.8" outlineLevel="2" thickBot="1">
      <c r="A143" s="3" t="str">
        <f t="shared" si="10"/>
        <v>O&amp;M Mobilization BudgetProcurement ExpensesOffice Furnishings, Equipment, Supplies</v>
      </c>
      <c r="B143" s="3" t="s">
        <v>993</v>
      </c>
      <c r="C143" s="3" t="s">
        <v>1131</v>
      </c>
      <c r="D143" s="3" t="s">
        <v>1132</v>
      </c>
      <c r="E143" s="204" t="s">
        <v>1153</v>
      </c>
      <c r="F143" s="41" t="s">
        <v>1154</v>
      </c>
      <c r="G143" s="205"/>
      <c r="H143" s="206">
        <f>1*750</f>
        <v>750</v>
      </c>
      <c r="I143" s="206">
        <f t="shared" si="11"/>
        <v>750</v>
      </c>
      <c r="J143" s="206">
        <f t="shared" si="12"/>
        <v>0</v>
      </c>
      <c r="L143" s="3"/>
      <c r="M143" s="3"/>
    </row>
    <row r="144" spans="1:13" ht="13.8" outlineLevel="2" thickBot="1">
      <c r="A144" s="3" t="str">
        <f t="shared" si="10"/>
        <v>O&amp;M Mobilization BudgetProcurement ExpensesOffice Furnishings, Equipment, Supplies</v>
      </c>
      <c r="B144" s="3" t="s">
        <v>993</v>
      </c>
      <c r="C144" s="3" t="s">
        <v>1131</v>
      </c>
      <c r="D144" s="3" t="s">
        <v>1132</v>
      </c>
      <c r="E144" s="204" t="s">
        <v>1155</v>
      </c>
      <c r="F144" s="41"/>
      <c r="G144" s="205"/>
      <c r="H144" s="206">
        <v>500</v>
      </c>
      <c r="I144" s="206">
        <f t="shared" si="11"/>
        <v>500</v>
      </c>
      <c r="J144" s="206">
        <f t="shared" si="12"/>
        <v>0</v>
      </c>
      <c r="L144" s="3"/>
      <c r="M144" s="3"/>
    </row>
    <row r="145" spans="1:13" ht="13.8" outlineLevel="2" thickBot="1">
      <c r="A145" s="3" t="str">
        <f t="shared" si="10"/>
        <v>O&amp;M Mobilization BudgetProcurement ExpensesOffice Furnishings, Equipment, Supplies</v>
      </c>
      <c r="B145" s="3" t="s">
        <v>993</v>
      </c>
      <c r="C145" s="3" t="s">
        <v>1131</v>
      </c>
      <c r="D145" s="3" t="s">
        <v>1132</v>
      </c>
      <c r="E145" s="204" t="s">
        <v>1156</v>
      </c>
      <c r="F145" s="41" t="s">
        <v>1157</v>
      </c>
      <c r="G145" s="205"/>
      <c r="H145" s="206">
        <v>1000</v>
      </c>
      <c r="I145" s="206">
        <f t="shared" si="11"/>
        <v>1000</v>
      </c>
      <c r="J145" s="206">
        <f t="shared" si="12"/>
        <v>0</v>
      </c>
      <c r="L145" s="3"/>
      <c r="M145" s="3"/>
    </row>
    <row r="146" spans="1:13" ht="13.8" outlineLevel="2" thickBot="1">
      <c r="A146" s="3" t="str">
        <f t="shared" si="10"/>
        <v>O&amp;M Mobilization BudgetProcurement ExpensesOffice Furnishings, Equipment, Supplies</v>
      </c>
      <c r="B146" s="3" t="s">
        <v>993</v>
      </c>
      <c r="C146" s="3" t="s">
        <v>1131</v>
      </c>
      <c r="D146" s="3" t="s">
        <v>1132</v>
      </c>
      <c r="E146" s="204" t="s">
        <v>1158</v>
      </c>
      <c r="F146" s="41" t="s">
        <v>1159</v>
      </c>
      <c r="G146" s="205"/>
      <c r="H146" s="206">
        <v>8000</v>
      </c>
      <c r="I146" s="206">
        <f t="shared" si="11"/>
        <v>8000</v>
      </c>
      <c r="J146" s="206">
        <f t="shared" si="12"/>
        <v>0</v>
      </c>
      <c r="L146" s="3"/>
      <c r="M146" s="3"/>
    </row>
    <row r="147" spans="1:13" ht="13.8" outlineLevel="2" thickBot="1">
      <c r="A147" s="3" t="str">
        <f t="shared" si="10"/>
        <v>O&amp;M Mobilization BudgetProcurement ExpensesOffice Furnishings, Equipment, Supplies</v>
      </c>
      <c r="B147" s="3" t="s">
        <v>993</v>
      </c>
      <c r="C147" s="3" t="s">
        <v>1131</v>
      </c>
      <c r="D147" s="3" t="s">
        <v>1132</v>
      </c>
      <c r="E147" s="204" t="s">
        <v>1160</v>
      </c>
      <c r="F147" s="41" t="s">
        <v>1161</v>
      </c>
      <c r="G147" s="205"/>
      <c r="H147" s="206">
        <v>1000</v>
      </c>
      <c r="I147" s="206">
        <f t="shared" si="11"/>
        <v>1000</v>
      </c>
      <c r="J147" s="206">
        <f t="shared" si="12"/>
        <v>0</v>
      </c>
      <c r="L147" s="3"/>
      <c r="M147" s="3"/>
    </row>
    <row r="148" spans="1:13" ht="13.8" outlineLevel="2" thickBot="1">
      <c r="E148" s="204" t="s">
        <v>0</v>
      </c>
      <c r="F148" s="41" t="s">
        <v>1</v>
      </c>
      <c r="G148" s="205"/>
      <c r="H148" s="206">
        <v>20000</v>
      </c>
      <c r="I148" s="206">
        <f t="shared" si="11"/>
        <v>20000</v>
      </c>
      <c r="J148" s="206">
        <f t="shared" si="12"/>
        <v>0</v>
      </c>
      <c r="L148" s="3"/>
      <c r="M148" s="3"/>
    </row>
    <row r="149" spans="1:13" ht="13.8" outlineLevel="2" thickBot="1">
      <c r="E149" s="204" t="s">
        <v>2</v>
      </c>
      <c r="F149" s="41" t="s">
        <v>3</v>
      </c>
      <c r="G149" s="205"/>
      <c r="H149" s="206">
        <v>0</v>
      </c>
      <c r="I149" s="206">
        <f t="shared" si="11"/>
        <v>0</v>
      </c>
      <c r="J149" s="206">
        <f t="shared" si="12"/>
        <v>0</v>
      </c>
      <c r="L149" s="3"/>
      <c r="M149" s="3"/>
    </row>
    <row r="150" spans="1:13" ht="13.8" outlineLevel="2" thickBot="1">
      <c r="E150" s="204" t="s">
        <v>4</v>
      </c>
      <c r="F150" s="41" t="s">
        <v>5</v>
      </c>
      <c r="G150" s="205"/>
      <c r="H150" s="206">
        <v>0</v>
      </c>
      <c r="I150" s="206">
        <f t="shared" si="11"/>
        <v>0</v>
      </c>
      <c r="J150" s="206">
        <f t="shared" si="12"/>
        <v>0</v>
      </c>
      <c r="L150" s="3"/>
      <c r="M150" s="3"/>
    </row>
    <row r="151" spans="1:13" ht="13.8" outlineLevel="2" thickBot="1">
      <c r="E151" s="204" t="s">
        <v>4</v>
      </c>
      <c r="F151" s="41" t="s">
        <v>6</v>
      </c>
      <c r="G151" s="205"/>
      <c r="H151" s="206">
        <v>0</v>
      </c>
      <c r="I151" s="206">
        <f t="shared" si="11"/>
        <v>0</v>
      </c>
      <c r="J151" s="206">
        <f t="shared" si="12"/>
        <v>0</v>
      </c>
      <c r="L151" s="3"/>
      <c r="M151" s="3"/>
    </row>
    <row r="152" spans="1:13" ht="13.8" outlineLevel="2" thickBot="1">
      <c r="A152" s="3" t="str">
        <f t="shared" ref="A152:A160" si="13">B152&amp;C152&amp;D152</f>
        <v>O&amp;M Mobilization BudgetProcurement ExpensesOffice Furnishings, Equipment, Supplies</v>
      </c>
      <c r="B152" s="3" t="s">
        <v>993</v>
      </c>
      <c r="C152" s="3" t="s">
        <v>1131</v>
      </c>
      <c r="D152" s="3" t="s">
        <v>1132</v>
      </c>
      <c r="E152" s="204" t="s">
        <v>7</v>
      </c>
      <c r="F152" s="41" t="s">
        <v>8</v>
      </c>
      <c r="G152" s="205"/>
      <c r="H152" s="206">
        <v>0</v>
      </c>
      <c r="I152" s="206">
        <f t="shared" si="11"/>
        <v>0</v>
      </c>
      <c r="J152" s="206">
        <f t="shared" si="12"/>
        <v>0</v>
      </c>
      <c r="L152" s="3"/>
      <c r="M152" s="3"/>
    </row>
    <row r="153" spans="1:13" ht="13.8" outlineLevel="2" thickBot="1">
      <c r="A153" s="3" t="str">
        <f t="shared" si="13"/>
        <v>O&amp;M Mobilization BudgetProcurement ExpensesOffice Furnishings, Equipment, Supplies</v>
      </c>
      <c r="B153" s="3" t="s">
        <v>993</v>
      </c>
      <c r="C153" s="3" t="s">
        <v>1131</v>
      </c>
      <c r="D153" s="3" t="s">
        <v>1132</v>
      </c>
      <c r="E153" s="204" t="s">
        <v>9</v>
      </c>
      <c r="F153" s="41" t="s">
        <v>10</v>
      </c>
      <c r="G153" s="205"/>
      <c r="H153" s="206">
        <v>0</v>
      </c>
      <c r="I153" s="206">
        <f t="shared" si="11"/>
        <v>0</v>
      </c>
      <c r="J153" s="206">
        <f t="shared" si="12"/>
        <v>0</v>
      </c>
      <c r="L153" s="3"/>
      <c r="M153" s="3"/>
    </row>
    <row r="154" spans="1:13" ht="13.8" outlineLevel="2" thickBot="1">
      <c r="A154" s="3" t="str">
        <f t="shared" si="13"/>
        <v>O&amp;M Mobilization BudgetProcurement ExpensesOffice Furnishings, Equipment, Supplies</v>
      </c>
      <c r="B154" s="3" t="s">
        <v>993</v>
      </c>
      <c r="C154" s="3" t="s">
        <v>1131</v>
      </c>
      <c r="D154" s="3" t="s">
        <v>1132</v>
      </c>
      <c r="E154" s="204" t="s">
        <v>11</v>
      </c>
      <c r="F154" s="41" t="s">
        <v>12</v>
      </c>
      <c r="G154" s="205"/>
      <c r="H154" s="206">
        <v>0</v>
      </c>
      <c r="I154" s="206">
        <f t="shared" si="11"/>
        <v>0</v>
      </c>
      <c r="J154" s="206">
        <f t="shared" si="12"/>
        <v>0</v>
      </c>
      <c r="L154" s="3"/>
      <c r="M154" s="3"/>
    </row>
    <row r="155" spans="1:13" ht="13.8" outlineLevel="2" thickBot="1">
      <c r="A155" s="3" t="str">
        <f t="shared" si="13"/>
        <v>O&amp;M Mobilization BudgetProcurement ExpensesOffice Furnishings, Equipment, Supplies</v>
      </c>
      <c r="B155" s="3" t="s">
        <v>993</v>
      </c>
      <c r="C155" s="3" t="s">
        <v>1131</v>
      </c>
      <c r="D155" s="3" t="s">
        <v>1132</v>
      </c>
      <c r="E155" s="204" t="s">
        <v>13</v>
      </c>
      <c r="F155" s="41" t="s">
        <v>14</v>
      </c>
      <c r="G155" s="205"/>
      <c r="H155" s="206">
        <v>100</v>
      </c>
      <c r="I155" s="206">
        <f t="shared" si="11"/>
        <v>100</v>
      </c>
      <c r="J155" s="206">
        <f t="shared" si="12"/>
        <v>0</v>
      </c>
      <c r="L155" s="3"/>
      <c r="M155" s="3"/>
    </row>
    <row r="156" spans="1:13" ht="13.8" outlineLevel="2" thickBot="1">
      <c r="A156" s="3" t="str">
        <f t="shared" si="13"/>
        <v>O&amp;M Mobilization BudgetProcurement ExpensesOffice Furnishings, Equipment, Supplies</v>
      </c>
      <c r="B156" s="3" t="s">
        <v>993</v>
      </c>
      <c r="C156" s="3" t="s">
        <v>1131</v>
      </c>
      <c r="D156" s="3" t="s">
        <v>1132</v>
      </c>
      <c r="E156" s="204" t="s">
        <v>15</v>
      </c>
      <c r="F156" s="41" t="s">
        <v>16</v>
      </c>
      <c r="G156" s="205"/>
      <c r="H156" s="206">
        <v>0</v>
      </c>
      <c r="I156" s="206">
        <f t="shared" si="11"/>
        <v>0</v>
      </c>
      <c r="J156" s="206">
        <f t="shared" si="12"/>
        <v>0</v>
      </c>
      <c r="L156" s="3"/>
      <c r="M156" s="3"/>
    </row>
    <row r="157" spans="1:13" ht="13.8" outlineLevel="2" thickBot="1">
      <c r="A157" s="3" t="str">
        <f t="shared" si="13"/>
        <v>O&amp;M Mobilization BudgetProcurement ExpensesOffice Furnishings, Equipment, Supplies</v>
      </c>
      <c r="B157" s="3" t="s">
        <v>993</v>
      </c>
      <c r="C157" s="3" t="s">
        <v>1131</v>
      </c>
      <c r="D157" s="3" t="s">
        <v>1132</v>
      </c>
      <c r="E157" s="204" t="s">
        <v>17</v>
      </c>
      <c r="F157" s="41" t="s">
        <v>18</v>
      </c>
      <c r="G157" s="205"/>
      <c r="H157" s="206">
        <v>1000</v>
      </c>
      <c r="I157" s="206">
        <f t="shared" si="11"/>
        <v>1000</v>
      </c>
      <c r="J157" s="206">
        <f t="shared" si="12"/>
        <v>0</v>
      </c>
      <c r="L157" s="3"/>
      <c r="M157" s="3"/>
    </row>
    <row r="158" spans="1:13" ht="13.8" outlineLevel="2" thickBot="1">
      <c r="A158" s="3" t="str">
        <f t="shared" si="13"/>
        <v>O&amp;M Mobilization BudgetProcurement ExpensesOffice Furnishings, Equipment, Supplies</v>
      </c>
      <c r="B158" s="3" t="s">
        <v>993</v>
      </c>
      <c r="C158" s="3" t="s">
        <v>1131</v>
      </c>
      <c r="D158" s="3" t="s">
        <v>1132</v>
      </c>
      <c r="E158" s="204"/>
      <c r="F158" s="41"/>
      <c r="G158" s="205"/>
      <c r="H158" s="206"/>
      <c r="I158" s="206">
        <f t="shared" si="11"/>
        <v>0</v>
      </c>
      <c r="J158" s="206">
        <f t="shared" si="12"/>
        <v>0</v>
      </c>
      <c r="L158" s="3"/>
      <c r="M158" s="3"/>
    </row>
    <row r="159" spans="1:13" ht="13.8" outlineLevel="2" thickBot="1">
      <c r="A159" s="3" t="str">
        <f t="shared" si="13"/>
        <v>O&amp;M Mobilization BudgetProcurement ExpensesOffice Furnishings, Equipment, Supplies</v>
      </c>
      <c r="B159" s="3" t="s">
        <v>993</v>
      </c>
      <c r="C159" s="3" t="s">
        <v>1131</v>
      </c>
      <c r="D159" s="3" t="s">
        <v>1132</v>
      </c>
      <c r="E159" s="204" t="s">
        <v>19</v>
      </c>
      <c r="F159" s="41" t="s">
        <v>20</v>
      </c>
      <c r="G159" s="205"/>
      <c r="H159" s="206">
        <v>400</v>
      </c>
      <c r="I159" s="206">
        <f t="shared" si="11"/>
        <v>400</v>
      </c>
      <c r="J159" s="206">
        <f t="shared" si="12"/>
        <v>0</v>
      </c>
      <c r="L159" s="3"/>
      <c r="M159" s="3"/>
    </row>
    <row r="160" spans="1:13" ht="13.8" outlineLevel="2" thickBot="1">
      <c r="A160" s="3" t="str">
        <f t="shared" si="13"/>
        <v>O&amp;M Mobilization BudgetProcurement ExpensesOffice Furnishings, Equipment, Supplies</v>
      </c>
      <c r="B160" s="3" t="s">
        <v>993</v>
      </c>
      <c r="C160" s="3" t="s">
        <v>1131</v>
      </c>
      <c r="D160" s="3" t="s">
        <v>1132</v>
      </c>
      <c r="E160" s="204" t="s">
        <v>21</v>
      </c>
      <c r="F160" s="41" t="s">
        <v>22</v>
      </c>
      <c r="G160" s="205"/>
      <c r="H160" s="206">
        <v>400</v>
      </c>
      <c r="I160" s="206">
        <f t="shared" si="11"/>
        <v>400</v>
      </c>
      <c r="J160" s="206">
        <f t="shared" si="12"/>
        <v>0</v>
      </c>
      <c r="L160" s="3"/>
      <c r="M160" s="3"/>
    </row>
    <row r="161" spans="1:13" ht="13.8" outlineLevel="2" thickBot="1">
      <c r="E161" s="204" t="s">
        <v>23</v>
      </c>
      <c r="F161" s="41" t="s">
        <v>24</v>
      </c>
      <c r="G161" s="205"/>
      <c r="H161" s="206">
        <v>500</v>
      </c>
      <c r="I161" s="206">
        <f t="shared" si="11"/>
        <v>500</v>
      </c>
      <c r="J161" s="206">
        <f t="shared" si="12"/>
        <v>0</v>
      </c>
      <c r="L161" s="3"/>
      <c r="M161" s="3"/>
    </row>
    <row r="162" spans="1:13" ht="13.8" outlineLevel="2" thickBot="1">
      <c r="A162" s="3" t="str">
        <f>B162&amp;C162&amp;D162</f>
        <v>O&amp;M Mobilization BudgetProcurement ExpensesOffice Furnishings, Equipment, Supplies</v>
      </c>
      <c r="B162" s="3" t="s">
        <v>993</v>
      </c>
      <c r="C162" s="3" t="s">
        <v>1131</v>
      </c>
      <c r="D162" s="3" t="s">
        <v>1132</v>
      </c>
      <c r="E162" s="204" t="s">
        <v>25</v>
      </c>
      <c r="F162" s="41" t="s">
        <v>26</v>
      </c>
      <c r="G162" s="205"/>
      <c r="H162" s="206">
        <v>1200</v>
      </c>
      <c r="I162" s="206">
        <f t="shared" si="11"/>
        <v>1200</v>
      </c>
      <c r="J162" s="206">
        <f t="shared" si="12"/>
        <v>0</v>
      </c>
      <c r="L162" s="3"/>
      <c r="M162" s="3"/>
    </row>
    <row r="163" spans="1:13" ht="13.8" outlineLevel="2" thickBot="1">
      <c r="E163" s="204" t="s">
        <v>27</v>
      </c>
      <c r="F163" s="41"/>
      <c r="G163" s="205"/>
      <c r="H163" s="206">
        <v>2000</v>
      </c>
      <c r="I163" s="206">
        <f t="shared" si="11"/>
        <v>2000</v>
      </c>
      <c r="J163" s="206">
        <f t="shared" si="12"/>
        <v>0</v>
      </c>
      <c r="L163" s="3"/>
      <c r="M163" s="3"/>
    </row>
    <row r="164" spans="1:13" ht="13.8" outlineLevel="2" thickBot="1">
      <c r="E164" s="204" t="s">
        <v>28</v>
      </c>
      <c r="F164" s="41"/>
      <c r="G164" s="205"/>
      <c r="H164" s="206">
        <v>250</v>
      </c>
      <c r="I164" s="206">
        <f t="shared" si="11"/>
        <v>250</v>
      </c>
      <c r="J164" s="206">
        <f t="shared" si="12"/>
        <v>0</v>
      </c>
      <c r="L164" s="3"/>
      <c r="M164" s="3"/>
    </row>
    <row r="165" spans="1:13" ht="13.8" outlineLevel="2" thickBot="1">
      <c r="E165" s="204" t="s">
        <v>1115</v>
      </c>
      <c r="F165" s="41" t="s">
        <v>29</v>
      </c>
      <c r="G165" s="205"/>
      <c r="H165" s="206">
        <f>SUM(H133:H164)*0.05</f>
        <v>2132.5</v>
      </c>
      <c r="I165" s="206">
        <f t="shared" si="11"/>
        <v>2132.5</v>
      </c>
      <c r="J165" s="206">
        <f t="shared" si="12"/>
        <v>0</v>
      </c>
      <c r="L165" s="3"/>
      <c r="M165" s="3"/>
    </row>
    <row r="166" spans="1:13" ht="13.8" outlineLevel="2" thickBot="1">
      <c r="E166" s="204"/>
      <c r="F166" s="41"/>
      <c r="G166" s="205"/>
      <c r="H166" s="206"/>
      <c r="I166" s="206"/>
      <c r="J166" s="206"/>
      <c r="L166" s="3"/>
      <c r="M166" s="3"/>
    </row>
    <row r="167" spans="1:13" s="203" customFormat="1" ht="13.8" outlineLevel="1" thickBot="1">
      <c r="A167" s="203" t="s">
        <v>30</v>
      </c>
      <c r="B167" s="203" t="s">
        <v>993</v>
      </c>
      <c r="C167" s="203" t="s">
        <v>1131</v>
      </c>
      <c r="D167" s="203" t="s">
        <v>1132</v>
      </c>
      <c r="E167" s="204"/>
      <c r="F167" s="41"/>
      <c r="G167" s="207" t="s">
        <v>1005</v>
      </c>
      <c r="H167" s="208">
        <f>SUBTOTAL(9,H133:H166)</f>
        <v>44782.5</v>
      </c>
      <c r="I167" s="208">
        <f>SUBTOTAL(9,I133:I166)</f>
        <v>44782.5</v>
      </c>
      <c r="J167" s="208">
        <f>SUBTOTAL(9,J133:J166)</f>
        <v>0</v>
      </c>
    </row>
    <row r="168" spans="1:13" s="203" customFormat="1" ht="13.8" outlineLevel="1" thickBot="1">
      <c r="A168" s="3" t="s">
        <v>31</v>
      </c>
      <c r="B168" s="3" t="s">
        <v>993</v>
      </c>
      <c r="C168" s="3" t="s">
        <v>1131</v>
      </c>
      <c r="D168" s="3" t="s">
        <v>32</v>
      </c>
      <c r="E168" s="218" t="s">
        <v>33</v>
      </c>
      <c r="F168" s="219"/>
      <c r="G168" s="220"/>
      <c r="H168" s="201"/>
      <c r="I168" s="201"/>
      <c r="J168" s="201"/>
    </row>
    <row r="169" spans="1:13" ht="13.8" outlineLevel="2" thickBot="1">
      <c r="A169" s="3" t="str">
        <f>B169&amp;C169&amp;D169</f>
        <v>O&amp;M Mobilization BudgetProcurement ExpensesSafety Equipment &amp; Supplies</v>
      </c>
      <c r="B169" s="3" t="s">
        <v>993</v>
      </c>
      <c r="C169" s="3" t="s">
        <v>1131</v>
      </c>
      <c r="D169" s="3" t="s">
        <v>32</v>
      </c>
      <c r="E169" s="204" t="s">
        <v>34</v>
      </c>
      <c r="F169" s="41" t="s">
        <v>35</v>
      </c>
      <c r="G169" s="205"/>
      <c r="H169" s="206"/>
      <c r="I169" s="206">
        <f t="shared" ref="I169:I179" si="14">H169</f>
        <v>0</v>
      </c>
      <c r="J169" s="206">
        <f t="shared" ref="J169:J179" si="15">H169-I169</f>
        <v>0</v>
      </c>
      <c r="L169" s="3"/>
      <c r="M169" s="3"/>
    </row>
    <row r="170" spans="1:13" ht="13.8" outlineLevel="2" thickBot="1">
      <c r="E170" s="204"/>
      <c r="F170" s="41" t="s">
        <v>36</v>
      </c>
      <c r="G170" s="205"/>
      <c r="H170" s="206">
        <v>3000</v>
      </c>
      <c r="I170" s="206">
        <f t="shared" si="14"/>
        <v>3000</v>
      </c>
      <c r="J170" s="206">
        <f t="shared" si="15"/>
        <v>0</v>
      </c>
      <c r="L170" s="3"/>
      <c r="M170" s="3"/>
    </row>
    <row r="171" spans="1:13" ht="13.8" outlineLevel="2" thickBot="1">
      <c r="E171" s="204" t="s">
        <v>37</v>
      </c>
      <c r="F171" s="41" t="s">
        <v>38</v>
      </c>
      <c r="G171" s="205"/>
      <c r="H171" s="206">
        <f>10*120</f>
        <v>1200</v>
      </c>
      <c r="I171" s="206">
        <f t="shared" si="14"/>
        <v>1200</v>
      </c>
      <c r="J171" s="206">
        <f t="shared" si="15"/>
        <v>0</v>
      </c>
      <c r="L171" s="3"/>
      <c r="M171" s="3"/>
    </row>
    <row r="172" spans="1:13" ht="13.8" outlineLevel="2" thickBot="1">
      <c r="E172" s="204" t="s">
        <v>39</v>
      </c>
      <c r="F172" s="41"/>
      <c r="G172" s="205"/>
      <c r="H172" s="206">
        <v>7700</v>
      </c>
      <c r="I172" s="206">
        <f t="shared" si="14"/>
        <v>7700</v>
      </c>
      <c r="J172" s="206">
        <f t="shared" si="15"/>
        <v>0</v>
      </c>
      <c r="L172" s="3"/>
      <c r="M172" s="3"/>
    </row>
    <row r="173" spans="1:13" ht="13.8" outlineLevel="2" thickBot="1">
      <c r="E173" s="204" t="s">
        <v>40</v>
      </c>
      <c r="F173" s="41" t="s">
        <v>41</v>
      </c>
      <c r="G173" s="205"/>
      <c r="H173" s="206">
        <v>6000</v>
      </c>
      <c r="I173" s="206">
        <f t="shared" si="14"/>
        <v>6000</v>
      </c>
      <c r="J173" s="206">
        <f t="shared" si="15"/>
        <v>0</v>
      </c>
      <c r="L173" s="3"/>
      <c r="M173" s="3"/>
    </row>
    <row r="174" spans="1:13" ht="13.8" outlineLevel="2" thickBot="1">
      <c r="E174" s="204" t="s">
        <v>42</v>
      </c>
      <c r="F174" s="41" t="s">
        <v>43</v>
      </c>
      <c r="G174" s="205"/>
      <c r="H174" s="206">
        <v>2500</v>
      </c>
      <c r="I174" s="206">
        <f t="shared" si="14"/>
        <v>2500</v>
      </c>
      <c r="J174" s="206">
        <f t="shared" si="15"/>
        <v>0</v>
      </c>
      <c r="L174" s="3"/>
      <c r="M174" s="3"/>
    </row>
    <row r="175" spans="1:13" ht="13.8" outlineLevel="2" thickBot="1">
      <c r="E175" s="204" t="s">
        <v>44</v>
      </c>
      <c r="F175" s="41" t="s">
        <v>45</v>
      </c>
      <c r="G175" s="205"/>
      <c r="H175" s="206"/>
      <c r="I175" s="206">
        <f t="shared" si="14"/>
        <v>0</v>
      </c>
      <c r="J175" s="206">
        <f t="shared" si="15"/>
        <v>0</v>
      </c>
      <c r="L175" s="3"/>
      <c r="M175" s="3"/>
    </row>
    <row r="176" spans="1:13" ht="13.8" outlineLevel="2" thickBot="1">
      <c r="E176" s="204" t="s">
        <v>46</v>
      </c>
      <c r="F176" s="41"/>
      <c r="G176" s="205">
        <v>44700</v>
      </c>
      <c r="H176" s="206"/>
      <c r="I176" s="206">
        <f t="shared" si="14"/>
        <v>0</v>
      </c>
      <c r="J176" s="206">
        <f t="shared" si="15"/>
        <v>0</v>
      </c>
      <c r="L176" s="3"/>
      <c r="M176" s="3"/>
    </row>
    <row r="177" spans="1:13" ht="13.8" outlineLevel="2" thickBot="1">
      <c r="E177" s="204" t="s">
        <v>47</v>
      </c>
      <c r="F177" s="41"/>
      <c r="G177" s="205">
        <v>21000</v>
      </c>
      <c r="H177" s="206"/>
      <c r="I177" s="206">
        <f t="shared" si="14"/>
        <v>0</v>
      </c>
      <c r="J177" s="206">
        <f t="shared" si="15"/>
        <v>0</v>
      </c>
      <c r="L177" s="3"/>
      <c r="M177" s="3"/>
    </row>
    <row r="178" spans="1:13" ht="13.8" outlineLevel="2" thickBot="1">
      <c r="E178" s="204" t="s">
        <v>48</v>
      </c>
      <c r="F178" s="41"/>
      <c r="G178" s="205">
        <v>17600</v>
      </c>
      <c r="H178" s="206"/>
      <c r="I178" s="206">
        <f t="shared" si="14"/>
        <v>0</v>
      </c>
      <c r="J178" s="206">
        <f t="shared" si="15"/>
        <v>0</v>
      </c>
      <c r="L178" s="3"/>
      <c r="M178" s="3"/>
    </row>
    <row r="179" spans="1:13" ht="13.8" outlineLevel="2" thickBot="1">
      <c r="E179" s="204" t="s">
        <v>1115</v>
      </c>
      <c r="F179" s="41" t="s">
        <v>29</v>
      </c>
      <c r="G179" s="205"/>
      <c r="H179" s="206">
        <f>0.05*SUM(H169:H175)</f>
        <v>1020</v>
      </c>
      <c r="I179" s="206">
        <f t="shared" si="14"/>
        <v>1020</v>
      </c>
      <c r="J179" s="206">
        <f t="shared" si="15"/>
        <v>0</v>
      </c>
      <c r="L179" s="3"/>
      <c r="M179" s="3"/>
    </row>
    <row r="180" spans="1:13" ht="13.8" outlineLevel="2" thickBot="1">
      <c r="E180" s="204"/>
      <c r="F180" s="41"/>
      <c r="G180" s="205"/>
      <c r="H180" s="206"/>
      <c r="I180" s="206"/>
      <c r="J180" s="206"/>
      <c r="L180" s="3"/>
      <c r="M180" s="3"/>
    </row>
    <row r="181" spans="1:13" s="203" customFormat="1" ht="13.8" outlineLevel="1" thickBot="1">
      <c r="A181" s="203" t="s">
        <v>49</v>
      </c>
      <c r="B181" s="203" t="s">
        <v>993</v>
      </c>
      <c r="C181" s="203" t="s">
        <v>1131</v>
      </c>
      <c r="D181" s="203" t="s">
        <v>32</v>
      </c>
      <c r="E181" s="204"/>
      <c r="F181" s="41"/>
      <c r="G181" s="207" t="s">
        <v>1005</v>
      </c>
      <c r="H181" s="208">
        <f>SUBTOTAL(9,H169:H180)</f>
        <v>21420</v>
      </c>
      <c r="I181" s="208">
        <f>SUBTOTAL(9,I169:I180)</f>
        <v>21420</v>
      </c>
      <c r="J181" s="208">
        <f>SUBTOTAL(9,J169:J180)</f>
        <v>0</v>
      </c>
    </row>
    <row r="182" spans="1:13" s="203" customFormat="1" ht="13.8" outlineLevel="1" thickBot="1">
      <c r="A182" s="3" t="s">
        <v>50</v>
      </c>
      <c r="B182" s="3" t="s">
        <v>993</v>
      </c>
      <c r="C182" s="3" t="s">
        <v>1131</v>
      </c>
      <c r="D182" s="3" t="s">
        <v>950</v>
      </c>
      <c r="E182" s="218" t="s">
        <v>950</v>
      </c>
      <c r="F182" s="219"/>
      <c r="G182" s="220"/>
      <c r="H182" s="201"/>
      <c r="I182" s="201"/>
      <c r="J182" s="201"/>
    </row>
    <row r="183" spans="1:13" ht="13.8" outlineLevel="2" thickBot="1">
      <c r="A183" s="3" t="str">
        <f>B183&amp;C183&amp;D183</f>
        <v>O&amp;M Mobilization BudgetProcurement ExpensesVehicles &amp; Mobile Equipment</v>
      </c>
      <c r="B183" s="3" t="s">
        <v>993</v>
      </c>
      <c r="C183" s="3" t="s">
        <v>1131</v>
      </c>
      <c r="D183" s="3" t="s">
        <v>950</v>
      </c>
      <c r="E183" s="204" t="s">
        <v>51</v>
      </c>
      <c r="F183" s="41"/>
      <c r="G183" s="205" t="s">
        <v>52</v>
      </c>
      <c r="H183" s="206"/>
      <c r="I183" s="206">
        <f t="shared" ref="I183:I197" si="16">H183</f>
        <v>0</v>
      </c>
      <c r="J183" s="206">
        <f t="shared" ref="J183:J197" si="17">H183-I183</f>
        <v>0</v>
      </c>
      <c r="L183" s="3"/>
      <c r="M183" s="3"/>
    </row>
    <row r="184" spans="1:13" ht="13.8" outlineLevel="2" thickBot="1">
      <c r="A184" s="3" t="str">
        <f>B184&amp;C184&amp;D184</f>
        <v>O&amp;M Mobilization BudgetProcurement ExpensesVehicles &amp; Mobile Equipment</v>
      </c>
      <c r="B184" s="3" t="s">
        <v>993</v>
      </c>
      <c r="C184" s="3" t="s">
        <v>1131</v>
      </c>
      <c r="D184" s="3" t="s">
        <v>950</v>
      </c>
      <c r="E184" s="204" t="s">
        <v>53</v>
      </c>
      <c r="F184" s="41" t="s">
        <v>54</v>
      </c>
      <c r="G184" s="205" t="s">
        <v>55</v>
      </c>
      <c r="H184" s="206">
        <v>0</v>
      </c>
      <c r="I184" s="206">
        <f t="shared" si="16"/>
        <v>0</v>
      </c>
      <c r="J184" s="206">
        <f t="shared" si="17"/>
        <v>0</v>
      </c>
      <c r="L184" s="3"/>
      <c r="M184" s="3"/>
    </row>
    <row r="185" spans="1:13" ht="13.8" outlineLevel="2" thickBot="1">
      <c r="E185" s="204" t="s">
        <v>56</v>
      </c>
      <c r="F185" s="41"/>
      <c r="G185" s="205" t="s">
        <v>57</v>
      </c>
      <c r="H185" s="206"/>
      <c r="I185" s="206">
        <f t="shared" si="16"/>
        <v>0</v>
      </c>
      <c r="J185" s="206">
        <f t="shared" si="17"/>
        <v>0</v>
      </c>
      <c r="L185" s="3"/>
      <c r="M185" s="3"/>
    </row>
    <row r="186" spans="1:13" ht="13.8" outlineLevel="2" thickBot="1">
      <c r="A186" s="3" t="str">
        <f>B186&amp;C186&amp;D186</f>
        <v>O&amp;M Mobilization BudgetProcurement ExpensesVehicles &amp; Mobile Equipment</v>
      </c>
      <c r="B186" s="3" t="s">
        <v>993</v>
      </c>
      <c r="C186" s="3" t="s">
        <v>1131</v>
      </c>
      <c r="D186" s="3" t="s">
        <v>950</v>
      </c>
      <c r="E186" s="204" t="s">
        <v>58</v>
      </c>
      <c r="F186" s="41"/>
      <c r="G186" s="205" t="s">
        <v>59</v>
      </c>
      <c r="H186" s="206"/>
      <c r="I186" s="206">
        <f t="shared" si="16"/>
        <v>0</v>
      </c>
      <c r="J186" s="206">
        <f t="shared" si="17"/>
        <v>0</v>
      </c>
      <c r="L186" s="3"/>
      <c r="M186" s="3"/>
    </row>
    <row r="187" spans="1:13" ht="13.8" outlineLevel="2" thickBot="1">
      <c r="E187" s="204" t="s">
        <v>60</v>
      </c>
      <c r="F187" s="41" t="s">
        <v>61</v>
      </c>
      <c r="G187" s="205" t="s">
        <v>62</v>
      </c>
      <c r="H187" s="206">
        <v>0</v>
      </c>
      <c r="I187" s="206">
        <f t="shared" si="16"/>
        <v>0</v>
      </c>
      <c r="J187" s="206">
        <f t="shared" si="17"/>
        <v>0</v>
      </c>
      <c r="L187" s="3"/>
      <c r="M187" s="3"/>
    </row>
    <row r="188" spans="1:13" ht="13.8" outlineLevel="2" thickBot="1">
      <c r="E188" s="204" t="s">
        <v>63</v>
      </c>
      <c r="F188" s="41"/>
      <c r="G188" s="205" t="s">
        <v>64</v>
      </c>
      <c r="H188" s="206"/>
      <c r="I188" s="206">
        <f t="shared" si="16"/>
        <v>0</v>
      </c>
      <c r="J188" s="206">
        <f t="shared" si="17"/>
        <v>0</v>
      </c>
      <c r="L188" s="3"/>
      <c r="M188" s="3"/>
    </row>
    <row r="189" spans="1:13" ht="13.8" outlineLevel="2" thickBot="1">
      <c r="A189" s="3" t="str">
        <f>B189&amp;C189&amp;D189</f>
        <v>O&amp;M Mobilization BudgetProcurement ExpensesVehicles &amp; Mobile Equipment</v>
      </c>
      <c r="B189" s="3" t="s">
        <v>993</v>
      </c>
      <c r="C189" s="3" t="s">
        <v>1131</v>
      </c>
      <c r="D189" s="3" t="s">
        <v>950</v>
      </c>
      <c r="E189" s="204" t="s">
        <v>65</v>
      </c>
      <c r="F189" s="41"/>
      <c r="G189" s="205" t="s">
        <v>66</v>
      </c>
      <c r="H189" s="206">
        <v>0</v>
      </c>
      <c r="I189" s="206">
        <f t="shared" si="16"/>
        <v>0</v>
      </c>
      <c r="J189" s="206">
        <f t="shared" si="17"/>
        <v>0</v>
      </c>
      <c r="L189" s="3"/>
      <c r="M189" s="3"/>
    </row>
    <row r="190" spans="1:13" ht="13.8" outlineLevel="2" thickBot="1">
      <c r="E190" s="204" t="s">
        <v>67</v>
      </c>
      <c r="F190" s="41" t="s">
        <v>68</v>
      </c>
      <c r="G190" s="205" t="s">
        <v>69</v>
      </c>
      <c r="H190" s="206">
        <v>1000</v>
      </c>
      <c r="I190" s="206">
        <f t="shared" si="16"/>
        <v>1000</v>
      </c>
      <c r="J190" s="206">
        <f t="shared" si="17"/>
        <v>0</v>
      </c>
      <c r="L190" s="3"/>
      <c r="M190" s="3"/>
    </row>
    <row r="191" spans="1:13" ht="13.8" outlineLevel="2" thickBot="1">
      <c r="E191" s="204" t="s">
        <v>70</v>
      </c>
      <c r="F191" s="41"/>
      <c r="G191" s="205"/>
      <c r="H191" s="206">
        <v>0</v>
      </c>
      <c r="I191" s="206">
        <f t="shared" si="16"/>
        <v>0</v>
      </c>
      <c r="J191" s="206">
        <f t="shared" si="17"/>
        <v>0</v>
      </c>
      <c r="L191" s="3"/>
      <c r="M191" s="3"/>
    </row>
    <row r="192" spans="1:13" ht="13.8" outlineLevel="2" thickBot="1">
      <c r="E192" s="204" t="s">
        <v>71</v>
      </c>
      <c r="F192" s="41"/>
      <c r="G192" s="205" t="s">
        <v>72</v>
      </c>
      <c r="H192" s="206"/>
      <c r="I192" s="206">
        <f t="shared" si="16"/>
        <v>0</v>
      </c>
      <c r="J192" s="206">
        <f t="shared" si="17"/>
        <v>0</v>
      </c>
      <c r="L192" s="3"/>
      <c r="M192" s="3"/>
    </row>
    <row r="193" spans="1:13" ht="13.8" outlineLevel="2" thickBot="1">
      <c r="E193" s="204" t="s">
        <v>73</v>
      </c>
      <c r="F193" s="41"/>
      <c r="G193" s="205" t="s">
        <v>74</v>
      </c>
      <c r="H193" s="206"/>
      <c r="I193" s="206">
        <f t="shared" si="16"/>
        <v>0</v>
      </c>
      <c r="J193" s="206">
        <f t="shared" si="17"/>
        <v>0</v>
      </c>
      <c r="L193" s="3"/>
      <c r="M193" s="3"/>
    </row>
    <row r="194" spans="1:13" ht="13.8" outlineLevel="2" thickBot="1">
      <c r="E194" s="204" t="s">
        <v>75</v>
      </c>
      <c r="F194" s="41"/>
      <c r="G194" s="205" t="s">
        <v>76</v>
      </c>
      <c r="H194" s="206"/>
      <c r="I194" s="206">
        <f t="shared" si="16"/>
        <v>0</v>
      </c>
      <c r="J194" s="206">
        <f t="shared" si="17"/>
        <v>0</v>
      </c>
      <c r="L194" s="3"/>
      <c r="M194" s="3"/>
    </row>
    <row r="195" spans="1:13" ht="13.8" outlineLevel="2" thickBot="1">
      <c r="A195" s="3" t="str">
        <f>B195&amp;C195&amp;D195</f>
        <v>O&amp;M Mobilization BudgetProcurement ExpensesVehicles &amp; Mobile Equipment</v>
      </c>
      <c r="B195" s="3" t="s">
        <v>993</v>
      </c>
      <c r="C195" s="3" t="s">
        <v>1131</v>
      </c>
      <c r="D195" s="3" t="s">
        <v>950</v>
      </c>
      <c r="E195" s="204" t="s">
        <v>77</v>
      </c>
      <c r="F195" s="41"/>
      <c r="G195" s="205" t="s">
        <v>78</v>
      </c>
      <c r="H195" s="206"/>
      <c r="I195" s="206">
        <f t="shared" si="16"/>
        <v>0</v>
      </c>
      <c r="J195" s="206">
        <f t="shared" si="17"/>
        <v>0</v>
      </c>
      <c r="L195" s="3"/>
      <c r="M195" s="3"/>
    </row>
    <row r="196" spans="1:13" ht="13.8" outlineLevel="2" thickBot="1">
      <c r="E196" s="204" t="s">
        <v>79</v>
      </c>
      <c r="F196" s="41"/>
      <c r="G196" s="205" t="s">
        <v>80</v>
      </c>
      <c r="H196" s="206">
        <v>0</v>
      </c>
      <c r="I196" s="206">
        <f t="shared" si="16"/>
        <v>0</v>
      </c>
      <c r="J196" s="206">
        <f t="shared" si="17"/>
        <v>0</v>
      </c>
      <c r="L196" s="3"/>
      <c r="M196" s="3"/>
    </row>
    <row r="197" spans="1:13" ht="13.8" outlineLevel="2" thickBot="1">
      <c r="E197" s="204" t="s">
        <v>81</v>
      </c>
      <c r="F197" s="41"/>
      <c r="G197" s="205" t="s">
        <v>82</v>
      </c>
      <c r="H197" s="206">
        <v>0</v>
      </c>
      <c r="I197" s="206">
        <f t="shared" si="16"/>
        <v>0</v>
      </c>
      <c r="J197" s="206">
        <f t="shared" si="17"/>
        <v>0</v>
      </c>
      <c r="L197" s="3"/>
      <c r="M197" s="3"/>
    </row>
    <row r="198" spans="1:13" ht="13.8" outlineLevel="2" thickBot="1">
      <c r="E198" s="204" t="s">
        <v>83</v>
      </c>
      <c r="F198" s="41"/>
      <c r="G198" s="205"/>
      <c r="H198" s="206">
        <v>2500</v>
      </c>
      <c r="I198" s="206"/>
      <c r="J198" s="206"/>
      <c r="L198" s="3"/>
      <c r="M198" s="3"/>
    </row>
    <row r="199" spans="1:13" ht="13.8" outlineLevel="2" thickBot="1">
      <c r="E199" s="204" t="s">
        <v>1115</v>
      </c>
      <c r="F199" s="41" t="s">
        <v>29</v>
      </c>
      <c r="G199" s="205"/>
      <c r="H199" s="206">
        <f>0.05*SUM(H183:H196)</f>
        <v>50</v>
      </c>
      <c r="I199" s="206">
        <f>H199</f>
        <v>50</v>
      </c>
      <c r="J199" s="206">
        <f>H199-I199</f>
        <v>0</v>
      </c>
      <c r="L199" s="3"/>
      <c r="M199" s="3"/>
    </row>
    <row r="200" spans="1:13" ht="13.8" outlineLevel="2" thickBot="1">
      <c r="E200" s="204"/>
      <c r="F200" s="41"/>
      <c r="G200" s="205"/>
      <c r="H200" s="206"/>
      <c r="I200" s="206"/>
      <c r="J200" s="206"/>
      <c r="L200" s="3"/>
      <c r="M200" s="3"/>
    </row>
    <row r="201" spans="1:13" s="203" customFormat="1" ht="13.8" outlineLevel="1" thickBot="1">
      <c r="A201" s="203" t="s">
        <v>84</v>
      </c>
      <c r="B201" s="203" t="s">
        <v>993</v>
      </c>
      <c r="C201" s="203" t="s">
        <v>1131</v>
      </c>
      <c r="D201" s="203" t="s">
        <v>950</v>
      </c>
      <c r="E201" s="204" t="s">
        <v>85</v>
      </c>
      <c r="F201" s="41"/>
      <c r="G201" s="207" t="s">
        <v>1005</v>
      </c>
      <c r="H201" s="208">
        <f>SUBTOTAL(9,H183:H200)</f>
        <v>3550</v>
      </c>
      <c r="I201" s="208">
        <f>SUBTOTAL(9,I183:I200)</f>
        <v>1050</v>
      </c>
      <c r="J201" s="208">
        <f>SUBTOTAL(9,J183:J200)</f>
        <v>0</v>
      </c>
    </row>
    <row r="202" spans="1:13" s="203" customFormat="1" ht="13.8" outlineLevel="1" thickBot="1">
      <c r="A202" s="3" t="s">
        <v>86</v>
      </c>
      <c r="B202" s="3" t="s">
        <v>993</v>
      </c>
      <c r="C202" s="3" t="s">
        <v>1131</v>
      </c>
      <c r="D202" s="3" t="s">
        <v>801</v>
      </c>
      <c r="E202" s="218" t="s">
        <v>801</v>
      </c>
      <c r="F202" s="219"/>
      <c r="G202" s="220"/>
      <c r="H202" s="201"/>
      <c r="I202" s="201"/>
      <c r="J202" s="201"/>
    </row>
    <row r="203" spans="1:13" ht="13.8" outlineLevel="2" thickBot="1">
      <c r="A203" s="3" t="str">
        <f>B203&amp;C203&amp;D203</f>
        <v>O&amp;M Mobilization BudgetProcurement ExpensesWarehouse Furnishings &amp; Equipment</v>
      </c>
      <c r="B203" s="3" t="s">
        <v>993</v>
      </c>
      <c r="C203" s="3" t="s">
        <v>1131</v>
      </c>
      <c r="D203" s="3" t="s">
        <v>801</v>
      </c>
      <c r="E203" s="204" t="s">
        <v>87</v>
      </c>
      <c r="F203" s="41" t="s">
        <v>88</v>
      </c>
      <c r="G203" s="205"/>
      <c r="H203" s="206">
        <v>3000</v>
      </c>
      <c r="I203" s="206">
        <f>H203</f>
        <v>3000</v>
      </c>
      <c r="J203" s="206">
        <f>H203-I203</f>
        <v>0</v>
      </c>
      <c r="L203" s="3"/>
      <c r="M203" s="3"/>
    </row>
    <row r="204" spans="1:13" ht="13.8" outlineLevel="2" thickBot="1">
      <c r="A204" s="3" t="str">
        <f>B204&amp;C204&amp;D204</f>
        <v>O&amp;M Mobilization BudgetProcurement ExpensesWarehouse Furnishings &amp; Equipment</v>
      </c>
      <c r="B204" s="3" t="s">
        <v>993</v>
      </c>
      <c r="C204" s="3" t="s">
        <v>1131</v>
      </c>
      <c r="D204" s="3" t="s">
        <v>801</v>
      </c>
      <c r="E204" s="204" t="s">
        <v>89</v>
      </c>
      <c r="F204" s="41" t="s">
        <v>90</v>
      </c>
      <c r="G204" s="205"/>
      <c r="H204" s="206">
        <v>1000</v>
      </c>
      <c r="I204" s="206">
        <f>H204</f>
        <v>1000</v>
      </c>
      <c r="J204" s="206">
        <f>H204-I204</f>
        <v>0</v>
      </c>
      <c r="L204" s="3"/>
      <c r="M204" s="3"/>
    </row>
    <row r="205" spans="1:13" ht="14.25" customHeight="1" outlineLevel="2" thickBot="1">
      <c r="A205" s="3" t="str">
        <f>B205&amp;C205&amp;D205</f>
        <v>O&amp;M Mobilization BudgetProcurement ExpensesWarehouse Furnishings &amp; Equipment</v>
      </c>
      <c r="B205" s="3" t="s">
        <v>993</v>
      </c>
      <c r="C205" s="3" t="s">
        <v>1131</v>
      </c>
      <c r="D205" s="3" t="s">
        <v>801</v>
      </c>
      <c r="E205" s="204" t="s">
        <v>91</v>
      </c>
      <c r="F205" s="41" t="s">
        <v>92</v>
      </c>
      <c r="G205" s="205"/>
      <c r="H205" s="206"/>
      <c r="I205" s="206">
        <f>H205</f>
        <v>0</v>
      </c>
      <c r="J205" s="206">
        <f>H205-I205</f>
        <v>0</v>
      </c>
      <c r="L205" s="3"/>
      <c r="M205" s="3"/>
    </row>
    <row r="206" spans="1:13" ht="13.8" outlineLevel="2" thickBot="1">
      <c r="A206" s="3" t="str">
        <f>B206&amp;C206&amp;D206</f>
        <v>O&amp;M Mobilization BudgetProcurement ExpensesWarehouse Furnishings &amp; Equipment</v>
      </c>
      <c r="B206" s="3" t="s">
        <v>993</v>
      </c>
      <c r="C206" s="3" t="s">
        <v>1131</v>
      </c>
      <c r="D206" s="3" t="s">
        <v>801</v>
      </c>
      <c r="E206" s="204" t="s">
        <v>93</v>
      </c>
      <c r="F206" s="41"/>
      <c r="G206" s="205"/>
      <c r="H206" s="206">
        <v>500</v>
      </c>
      <c r="I206" s="206">
        <f>H206</f>
        <v>500</v>
      </c>
      <c r="J206" s="206">
        <f>H206-I206</f>
        <v>0</v>
      </c>
      <c r="L206" s="3"/>
      <c r="M206" s="3"/>
    </row>
    <row r="207" spans="1:13" ht="13.8" outlineLevel="2" thickBot="1">
      <c r="E207" s="204" t="s">
        <v>1115</v>
      </c>
      <c r="F207" s="41" t="s">
        <v>29</v>
      </c>
      <c r="G207" s="205"/>
      <c r="H207" s="206">
        <f>0.05*SUM(H203:H206)</f>
        <v>225</v>
      </c>
      <c r="I207" s="206">
        <f>H207</f>
        <v>225</v>
      </c>
      <c r="J207" s="206">
        <f>H207-I207</f>
        <v>0</v>
      </c>
      <c r="L207" s="3"/>
      <c r="M207" s="3"/>
    </row>
    <row r="208" spans="1:13" ht="13.8" outlineLevel="2" thickBot="1">
      <c r="E208" s="204"/>
      <c r="F208" s="41"/>
      <c r="G208" s="205"/>
      <c r="H208" s="206"/>
      <c r="I208" s="206"/>
      <c r="J208" s="206"/>
      <c r="L208" s="3"/>
      <c r="M208" s="3"/>
    </row>
    <row r="209" spans="1:13" s="203" customFormat="1" ht="13.8" outlineLevel="1" thickBot="1">
      <c r="A209" s="203" t="s">
        <v>94</v>
      </c>
      <c r="B209" s="203" t="s">
        <v>993</v>
      </c>
      <c r="C209" s="203" t="s">
        <v>1131</v>
      </c>
      <c r="D209" s="203" t="s">
        <v>801</v>
      </c>
      <c r="E209" s="204"/>
      <c r="F209" s="41"/>
      <c r="G209" s="207" t="s">
        <v>1005</v>
      </c>
      <c r="H209" s="208">
        <f>SUBTOTAL(9,H203:H208)</f>
        <v>4725</v>
      </c>
      <c r="I209" s="208">
        <f>SUBTOTAL(9,I203:I208)</f>
        <v>4725</v>
      </c>
      <c r="J209" s="208">
        <f>SUBTOTAL(9,J203:J208)</f>
        <v>0</v>
      </c>
    </row>
    <row r="210" spans="1:13" s="203" customFormat="1" ht="13.8" outlineLevel="1" thickBot="1">
      <c r="A210" s="3" t="s">
        <v>95</v>
      </c>
      <c r="B210" s="3" t="s">
        <v>993</v>
      </c>
      <c r="C210" s="3" t="s">
        <v>1131</v>
      </c>
      <c r="D210" s="3" t="s">
        <v>802</v>
      </c>
      <c r="E210" s="218" t="s">
        <v>802</v>
      </c>
      <c r="F210" s="219"/>
      <c r="G210" s="220"/>
      <c r="H210" s="201"/>
      <c r="I210" s="201"/>
      <c r="J210" s="201"/>
    </row>
    <row r="211" spans="1:13" ht="13.8" outlineLevel="2" thickBot="1">
      <c r="A211" s="3" t="str">
        <f>B211&amp;C211&amp;D211</f>
        <v>O&amp;M Mobilization BudgetProcurement ExpensesLaboratory Equipment</v>
      </c>
      <c r="B211" s="3" t="s">
        <v>993</v>
      </c>
      <c r="C211" s="3" t="s">
        <v>1131</v>
      </c>
      <c r="D211" s="3" t="s">
        <v>802</v>
      </c>
      <c r="E211" s="204" t="s">
        <v>96</v>
      </c>
      <c r="F211" s="41"/>
      <c r="G211" s="205"/>
      <c r="H211" s="206">
        <v>3000</v>
      </c>
      <c r="I211" s="206">
        <f>H211</f>
        <v>3000</v>
      </c>
      <c r="J211" s="206">
        <f>H211-I211</f>
        <v>0</v>
      </c>
      <c r="L211" s="3"/>
      <c r="M211" s="3"/>
    </row>
    <row r="212" spans="1:13" ht="13.8" outlineLevel="2" thickBot="1">
      <c r="E212" s="204" t="s">
        <v>97</v>
      </c>
      <c r="F212" s="41"/>
      <c r="G212" s="205"/>
      <c r="H212" s="206">
        <v>0</v>
      </c>
      <c r="I212" s="206">
        <f>H212</f>
        <v>0</v>
      </c>
      <c r="J212" s="206">
        <f>H212-I212</f>
        <v>0</v>
      </c>
      <c r="L212" s="3"/>
      <c r="M212" s="3"/>
    </row>
    <row r="213" spans="1:13" ht="13.8" outlineLevel="2" thickBot="1">
      <c r="E213" s="204" t="s">
        <v>98</v>
      </c>
      <c r="F213" s="41"/>
      <c r="G213" s="205"/>
      <c r="H213" s="206">
        <v>1000</v>
      </c>
      <c r="I213" s="206">
        <f>H213</f>
        <v>1000</v>
      </c>
      <c r="J213" s="206">
        <f>H213-I213</f>
        <v>0</v>
      </c>
      <c r="L213" s="3"/>
      <c r="M213" s="3"/>
    </row>
    <row r="214" spans="1:13" ht="13.8" outlineLevel="2" thickBot="1">
      <c r="E214" s="204" t="s">
        <v>99</v>
      </c>
      <c r="F214" s="41" t="s">
        <v>100</v>
      </c>
      <c r="G214" s="205"/>
      <c r="H214" s="206"/>
      <c r="I214" s="206">
        <f>H214</f>
        <v>0</v>
      </c>
      <c r="J214" s="206">
        <f>H214-I214</f>
        <v>0</v>
      </c>
      <c r="L214" s="3"/>
      <c r="M214" s="3"/>
    </row>
    <row r="215" spans="1:13" ht="13.8" outlineLevel="2" thickBot="1">
      <c r="E215" s="204" t="s">
        <v>1115</v>
      </c>
      <c r="F215" s="41" t="s">
        <v>29</v>
      </c>
      <c r="G215" s="205"/>
      <c r="H215" s="206">
        <f>0.05*SUM(H211:H214)</f>
        <v>200</v>
      </c>
      <c r="I215" s="206">
        <f>H215</f>
        <v>200</v>
      </c>
      <c r="J215" s="206">
        <f>H215-I215</f>
        <v>0</v>
      </c>
      <c r="L215" s="3"/>
      <c r="M215" s="3"/>
    </row>
    <row r="216" spans="1:13" ht="13.8" outlineLevel="2" thickBot="1">
      <c r="E216" s="204"/>
      <c r="F216" s="41"/>
      <c r="G216" s="205"/>
      <c r="H216" s="206"/>
      <c r="I216" s="206"/>
      <c r="J216" s="206"/>
      <c r="L216" s="3"/>
      <c r="M216" s="3"/>
    </row>
    <row r="217" spans="1:13" s="203" customFormat="1" ht="13.8" outlineLevel="1" thickBot="1">
      <c r="A217" s="203" t="s">
        <v>101</v>
      </c>
      <c r="B217" s="203" t="s">
        <v>993</v>
      </c>
      <c r="C217" s="203" t="s">
        <v>1131</v>
      </c>
      <c r="D217" s="203" t="s">
        <v>802</v>
      </c>
      <c r="E217" s="204" t="s">
        <v>102</v>
      </c>
      <c r="F217" s="41"/>
      <c r="G217" s="207" t="s">
        <v>1005</v>
      </c>
      <c r="H217" s="208">
        <f>SUBTOTAL(9,H211:H216)</f>
        <v>4200</v>
      </c>
      <c r="I217" s="208">
        <f>SUBTOTAL(9,I211:I216)</f>
        <v>4200</v>
      </c>
      <c r="J217" s="208">
        <f>SUBTOTAL(9,J211:J216)</f>
        <v>0</v>
      </c>
    </row>
    <row r="218" spans="1:13" s="203" customFormat="1" ht="13.8" outlineLevel="1" thickBot="1">
      <c r="A218" s="3" t="s">
        <v>103</v>
      </c>
      <c r="B218" s="3" t="s">
        <v>993</v>
      </c>
      <c r="C218" s="3" t="s">
        <v>1131</v>
      </c>
      <c r="D218" s="3" t="s">
        <v>803</v>
      </c>
      <c r="E218" s="218" t="s">
        <v>803</v>
      </c>
      <c r="F218" s="219"/>
      <c r="G218" s="220"/>
      <c r="H218" s="201"/>
      <c r="I218" s="201"/>
      <c r="J218" s="201"/>
    </row>
    <row r="219" spans="1:13" ht="13.8" outlineLevel="2" thickBot="1">
      <c r="A219" s="3" t="str">
        <f>B219&amp;C219&amp;D219</f>
        <v>O&amp;M Mobilization BudgetProcurement ExpensesShop Tools &amp; Equipment</v>
      </c>
      <c r="B219" s="3" t="s">
        <v>993</v>
      </c>
      <c r="C219" s="3" t="s">
        <v>1131</v>
      </c>
      <c r="D219" s="3" t="s">
        <v>803</v>
      </c>
      <c r="E219" s="227" t="s">
        <v>104</v>
      </c>
      <c r="F219" s="228" t="s">
        <v>105</v>
      </c>
      <c r="G219" s="229" t="s">
        <v>106</v>
      </c>
      <c r="H219" s="230">
        <v>1200</v>
      </c>
      <c r="I219" s="206">
        <f t="shared" ref="I219:I265" si="18">H219</f>
        <v>1200</v>
      </c>
      <c r="J219" s="206">
        <f t="shared" ref="J219:J265" si="19">H219-I219</f>
        <v>0</v>
      </c>
      <c r="K219"/>
      <c r="L219"/>
      <c r="M219" s="3"/>
    </row>
    <row r="220" spans="1:13" ht="13.8" outlineLevel="2" thickBot="1">
      <c r="A220" s="3" t="str">
        <f>B220&amp;C220&amp;D220</f>
        <v>O&amp;M Mobilization BudgetProcurement ExpensesShop Tools &amp; Equipment</v>
      </c>
      <c r="B220" s="3" t="s">
        <v>993</v>
      </c>
      <c r="C220" s="3" t="s">
        <v>1131</v>
      </c>
      <c r="D220" s="3" t="s">
        <v>803</v>
      </c>
      <c r="E220" s="227" t="s">
        <v>107</v>
      </c>
      <c r="F220" s="228" t="s">
        <v>105</v>
      </c>
      <c r="G220" s="231" t="s">
        <v>108</v>
      </c>
      <c r="H220" s="230">
        <v>1500</v>
      </c>
      <c r="I220" s="206">
        <f t="shared" si="18"/>
        <v>1500</v>
      </c>
      <c r="J220" s="206">
        <f t="shared" si="19"/>
        <v>0</v>
      </c>
      <c r="K220"/>
      <c r="L220"/>
      <c r="M220" s="3"/>
    </row>
    <row r="221" spans="1:13" ht="13.8" outlineLevel="2" thickBot="1">
      <c r="A221" s="3" t="str">
        <f>B221&amp;C221&amp;D221</f>
        <v>O&amp;M Mobilization BudgetProcurement ExpensesShop Tools &amp; Equipment</v>
      </c>
      <c r="B221" s="3" t="s">
        <v>993</v>
      </c>
      <c r="C221" s="3" t="s">
        <v>1131</v>
      </c>
      <c r="D221" s="3" t="s">
        <v>803</v>
      </c>
      <c r="E221" s="227" t="s">
        <v>109</v>
      </c>
      <c r="F221" s="228"/>
      <c r="G221" s="232">
        <v>8000</v>
      </c>
      <c r="H221" s="230">
        <v>8000</v>
      </c>
      <c r="I221" s="206">
        <f t="shared" si="18"/>
        <v>8000</v>
      </c>
      <c r="J221" s="206">
        <f t="shared" si="19"/>
        <v>0</v>
      </c>
      <c r="K221"/>
      <c r="L221"/>
      <c r="M221" s="3"/>
    </row>
    <row r="222" spans="1:13" ht="13.8" outlineLevel="2" thickBot="1">
      <c r="A222" s="3" t="str">
        <f>B222&amp;C222&amp;D222</f>
        <v>O&amp;M Mobilization BudgetProcurement ExpensesShop Tools &amp; Equipment</v>
      </c>
      <c r="B222" s="3" t="s">
        <v>993</v>
      </c>
      <c r="C222" s="3" t="s">
        <v>1131</v>
      </c>
      <c r="D222" s="3" t="s">
        <v>803</v>
      </c>
      <c r="E222" s="227" t="s">
        <v>110</v>
      </c>
      <c r="F222" s="228"/>
      <c r="G222" s="229" t="s">
        <v>111</v>
      </c>
      <c r="H222" s="230">
        <v>4000</v>
      </c>
      <c r="I222" s="206">
        <f t="shared" si="18"/>
        <v>4000</v>
      </c>
      <c r="J222" s="206">
        <f t="shared" si="19"/>
        <v>0</v>
      </c>
      <c r="K222"/>
      <c r="L222"/>
      <c r="M222" s="3"/>
    </row>
    <row r="223" spans="1:13" ht="13.8" outlineLevel="2" thickBot="1">
      <c r="E223" s="227" t="s">
        <v>112</v>
      </c>
      <c r="F223" s="228"/>
      <c r="G223" s="229" t="s">
        <v>111</v>
      </c>
      <c r="H223" s="230">
        <v>1000</v>
      </c>
      <c r="I223" s="206">
        <f t="shared" si="18"/>
        <v>1000</v>
      </c>
      <c r="J223" s="206">
        <f t="shared" si="19"/>
        <v>0</v>
      </c>
      <c r="K223"/>
      <c r="L223"/>
      <c r="M223" s="3"/>
    </row>
    <row r="224" spans="1:13" ht="13.8" outlineLevel="2" thickBot="1">
      <c r="A224" s="3" t="str">
        <f>B224&amp;C224&amp;D224</f>
        <v>O&amp;M Mobilization BudgetProcurement ExpensesShop Tools &amp; Equipment</v>
      </c>
      <c r="B224" s="3" t="s">
        <v>993</v>
      </c>
      <c r="C224" s="3" t="s">
        <v>1131</v>
      </c>
      <c r="D224" s="3" t="s">
        <v>803</v>
      </c>
      <c r="E224" s="227" t="s">
        <v>113</v>
      </c>
      <c r="F224" s="233" t="s">
        <v>114</v>
      </c>
      <c r="G224" s="234" t="s">
        <v>106</v>
      </c>
      <c r="H224" s="230"/>
      <c r="I224" s="206">
        <f t="shared" si="18"/>
        <v>0</v>
      </c>
      <c r="J224" s="206">
        <f t="shared" si="19"/>
        <v>0</v>
      </c>
      <c r="K224"/>
      <c r="L224"/>
      <c r="M224" s="3"/>
    </row>
    <row r="225" spans="1:13" ht="13.8" outlineLevel="2" thickBot="1">
      <c r="A225" s="3" t="str">
        <f>B225&amp;C225&amp;D225</f>
        <v>O&amp;M Mobilization BudgetProcurement ExpensesShop Tools &amp; Equipment</v>
      </c>
      <c r="B225" s="3" t="s">
        <v>993</v>
      </c>
      <c r="C225" s="3" t="s">
        <v>1131</v>
      </c>
      <c r="D225" s="3" t="s">
        <v>803</v>
      </c>
      <c r="E225" s="227"/>
      <c r="F225" s="233" t="s">
        <v>115</v>
      </c>
      <c r="G225" s="234" t="s">
        <v>116</v>
      </c>
      <c r="H225" s="230"/>
      <c r="I225" s="206">
        <f t="shared" si="18"/>
        <v>0</v>
      </c>
      <c r="J225" s="206">
        <f t="shared" si="19"/>
        <v>0</v>
      </c>
      <c r="K225"/>
      <c r="L225"/>
      <c r="M225" s="3"/>
    </row>
    <row r="226" spans="1:13" ht="13.8" outlineLevel="2" thickBot="1">
      <c r="A226" s="3" t="str">
        <f>B226&amp;C226&amp;D226</f>
        <v>O&amp;M Mobilization BudgetProcurement ExpensesShop Tools &amp; Equipment</v>
      </c>
      <c r="B226" s="3" t="s">
        <v>993</v>
      </c>
      <c r="C226" s="3" t="s">
        <v>1131</v>
      </c>
      <c r="D226" s="3" t="s">
        <v>803</v>
      </c>
      <c r="E226" s="227"/>
      <c r="F226" s="233" t="s">
        <v>117</v>
      </c>
      <c r="G226" s="234" t="s">
        <v>118</v>
      </c>
      <c r="H226" s="230">
        <v>960</v>
      </c>
      <c r="I226" s="206">
        <f t="shared" si="18"/>
        <v>960</v>
      </c>
      <c r="J226" s="206">
        <f t="shared" si="19"/>
        <v>0</v>
      </c>
      <c r="K226"/>
      <c r="L226"/>
      <c r="M226" s="3"/>
    </row>
    <row r="227" spans="1:13" ht="13.8" outlineLevel="2" thickBot="1">
      <c r="E227" s="235"/>
      <c r="F227" s="236" t="s">
        <v>119</v>
      </c>
      <c r="G227" s="237" t="s">
        <v>120</v>
      </c>
      <c r="H227" s="230"/>
      <c r="I227" s="206">
        <f t="shared" si="18"/>
        <v>0</v>
      </c>
      <c r="J227" s="206">
        <f t="shared" si="19"/>
        <v>0</v>
      </c>
      <c r="K227"/>
      <c r="L227"/>
      <c r="M227" s="3"/>
    </row>
    <row r="228" spans="1:13" ht="13.8" outlineLevel="2" thickBot="1">
      <c r="E228" s="238"/>
      <c r="F228" s="236" t="s">
        <v>121</v>
      </c>
      <c r="G228" s="237" t="s">
        <v>122</v>
      </c>
      <c r="H228" s="230">
        <v>0</v>
      </c>
      <c r="I228" s="206">
        <f t="shared" si="18"/>
        <v>0</v>
      </c>
      <c r="J228" s="206">
        <f t="shared" si="19"/>
        <v>0</v>
      </c>
      <c r="K228"/>
      <c r="L228"/>
      <c r="M228" s="3"/>
    </row>
    <row r="229" spans="1:13" ht="13.8" outlineLevel="2" thickBot="1">
      <c r="E229" s="238"/>
      <c r="F229" s="236" t="s">
        <v>123</v>
      </c>
      <c r="G229" s="237" t="s">
        <v>111</v>
      </c>
      <c r="H229" s="230">
        <v>0</v>
      </c>
      <c r="I229" s="206">
        <f t="shared" si="18"/>
        <v>0</v>
      </c>
      <c r="J229" s="206">
        <f t="shared" si="19"/>
        <v>0</v>
      </c>
      <c r="K229"/>
      <c r="L229"/>
      <c r="M229" s="3"/>
    </row>
    <row r="230" spans="1:13" ht="13.8" outlineLevel="2" thickBot="1">
      <c r="E230" s="227"/>
      <c r="F230" s="236" t="s">
        <v>124</v>
      </c>
      <c r="G230" s="237" t="s">
        <v>125</v>
      </c>
      <c r="H230" s="230"/>
      <c r="I230" s="206">
        <f t="shared" si="18"/>
        <v>0</v>
      </c>
      <c r="J230" s="206">
        <f t="shared" si="19"/>
        <v>0</v>
      </c>
      <c r="K230"/>
      <c r="L230"/>
      <c r="M230" s="3"/>
    </row>
    <row r="231" spans="1:13" ht="13.8" outlineLevel="2" thickBot="1">
      <c r="A231" s="3" t="str">
        <f>B231&amp;C231&amp;D231</f>
        <v>O&amp;M Mobilization BudgetProcurement ExpensesShop Tools &amp; Equipment</v>
      </c>
      <c r="B231" s="3" t="s">
        <v>993</v>
      </c>
      <c r="C231" s="3" t="s">
        <v>1131</v>
      </c>
      <c r="D231" s="3" t="s">
        <v>803</v>
      </c>
      <c r="E231" s="227"/>
      <c r="F231" s="236" t="s">
        <v>126</v>
      </c>
      <c r="G231" s="237" t="s">
        <v>127</v>
      </c>
      <c r="H231" s="230">
        <v>900</v>
      </c>
      <c r="I231" s="206">
        <f t="shared" si="18"/>
        <v>900</v>
      </c>
      <c r="J231" s="206">
        <f t="shared" si="19"/>
        <v>0</v>
      </c>
      <c r="K231"/>
      <c r="L231"/>
      <c r="M231" s="3"/>
    </row>
    <row r="232" spans="1:13" ht="13.8" outlineLevel="2" thickBot="1">
      <c r="E232" s="227"/>
      <c r="F232" s="236" t="s">
        <v>128</v>
      </c>
      <c r="G232" s="237" t="s">
        <v>129</v>
      </c>
      <c r="H232" s="230">
        <v>600</v>
      </c>
      <c r="I232" s="206">
        <f t="shared" si="18"/>
        <v>600</v>
      </c>
      <c r="J232" s="206">
        <f t="shared" si="19"/>
        <v>0</v>
      </c>
      <c r="K232"/>
      <c r="L232"/>
      <c r="M232" s="3"/>
    </row>
    <row r="233" spans="1:13" ht="13.8" outlineLevel="2" thickBot="1">
      <c r="E233" s="238"/>
      <c r="F233" s="236" t="s">
        <v>130</v>
      </c>
      <c r="G233" s="237" t="s">
        <v>131</v>
      </c>
      <c r="H233" s="230">
        <v>1400</v>
      </c>
      <c r="I233" s="206">
        <f t="shared" si="18"/>
        <v>1400</v>
      </c>
      <c r="J233" s="206">
        <f t="shared" si="19"/>
        <v>0</v>
      </c>
      <c r="K233"/>
      <c r="L233"/>
      <c r="M233" s="3"/>
    </row>
    <row r="234" spans="1:13" s="203" customFormat="1" ht="13.8" outlineLevel="1" thickBot="1">
      <c r="A234" s="203" t="s">
        <v>132</v>
      </c>
      <c r="B234" s="203" t="s">
        <v>993</v>
      </c>
      <c r="C234" s="203" t="s">
        <v>1131</v>
      </c>
      <c r="D234" s="203" t="s">
        <v>803</v>
      </c>
      <c r="E234" s="238"/>
      <c r="F234" s="236" t="s">
        <v>133</v>
      </c>
      <c r="G234" s="237" t="s">
        <v>106</v>
      </c>
      <c r="H234" s="230"/>
      <c r="I234" s="206">
        <f t="shared" si="18"/>
        <v>0</v>
      </c>
      <c r="J234" s="206">
        <f t="shared" si="19"/>
        <v>0</v>
      </c>
      <c r="K234"/>
      <c r="L234"/>
    </row>
    <row r="235" spans="1:13" s="203" customFormat="1" ht="13.8" outlineLevel="1" thickBot="1">
      <c r="A235" s="3" t="s">
        <v>134</v>
      </c>
      <c r="B235" s="3" t="s">
        <v>993</v>
      </c>
      <c r="C235" s="3" t="s">
        <v>1131</v>
      </c>
      <c r="D235" s="3" t="s">
        <v>804</v>
      </c>
      <c r="E235" s="238"/>
      <c r="F235" s="236" t="s">
        <v>135</v>
      </c>
      <c r="G235" s="237" t="s">
        <v>136</v>
      </c>
      <c r="H235" s="230">
        <v>160</v>
      </c>
      <c r="I235" s="206">
        <f t="shared" si="18"/>
        <v>160</v>
      </c>
      <c r="J235" s="206">
        <f t="shared" si="19"/>
        <v>0</v>
      </c>
      <c r="K235"/>
      <c r="L235"/>
    </row>
    <row r="236" spans="1:13" ht="13.8" outlineLevel="2" thickBot="1">
      <c r="A236" s="3" t="str">
        <f>B236&amp;C236&amp;D236</f>
        <v>O&amp;M Mobilization BudgetProcurement ExpensesChemicals, Lubricants, Hydraulic Fluids</v>
      </c>
      <c r="B236" s="3" t="s">
        <v>993</v>
      </c>
      <c r="C236" s="3" t="s">
        <v>1131</v>
      </c>
      <c r="D236" s="3" t="s">
        <v>804</v>
      </c>
      <c r="E236" s="238"/>
      <c r="F236" s="236" t="s">
        <v>616</v>
      </c>
      <c r="G236" s="237" t="s">
        <v>137</v>
      </c>
      <c r="H236" s="230">
        <f>250*8</f>
        <v>2000</v>
      </c>
      <c r="I236" s="206">
        <f t="shared" si="18"/>
        <v>2000</v>
      </c>
      <c r="J236" s="206">
        <f t="shared" si="19"/>
        <v>0</v>
      </c>
      <c r="K236"/>
      <c r="L236"/>
      <c r="M236" s="3"/>
    </row>
    <row r="237" spans="1:13" ht="13.8" outlineLevel="2" thickBot="1">
      <c r="A237" s="3" t="str">
        <f>B237&amp;C237&amp;D237</f>
        <v>O&amp;M Mobilization BudgetProcurement ExpensesChemicals, Lubricants, Hydraulic Fluids</v>
      </c>
      <c r="B237" s="3" t="s">
        <v>993</v>
      </c>
      <c r="C237" s="3" t="s">
        <v>1131</v>
      </c>
      <c r="D237" s="3" t="s">
        <v>804</v>
      </c>
      <c r="E237" s="227"/>
      <c r="F237" s="236" t="s">
        <v>138</v>
      </c>
      <c r="G237" s="237" t="s">
        <v>139</v>
      </c>
      <c r="H237" s="230">
        <v>600</v>
      </c>
      <c r="I237" s="206">
        <f t="shared" si="18"/>
        <v>600</v>
      </c>
      <c r="J237" s="206">
        <f t="shared" si="19"/>
        <v>0</v>
      </c>
      <c r="K237"/>
      <c r="L237"/>
      <c r="M237" s="3"/>
    </row>
    <row r="238" spans="1:13" ht="13.8" outlineLevel="2" thickBot="1">
      <c r="E238" s="227"/>
      <c r="F238" s="236" t="s">
        <v>140</v>
      </c>
      <c r="G238" s="237" t="s">
        <v>111</v>
      </c>
      <c r="H238" s="230">
        <v>1000</v>
      </c>
      <c r="I238" s="206">
        <f t="shared" si="18"/>
        <v>1000</v>
      </c>
      <c r="J238" s="206">
        <f t="shared" si="19"/>
        <v>0</v>
      </c>
      <c r="K238"/>
      <c r="L238"/>
      <c r="M238" s="3"/>
    </row>
    <row r="239" spans="1:13" ht="13.8" outlineLevel="2" thickBot="1">
      <c r="E239" s="227"/>
      <c r="F239" s="236" t="s">
        <v>141</v>
      </c>
      <c r="G239" s="237" t="s">
        <v>142</v>
      </c>
      <c r="H239" s="230">
        <v>400</v>
      </c>
      <c r="I239" s="206">
        <f t="shared" si="18"/>
        <v>400</v>
      </c>
      <c r="J239" s="206">
        <f t="shared" si="19"/>
        <v>0</v>
      </c>
      <c r="K239"/>
      <c r="L239"/>
      <c r="M239" s="3"/>
    </row>
    <row r="240" spans="1:13" s="203" customFormat="1" ht="13.8" outlineLevel="1" thickBot="1">
      <c r="A240" s="203" t="s">
        <v>143</v>
      </c>
      <c r="B240" s="203" t="s">
        <v>993</v>
      </c>
      <c r="C240" s="203" t="s">
        <v>1131</v>
      </c>
      <c r="D240" s="203" t="s">
        <v>804</v>
      </c>
      <c r="E240" s="227"/>
      <c r="F240" s="236" t="s">
        <v>144</v>
      </c>
      <c r="G240" s="237" t="s">
        <v>145</v>
      </c>
      <c r="H240" s="230">
        <v>2375</v>
      </c>
      <c r="I240" s="206">
        <f t="shared" si="18"/>
        <v>2375</v>
      </c>
      <c r="J240" s="206">
        <f t="shared" si="19"/>
        <v>0</v>
      </c>
      <c r="K240"/>
      <c r="L240"/>
    </row>
    <row r="241" spans="1:13" s="203" customFormat="1" ht="13.8" outlineLevel="1" thickBot="1">
      <c r="A241" s="3" t="s">
        <v>146</v>
      </c>
      <c r="B241" s="3" t="s">
        <v>993</v>
      </c>
      <c r="C241" s="3" t="s">
        <v>147</v>
      </c>
      <c r="D241" s="3"/>
      <c r="E241" s="227"/>
      <c r="F241" s="236" t="s">
        <v>148</v>
      </c>
      <c r="G241" s="237" t="s">
        <v>149</v>
      </c>
      <c r="H241" s="230">
        <v>3100</v>
      </c>
      <c r="I241" s="206">
        <f t="shared" si="18"/>
        <v>3100</v>
      </c>
      <c r="J241" s="206">
        <f t="shared" si="19"/>
        <v>0</v>
      </c>
      <c r="K241"/>
      <c r="L241"/>
    </row>
    <row r="242" spans="1:13" ht="13.8" outlineLevel="2" thickBot="1">
      <c r="A242" s="3" t="str">
        <f>B242&amp;C242&amp;D242</f>
        <v>O&amp;M Mobilization BudgetO&amp;M Mobilization Fee</v>
      </c>
      <c r="B242" s="3" t="s">
        <v>993</v>
      </c>
      <c r="C242" s="3" t="s">
        <v>147</v>
      </c>
      <c r="E242" s="227"/>
      <c r="F242" s="236" t="s">
        <v>150</v>
      </c>
      <c r="G242" s="237" t="s">
        <v>151</v>
      </c>
      <c r="H242" s="230"/>
      <c r="I242" s="206">
        <f t="shared" si="18"/>
        <v>0</v>
      </c>
      <c r="J242" s="206">
        <f t="shared" si="19"/>
        <v>0</v>
      </c>
      <c r="K242"/>
      <c r="L242"/>
      <c r="M242" s="3"/>
    </row>
    <row r="243" spans="1:13" ht="13.8" outlineLevel="2" thickBot="1">
      <c r="E243" s="227"/>
      <c r="F243" s="236" t="s">
        <v>152</v>
      </c>
      <c r="G243" s="237" t="s">
        <v>137</v>
      </c>
      <c r="H243" s="230">
        <v>250</v>
      </c>
      <c r="I243" s="206">
        <f t="shared" si="18"/>
        <v>250</v>
      </c>
      <c r="J243" s="206">
        <f t="shared" si="19"/>
        <v>0</v>
      </c>
      <c r="K243"/>
      <c r="L243"/>
      <c r="M243" s="3"/>
    </row>
    <row r="244" spans="1:13" ht="13.8" outlineLevel="2" thickBot="1">
      <c r="E244" s="227"/>
      <c r="F244" s="236" t="s">
        <v>153</v>
      </c>
      <c r="G244" s="237" t="s">
        <v>111</v>
      </c>
      <c r="H244" s="230">
        <v>1000</v>
      </c>
      <c r="I244" s="206">
        <f t="shared" si="18"/>
        <v>1000</v>
      </c>
      <c r="J244" s="206">
        <f t="shared" si="19"/>
        <v>0</v>
      </c>
      <c r="K244"/>
      <c r="L244"/>
      <c r="M244" s="3"/>
    </row>
    <row r="245" spans="1:13" ht="13.8" outlineLevel="2" thickBot="1">
      <c r="E245" s="227"/>
      <c r="F245" s="236" t="s">
        <v>154</v>
      </c>
      <c r="G245" s="237" t="s">
        <v>155</v>
      </c>
      <c r="H245" s="230">
        <v>5000</v>
      </c>
      <c r="I245" s="206">
        <f t="shared" si="18"/>
        <v>5000</v>
      </c>
      <c r="J245" s="206">
        <f t="shared" si="19"/>
        <v>0</v>
      </c>
      <c r="K245"/>
      <c r="L245"/>
      <c r="M245" s="3"/>
    </row>
    <row r="246" spans="1:13" s="203" customFormat="1" ht="13.8" outlineLevel="1" thickBot="1">
      <c r="A246" s="203" t="s">
        <v>156</v>
      </c>
      <c r="B246" s="203" t="s">
        <v>993</v>
      </c>
      <c r="C246" s="203" t="s">
        <v>147</v>
      </c>
      <c r="E246" s="227" t="s">
        <v>157</v>
      </c>
      <c r="F246" s="236" t="s">
        <v>158</v>
      </c>
      <c r="G246" s="237" t="s">
        <v>159</v>
      </c>
      <c r="H246" s="230">
        <v>0</v>
      </c>
      <c r="I246" s="206">
        <f t="shared" si="18"/>
        <v>0</v>
      </c>
      <c r="J246" s="206">
        <f t="shared" si="19"/>
        <v>0</v>
      </c>
      <c r="K246"/>
      <c r="L246"/>
    </row>
    <row r="247" spans="1:13" s="203" customFormat="1" ht="13.8" outlineLevel="1" thickBot="1">
      <c r="A247" s="3" t="s">
        <v>160</v>
      </c>
      <c r="B247" s="3" t="s">
        <v>993</v>
      </c>
      <c r="C247" s="3" t="s">
        <v>161</v>
      </c>
      <c r="D247" s="3"/>
      <c r="E247" s="227"/>
      <c r="F247" s="236" t="s">
        <v>162</v>
      </c>
      <c r="G247" s="237" t="s">
        <v>155</v>
      </c>
      <c r="H247" s="230">
        <v>0</v>
      </c>
      <c r="I247" s="206">
        <f t="shared" si="18"/>
        <v>0</v>
      </c>
      <c r="J247" s="206">
        <f t="shared" si="19"/>
        <v>0</v>
      </c>
      <c r="K247"/>
      <c r="L247"/>
    </row>
    <row r="248" spans="1:13" ht="13.8" outlineLevel="2" thickBot="1">
      <c r="A248" s="3" t="str">
        <f>B248&amp;C248&amp;D248</f>
        <v>O&amp;M Mobilization BudgetOwner Optional Items</v>
      </c>
      <c r="B248" s="3" t="s">
        <v>993</v>
      </c>
      <c r="C248" s="3" t="s">
        <v>161</v>
      </c>
      <c r="E248" s="227"/>
      <c r="F248" s="236" t="s">
        <v>163</v>
      </c>
      <c r="G248" s="237" t="s">
        <v>125</v>
      </c>
      <c r="H248" s="230">
        <v>0</v>
      </c>
      <c r="I248" s="206">
        <f t="shared" si="18"/>
        <v>0</v>
      </c>
      <c r="J248" s="206">
        <f t="shared" si="19"/>
        <v>0</v>
      </c>
      <c r="K248"/>
      <c r="L248"/>
      <c r="M248" s="3"/>
    </row>
    <row r="249" spans="1:13" ht="13.8" outlineLevel="2" thickBot="1">
      <c r="E249" s="227"/>
      <c r="F249" s="236" t="s">
        <v>164</v>
      </c>
      <c r="G249" s="237" t="s">
        <v>120</v>
      </c>
      <c r="H249" s="230"/>
      <c r="I249" s="206">
        <f t="shared" si="18"/>
        <v>0</v>
      </c>
      <c r="J249" s="206">
        <f t="shared" si="19"/>
        <v>0</v>
      </c>
      <c r="K249"/>
      <c r="L249"/>
      <c r="M249" s="3"/>
    </row>
    <row r="250" spans="1:13" ht="13.8" outlineLevel="2" thickBot="1">
      <c r="E250" s="227"/>
      <c r="F250" s="236" t="s">
        <v>165</v>
      </c>
      <c r="G250" s="237" t="s">
        <v>166</v>
      </c>
      <c r="H250" s="230"/>
      <c r="I250" s="206">
        <f t="shared" si="18"/>
        <v>0</v>
      </c>
      <c r="J250" s="206">
        <f t="shared" si="19"/>
        <v>0</v>
      </c>
      <c r="K250"/>
      <c r="L250"/>
      <c r="M250" s="3"/>
    </row>
    <row r="251" spans="1:13" ht="13.8" outlineLevel="2" thickBot="1">
      <c r="E251" s="227"/>
      <c r="F251" s="236" t="s">
        <v>167</v>
      </c>
      <c r="G251" s="237" t="s">
        <v>168</v>
      </c>
      <c r="H251" s="230">
        <v>0</v>
      </c>
      <c r="I251" s="206">
        <f t="shared" si="18"/>
        <v>0</v>
      </c>
      <c r="J251" s="206">
        <f t="shared" si="19"/>
        <v>0</v>
      </c>
      <c r="K251"/>
      <c r="L251"/>
      <c r="M251" s="3"/>
    </row>
    <row r="252" spans="1:13" s="203" customFormat="1" ht="13.8" outlineLevel="1" thickBot="1">
      <c r="A252" s="203" t="s">
        <v>169</v>
      </c>
      <c r="B252" s="203" t="s">
        <v>993</v>
      </c>
      <c r="C252" s="203" t="s">
        <v>161</v>
      </c>
      <c r="E252" s="227"/>
      <c r="F252" s="236" t="s">
        <v>170</v>
      </c>
      <c r="G252" s="237" t="s">
        <v>171</v>
      </c>
      <c r="H252" s="230">
        <v>0</v>
      </c>
      <c r="I252" s="206">
        <f t="shared" si="18"/>
        <v>0</v>
      </c>
      <c r="J252" s="206">
        <f t="shared" si="19"/>
        <v>0</v>
      </c>
      <c r="K252"/>
      <c r="L252"/>
    </row>
    <row r="253" spans="1:13" s="203" customFormat="1" ht="13.8" outlineLevel="1" thickBot="1">
      <c r="E253" s="227"/>
      <c r="F253" s="236" t="s">
        <v>172</v>
      </c>
      <c r="G253" s="237" t="s">
        <v>173</v>
      </c>
      <c r="H253" s="230">
        <v>0</v>
      </c>
      <c r="I253" s="206">
        <f t="shared" si="18"/>
        <v>0</v>
      </c>
      <c r="J253" s="206">
        <f t="shared" si="19"/>
        <v>0</v>
      </c>
      <c r="K253"/>
      <c r="L253"/>
    </row>
    <row r="254" spans="1:13" s="203" customFormat="1" ht="13.8" outlineLevel="1" thickBot="1">
      <c r="E254" s="227"/>
      <c r="F254" s="236" t="s">
        <v>174</v>
      </c>
      <c r="G254" s="237" t="s">
        <v>139</v>
      </c>
      <c r="H254" s="230"/>
      <c r="I254" s="206">
        <f t="shared" si="18"/>
        <v>0</v>
      </c>
      <c r="J254" s="206">
        <f t="shared" si="19"/>
        <v>0</v>
      </c>
      <c r="K254"/>
      <c r="L254"/>
    </row>
    <row r="255" spans="1:13" s="203" customFormat="1" ht="13.8" outlineLevel="1" thickBot="1">
      <c r="E255" s="227"/>
      <c r="F255" s="236" t="s">
        <v>175</v>
      </c>
      <c r="G255" s="237" t="s">
        <v>176</v>
      </c>
      <c r="H255" s="230">
        <v>0</v>
      </c>
      <c r="I255" s="206">
        <f t="shared" si="18"/>
        <v>0</v>
      </c>
      <c r="J255" s="206">
        <f t="shared" si="19"/>
        <v>0</v>
      </c>
      <c r="K255"/>
      <c r="L255"/>
    </row>
    <row r="256" spans="1:13" s="203" customFormat="1" ht="13.8" outlineLevel="1" thickBot="1">
      <c r="E256" s="227"/>
      <c r="F256" s="236" t="s">
        <v>177</v>
      </c>
      <c r="G256" s="237" t="s">
        <v>178</v>
      </c>
      <c r="H256" s="230">
        <v>0</v>
      </c>
      <c r="I256" s="206">
        <f t="shared" si="18"/>
        <v>0</v>
      </c>
      <c r="J256" s="206">
        <f t="shared" si="19"/>
        <v>0</v>
      </c>
      <c r="K256"/>
      <c r="L256"/>
    </row>
    <row r="257" spans="1:13" s="203" customFormat="1" ht="13.8" outlineLevel="1" thickBot="1">
      <c r="E257" s="227"/>
      <c r="F257" s="236" t="s">
        <v>179</v>
      </c>
      <c r="G257" s="237" t="s">
        <v>180</v>
      </c>
      <c r="H257" s="230"/>
      <c r="I257" s="206">
        <f t="shared" si="18"/>
        <v>0</v>
      </c>
      <c r="J257" s="206">
        <f t="shared" si="19"/>
        <v>0</v>
      </c>
      <c r="K257"/>
      <c r="L257"/>
    </row>
    <row r="258" spans="1:13" s="203" customFormat="1" ht="13.8" outlineLevel="1" thickBot="1">
      <c r="E258" s="238"/>
      <c r="F258" s="236" t="s">
        <v>181</v>
      </c>
      <c r="G258" s="237" t="s">
        <v>182</v>
      </c>
      <c r="H258" s="230">
        <v>0</v>
      </c>
      <c r="I258" s="206">
        <f t="shared" si="18"/>
        <v>0</v>
      </c>
      <c r="J258" s="206">
        <f t="shared" si="19"/>
        <v>0</v>
      </c>
      <c r="K258"/>
      <c r="L258"/>
    </row>
    <row r="259" spans="1:13" s="203" customFormat="1" ht="13.8" outlineLevel="1" thickBot="1">
      <c r="E259" s="238"/>
      <c r="F259" s="236" t="s">
        <v>183</v>
      </c>
      <c r="G259" s="237" t="s">
        <v>184</v>
      </c>
      <c r="H259" s="230"/>
      <c r="I259" s="206">
        <f t="shared" si="18"/>
        <v>0</v>
      </c>
      <c r="J259" s="206">
        <f t="shared" si="19"/>
        <v>0</v>
      </c>
      <c r="K259"/>
      <c r="L259"/>
    </row>
    <row r="260" spans="1:13" s="203" customFormat="1" ht="13.8" outlineLevel="1" thickBot="1">
      <c r="E260" s="227" t="s">
        <v>185</v>
      </c>
      <c r="F260" s="236" t="s">
        <v>186</v>
      </c>
      <c r="G260" s="237" t="s">
        <v>187</v>
      </c>
      <c r="H260" s="230"/>
      <c r="I260" s="206">
        <f t="shared" si="18"/>
        <v>0</v>
      </c>
      <c r="J260" s="206">
        <f t="shared" si="19"/>
        <v>0</v>
      </c>
      <c r="K260"/>
      <c r="L260"/>
    </row>
    <row r="261" spans="1:13" s="203" customFormat="1" ht="13.8" outlineLevel="1" thickBot="1">
      <c r="A261" s="3" t="s">
        <v>188</v>
      </c>
      <c r="B261" s="3" t="s">
        <v>993</v>
      </c>
      <c r="C261" s="3" t="s">
        <v>189</v>
      </c>
      <c r="D261" s="3"/>
      <c r="E261" s="227"/>
      <c r="F261" s="236" t="s">
        <v>190</v>
      </c>
      <c r="G261" s="237" t="s">
        <v>191</v>
      </c>
      <c r="H261" s="230"/>
      <c r="I261" s="206">
        <f t="shared" si="18"/>
        <v>0</v>
      </c>
      <c r="J261" s="206">
        <f t="shared" si="19"/>
        <v>0</v>
      </c>
      <c r="K261"/>
      <c r="L261"/>
    </row>
    <row r="262" spans="1:13" ht="13.8" outlineLevel="2" thickBot="1">
      <c r="A262" s="3" t="str">
        <f>B262&amp;C262&amp;D262</f>
        <v>O&amp;M Mobilization BudgetCapital, Operating and BOP Spares (1998$)</v>
      </c>
      <c r="B262" s="3" t="s">
        <v>993</v>
      </c>
      <c r="C262" s="3" t="s">
        <v>192</v>
      </c>
      <c r="E262" s="227"/>
      <c r="F262" s="236" t="s">
        <v>193</v>
      </c>
      <c r="G262" s="237" t="s">
        <v>194</v>
      </c>
      <c r="H262" s="230"/>
      <c r="I262" s="206">
        <f t="shared" si="18"/>
        <v>0</v>
      </c>
      <c r="J262" s="206">
        <f t="shared" si="19"/>
        <v>0</v>
      </c>
      <c r="K262"/>
      <c r="L262"/>
      <c r="M262" s="3"/>
    </row>
    <row r="263" spans="1:13" ht="13.8" outlineLevel="2" thickBot="1">
      <c r="E263" s="227"/>
      <c r="F263" s="236" t="s">
        <v>195</v>
      </c>
      <c r="G263" s="237" t="s">
        <v>196</v>
      </c>
      <c r="H263" s="230">
        <v>0</v>
      </c>
      <c r="I263" s="206">
        <f t="shared" si="18"/>
        <v>0</v>
      </c>
      <c r="J263" s="206">
        <f t="shared" si="19"/>
        <v>0</v>
      </c>
      <c r="K263"/>
      <c r="L263"/>
      <c r="M263" s="3"/>
    </row>
    <row r="264" spans="1:13" ht="13.8" outlineLevel="2" thickBot="1">
      <c r="E264" s="227"/>
      <c r="F264" s="228"/>
      <c r="G264" s="229"/>
      <c r="H264" s="230"/>
      <c r="I264" s="206">
        <f t="shared" si="18"/>
        <v>0</v>
      </c>
      <c r="J264" s="206">
        <f t="shared" si="19"/>
        <v>0</v>
      </c>
      <c r="K264"/>
      <c r="L264"/>
      <c r="M264" s="3"/>
    </row>
    <row r="265" spans="1:13" ht="13.8" outlineLevel="2" thickBot="1">
      <c r="E265" s="227" t="s">
        <v>1115</v>
      </c>
      <c r="F265" s="239">
        <v>0.05</v>
      </c>
      <c r="G265" s="229"/>
      <c r="H265" s="230">
        <f>0.05*SUM(H219:H264)</f>
        <v>1772.25</v>
      </c>
      <c r="I265" s="206">
        <f t="shared" si="18"/>
        <v>1772.25</v>
      </c>
      <c r="J265" s="206">
        <f t="shared" si="19"/>
        <v>0</v>
      </c>
      <c r="K265"/>
      <c r="L265"/>
      <c r="M265" s="3"/>
    </row>
    <row r="266" spans="1:13" s="203" customFormat="1" ht="13.8" outlineLevel="1" thickBot="1">
      <c r="A266" s="203" t="s">
        <v>197</v>
      </c>
      <c r="B266" s="203" t="s">
        <v>993</v>
      </c>
      <c r="C266" s="203" t="s">
        <v>192</v>
      </c>
      <c r="E266" s="227"/>
      <c r="F266" s="228"/>
      <c r="G266" s="229"/>
      <c r="H266" s="230"/>
      <c r="I266" s="230"/>
      <c r="J266" s="230"/>
      <c r="K266"/>
      <c r="L266"/>
    </row>
    <row r="267" spans="1:13" s="203" customFormat="1" ht="13.8" thickBot="1">
      <c r="E267" s="240"/>
      <c r="F267" s="241"/>
      <c r="G267" s="242" t="s">
        <v>1005</v>
      </c>
      <c r="H267" s="243">
        <f>SUBTOTAL(9,H219:H266)</f>
        <v>37217.25</v>
      </c>
      <c r="I267" s="243">
        <f>SUBTOTAL(9,I219:I266)</f>
        <v>37217.25</v>
      </c>
      <c r="J267" s="243"/>
      <c r="K267"/>
      <c r="L267"/>
    </row>
    <row r="268" spans="1:13" ht="13.8" thickBot="1">
      <c r="E268" s="218" t="s">
        <v>804</v>
      </c>
      <c r="F268" s="219"/>
      <c r="G268" s="220"/>
      <c r="H268" s="201"/>
      <c r="I268" s="201"/>
      <c r="J268" s="201"/>
      <c r="K268" s="203"/>
    </row>
    <row r="269" spans="1:13" ht="13.8" thickBot="1">
      <c r="E269" s="204" t="s">
        <v>198</v>
      </c>
      <c r="F269" s="41" t="s">
        <v>199</v>
      </c>
      <c r="G269" s="205"/>
      <c r="H269" s="206">
        <v>10000</v>
      </c>
      <c r="I269" s="206">
        <f>H269</f>
        <v>10000</v>
      </c>
      <c r="J269" s="206">
        <f>H269-I269</f>
        <v>0</v>
      </c>
    </row>
    <row r="270" spans="1:13" ht="13.8" thickBot="1">
      <c r="E270" s="204"/>
      <c r="F270" s="41"/>
      <c r="G270" s="205"/>
      <c r="H270" s="206"/>
      <c r="I270" s="206">
        <f>H270</f>
        <v>0</v>
      </c>
      <c r="J270" s="206">
        <f>H270-I270</f>
        <v>0</v>
      </c>
    </row>
    <row r="271" spans="1:13" ht="13.8" thickBot="1">
      <c r="E271" s="204" t="s">
        <v>1115</v>
      </c>
      <c r="F271" s="41" t="s">
        <v>200</v>
      </c>
      <c r="G271" s="205"/>
      <c r="H271" s="206">
        <f>0.05*H269</f>
        <v>500</v>
      </c>
      <c r="I271" s="206">
        <f>H271</f>
        <v>500</v>
      </c>
      <c r="J271" s="206">
        <f>H271-I271</f>
        <v>0</v>
      </c>
    </row>
    <row r="272" spans="1:13" ht="13.8" thickBot="1">
      <c r="E272" s="204"/>
      <c r="F272" s="41"/>
      <c r="G272" s="205"/>
      <c r="H272" s="206"/>
      <c r="I272" s="206"/>
      <c r="J272" s="206"/>
    </row>
    <row r="273" spans="5:11" ht="13.8" thickBot="1">
      <c r="E273" s="204"/>
      <c r="F273" s="41"/>
      <c r="G273" s="207" t="s">
        <v>1005</v>
      </c>
      <c r="H273" s="208">
        <f>SUBTOTAL(9,H269:H272)</f>
        <v>10500</v>
      </c>
      <c r="I273" s="208">
        <f>SUBTOTAL(9,I269:I272)</f>
        <v>10500</v>
      </c>
      <c r="J273" s="208">
        <f>SUBTOTAL(9,J269:J272)</f>
        <v>0</v>
      </c>
      <c r="K273" s="203"/>
    </row>
    <row r="274" spans="5:11" ht="13.8" thickBot="1">
      <c r="E274" s="218" t="s">
        <v>147</v>
      </c>
      <c r="F274" s="219"/>
      <c r="G274" s="220"/>
      <c r="H274" s="201"/>
      <c r="I274" s="201"/>
      <c r="J274" s="201"/>
      <c r="K274" s="203"/>
    </row>
    <row r="275" spans="5:11" ht="13.8" thickBot="1">
      <c r="E275" s="204" t="s">
        <v>201</v>
      </c>
      <c r="F275" s="41"/>
      <c r="G275" s="205"/>
      <c r="H275" s="206">
        <v>160000</v>
      </c>
      <c r="I275" s="206">
        <f>H275</f>
        <v>160000</v>
      </c>
      <c r="J275" s="206">
        <f>H275-I275</f>
        <v>0</v>
      </c>
    </row>
    <row r="276" spans="5:11" ht="13.8" thickBot="1">
      <c r="E276" s="204"/>
      <c r="F276" s="41"/>
      <c r="G276" s="205"/>
      <c r="H276" s="206"/>
      <c r="I276" s="206">
        <f>H276</f>
        <v>0</v>
      </c>
      <c r="J276" s="206">
        <f>H276-I276</f>
        <v>0</v>
      </c>
    </row>
    <row r="277" spans="5:11" ht="13.8" thickBot="1">
      <c r="E277" s="204"/>
      <c r="F277" s="41"/>
      <c r="G277" s="205"/>
      <c r="H277" s="206"/>
      <c r="I277" s="206">
        <f>H277</f>
        <v>0</v>
      </c>
      <c r="J277" s="206">
        <f>H277-I277</f>
        <v>0</v>
      </c>
    </row>
    <row r="278" spans="5:11" ht="13.8" thickBot="1">
      <c r="E278" s="204"/>
      <c r="F278" s="41"/>
      <c r="G278" s="205"/>
      <c r="H278" s="206"/>
      <c r="I278" s="206"/>
      <c r="J278" s="206"/>
    </row>
    <row r="279" spans="5:11" ht="13.8" thickBot="1">
      <c r="E279" s="244"/>
      <c r="F279" s="245"/>
      <c r="G279" s="207" t="s">
        <v>1005</v>
      </c>
      <c r="H279" s="208">
        <f>SUBTOTAL(9,H275:H277)</f>
        <v>160000</v>
      </c>
      <c r="I279" s="208">
        <f>SUBTOTAL(9,I275:I275)</f>
        <v>160000</v>
      </c>
      <c r="J279" s="208">
        <f>SUBTOTAL(9,J275:J275)</f>
        <v>0</v>
      </c>
      <c r="K279" s="203"/>
    </row>
    <row r="280" spans="5:11" ht="13.8" thickBot="1">
      <c r="E280" s="218" t="s">
        <v>770</v>
      </c>
      <c r="F280" s="219"/>
      <c r="G280" s="220"/>
      <c r="H280" s="201"/>
      <c r="I280" s="201"/>
      <c r="J280" s="201"/>
      <c r="K280" s="203"/>
    </row>
    <row r="281" spans="5:11" ht="13.8" thickBot="1">
      <c r="E281" s="204" t="s">
        <v>202</v>
      </c>
      <c r="F281" s="41"/>
      <c r="G281" s="246"/>
      <c r="H281" s="247"/>
      <c r="I281" s="206">
        <f>H281</f>
        <v>0</v>
      </c>
      <c r="J281" s="206">
        <f>H281-I281</f>
        <v>0</v>
      </c>
    </row>
    <row r="282" spans="5:11" ht="13.8" thickBot="1">
      <c r="E282" s="204"/>
      <c r="F282" s="41"/>
      <c r="G282" s="246"/>
      <c r="H282" s="247"/>
      <c r="I282" s="206">
        <f>H282</f>
        <v>0</v>
      </c>
      <c r="J282" s="206">
        <f>H282-I282</f>
        <v>0</v>
      </c>
    </row>
    <row r="283" spans="5:11" ht="13.8" thickBot="1">
      <c r="E283" s="204"/>
      <c r="F283" s="41"/>
      <c r="G283" s="246"/>
      <c r="H283" s="247"/>
      <c r="I283" s="206">
        <f>H283</f>
        <v>0</v>
      </c>
      <c r="J283" s="206">
        <f>H283-I283</f>
        <v>0</v>
      </c>
    </row>
    <row r="284" spans="5:11" ht="13.8" thickBot="1">
      <c r="E284" s="204"/>
      <c r="F284" s="41"/>
      <c r="G284" s="205"/>
      <c r="H284" s="206"/>
      <c r="I284" s="206"/>
      <c r="J284" s="206"/>
    </row>
    <row r="285" spans="5:11" ht="13.8" thickBot="1">
      <c r="E285" s="204"/>
      <c r="F285" s="41"/>
      <c r="G285" s="207" t="s">
        <v>1005</v>
      </c>
      <c r="H285" s="248"/>
      <c r="I285" s="208">
        <f>SUBTOTAL(9,I281:I281)</f>
        <v>0</v>
      </c>
      <c r="J285" s="208">
        <f>SUBTOTAL(9,J281:J281)</f>
        <v>0</v>
      </c>
      <c r="K285" s="203"/>
    </row>
    <row r="286" spans="5:11" ht="13.8" thickBot="1">
      <c r="E286" s="218" t="s">
        <v>203</v>
      </c>
      <c r="F286" s="219"/>
      <c r="G286" s="220"/>
      <c r="H286" s="201"/>
      <c r="I286" s="201"/>
      <c r="J286" s="201"/>
      <c r="K286" s="203"/>
    </row>
    <row r="287" spans="5:11" ht="13.8" thickBot="1">
      <c r="E287" s="204" t="s">
        <v>204</v>
      </c>
      <c r="F287" s="41"/>
      <c r="G287" s="205"/>
      <c r="H287" s="206">
        <v>0</v>
      </c>
      <c r="I287" s="206">
        <f>H287</f>
        <v>0</v>
      </c>
      <c r="J287" s="206">
        <f>H287-I287</f>
        <v>0</v>
      </c>
      <c r="K287" s="203"/>
    </row>
    <row r="288" spans="5:11" ht="13.8" thickBot="1">
      <c r="E288" s="204"/>
      <c r="F288" s="41"/>
      <c r="G288" s="205"/>
      <c r="H288" s="206"/>
      <c r="I288" s="208"/>
      <c r="J288" s="208"/>
      <c r="K288" s="203"/>
    </row>
    <row r="289" spans="5:11" ht="13.8" thickBot="1">
      <c r="E289" s="204"/>
      <c r="F289" s="41"/>
      <c r="G289" s="207" t="s">
        <v>1005</v>
      </c>
      <c r="H289" s="208">
        <f>SUBTOTAL(9,H287:H288)</f>
        <v>0</v>
      </c>
      <c r="I289" s="208">
        <f>SUBTOTAL(9,I287:I288)</f>
        <v>0</v>
      </c>
      <c r="J289" s="208">
        <f>SUBTOTAL(9,J287:J288)</f>
        <v>0</v>
      </c>
      <c r="K289" s="203"/>
    </row>
    <row r="290" spans="5:11" ht="13.8" thickBot="1">
      <c r="E290" s="218" t="s">
        <v>647</v>
      </c>
      <c r="F290" s="219"/>
      <c r="G290" s="220"/>
      <c r="H290" s="201"/>
      <c r="I290" s="201"/>
      <c r="J290" s="201"/>
      <c r="K290" s="203"/>
    </row>
    <row r="291" spans="5:11" ht="13.8" thickBot="1">
      <c r="E291" s="204" t="s">
        <v>204</v>
      </c>
      <c r="F291" s="41"/>
      <c r="G291" s="205"/>
      <c r="H291" s="206" t="s">
        <v>767</v>
      </c>
      <c r="I291" s="206" t="str">
        <f>H291</f>
        <v>NA</v>
      </c>
      <c r="J291" s="206" t="e">
        <f>H291-I291</f>
        <v>#VALUE!</v>
      </c>
      <c r="K291" s="203"/>
    </row>
    <row r="292" spans="5:11" ht="13.8" thickBot="1">
      <c r="E292" s="204"/>
      <c r="F292" s="41"/>
      <c r="G292" s="205"/>
      <c r="H292" s="206"/>
      <c r="I292" s="208"/>
      <c r="J292" s="208"/>
      <c r="K292" s="203"/>
    </row>
    <row r="293" spans="5:11" ht="13.8" thickBot="1">
      <c r="E293" s="204"/>
      <c r="F293" s="41"/>
      <c r="G293" s="207" t="s">
        <v>1005</v>
      </c>
      <c r="H293" s="208" t="s">
        <v>767</v>
      </c>
      <c r="I293" s="208">
        <f>SUBTOTAL(9,I291:I292)</f>
        <v>0</v>
      </c>
      <c r="J293" s="208" t="e">
        <f>SUBTOTAL(9,J291:J292)</f>
        <v>#VALUE!</v>
      </c>
      <c r="K293" s="203"/>
    </row>
    <row r="294" spans="5:11" ht="13.8" thickBot="1">
      <c r="E294" s="218" t="s">
        <v>205</v>
      </c>
      <c r="F294" s="219"/>
      <c r="G294" s="220"/>
      <c r="H294" s="201"/>
      <c r="I294" s="201"/>
      <c r="J294" s="201"/>
      <c r="K294" s="203"/>
    </row>
    <row r="295" spans="5:11" ht="13.8" thickBot="1">
      <c r="E295" s="204" t="s">
        <v>615</v>
      </c>
      <c r="F295" s="41"/>
      <c r="G295" s="205"/>
      <c r="H295" s="206">
        <v>1000000</v>
      </c>
      <c r="I295" s="206">
        <f>H295</f>
        <v>1000000</v>
      </c>
      <c r="J295" s="206">
        <f>H295-I295</f>
        <v>0</v>
      </c>
    </row>
    <row r="296" spans="5:11" ht="13.8" thickBot="1">
      <c r="E296" s="204" t="s">
        <v>206</v>
      </c>
      <c r="F296" s="41"/>
      <c r="G296" s="205"/>
      <c r="H296" s="206">
        <v>100000</v>
      </c>
      <c r="I296" s="206">
        <f>H296</f>
        <v>100000</v>
      </c>
      <c r="J296" s="206">
        <f>H296-I296</f>
        <v>0</v>
      </c>
    </row>
    <row r="297" spans="5:11" ht="13.8" thickBot="1">
      <c r="E297" s="204" t="s">
        <v>207</v>
      </c>
      <c r="F297" s="41"/>
      <c r="G297" s="205"/>
      <c r="H297" s="206">
        <f>SUM(H295:H296)*0.0325</f>
        <v>35750</v>
      </c>
      <c r="I297" s="206">
        <f>H297</f>
        <v>35750</v>
      </c>
      <c r="J297" s="206">
        <f>H297-I297</f>
        <v>0</v>
      </c>
    </row>
    <row r="298" spans="5:11" ht="13.8" thickBot="1">
      <c r="E298" s="204"/>
      <c r="F298" s="249"/>
      <c r="G298" s="205"/>
      <c r="H298" s="206"/>
      <c r="I298" s="206">
        <f>H298</f>
        <v>0</v>
      </c>
      <c r="J298" s="206">
        <f>H298-I298</f>
        <v>0</v>
      </c>
    </row>
    <row r="299" spans="5:11" ht="13.8" thickBot="1">
      <c r="E299" s="250"/>
      <c r="F299" s="251"/>
      <c r="G299" s="252" t="s">
        <v>1005</v>
      </c>
      <c r="H299" s="208">
        <f>SUBTOTAL(9,H295:H298)</f>
        <v>1135750</v>
      </c>
      <c r="I299" s="208">
        <f>SUBTOTAL(9,I295:I298)</f>
        <v>1135750</v>
      </c>
      <c r="J299" s="208">
        <f>SUBTOTAL(9,J295:J298)</f>
        <v>0</v>
      </c>
      <c r="K299" s="203"/>
    </row>
    <row r="300" spans="5:11">
      <c r="E300" s="203"/>
      <c r="F300" s="203"/>
      <c r="G300" s="203"/>
      <c r="H300" s="203"/>
      <c r="I300" s="203"/>
      <c r="J300" s="203"/>
    </row>
    <row r="307" spans="2:7">
      <c r="B307" s="40"/>
      <c r="E307" s="253"/>
    </row>
    <row r="308" spans="2:7">
      <c r="B308" s="40"/>
      <c r="F308" s="253"/>
      <c r="G308" s="253"/>
    </row>
    <row r="852" spans="1:4">
      <c r="A852" s="253"/>
      <c r="B852" s="253"/>
      <c r="C852" s="253"/>
      <c r="D852" s="253"/>
    </row>
    <row r="900" spans="5:10">
      <c r="E900" s="253"/>
    </row>
    <row r="901" spans="5:10">
      <c r="F901" s="253"/>
      <c r="G901" s="253"/>
      <c r="H901" s="253"/>
      <c r="I901" s="253"/>
      <c r="J901" s="253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Header>&amp;CENRON PROPRIETARY 
AND  CONFIDENTIAL INFORMATION</oddHeader>
    <oddFooter>&amp;LScot Chambers
&amp;D&amp;CPage _____&amp;R&amp;F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56"/>
  <sheetViews>
    <sheetView topLeftCell="A18" zoomScale="80" workbookViewId="0">
      <selection activeCell="B33" sqref="B33"/>
    </sheetView>
  </sheetViews>
  <sheetFormatPr defaultColWidth="9.109375" defaultRowHeight="13.2"/>
  <cols>
    <col min="1" max="1" width="4.6640625" style="73" customWidth="1"/>
    <col min="2" max="2" width="49.88671875" style="73" customWidth="1"/>
    <col min="3" max="3" width="9.5546875" style="73" customWidth="1"/>
    <col min="4" max="5" width="11.44140625" style="73" customWidth="1"/>
    <col min="6" max="6" width="10.33203125" style="73" bestFit="1" customWidth="1"/>
    <col min="7" max="7" width="11.88671875" style="73" customWidth="1"/>
    <col min="8" max="8" width="9.109375" style="73"/>
    <col min="9" max="16384" width="9.109375" style="74"/>
  </cols>
  <sheetData>
    <row r="1" spans="1:42" ht="15.6">
      <c r="A1" s="469" t="str">
        <f>Scope!A1</f>
        <v>City of Austin 4 x LM6000 Power Project</v>
      </c>
      <c r="B1" s="469"/>
      <c r="C1" s="469"/>
      <c r="D1" s="469"/>
      <c r="E1" s="469"/>
      <c r="F1" s="469"/>
      <c r="G1" s="46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2" ht="15.6">
      <c r="A2" s="469" t="s">
        <v>649</v>
      </c>
      <c r="B2" s="469"/>
      <c r="C2" s="469"/>
      <c r="D2" s="469"/>
      <c r="E2" s="469"/>
      <c r="F2" s="469"/>
      <c r="G2" s="469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</row>
    <row r="3" spans="1:42" ht="13.8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42" ht="13.8" thickBot="1">
      <c r="A4" s="34"/>
      <c r="B4" s="37"/>
      <c r="C4" s="37"/>
      <c r="D4" s="466" t="s">
        <v>759</v>
      </c>
      <c r="E4" s="467"/>
      <c r="F4" s="467"/>
      <c r="G4" s="468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</row>
    <row r="5" spans="1:42">
      <c r="A5" s="34"/>
      <c r="B5" s="37"/>
      <c r="C5" s="37"/>
      <c r="D5" s="254"/>
      <c r="E5" s="255"/>
      <c r="F5" s="437" t="s">
        <v>311</v>
      </c>
      <c r="G5" s="437" t="s">
        <v>313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:42" ht="13.8" thickBot="1">
      <c r="A6" s="34"/>
      <c r="B6" s="37"/>
      <c r="C6" s="256"/>
      <c r="D6" s="257" t="s">
        <v>772</v>
      </c>
      <c r="E6" s="258" t="s">
        <v>773</v>
      </c>
      <c r="F6" s="258" t="s">
        <v>312</v>
      </c>
      <c r="G6" s="258" t="s">
        <v>312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:42">
      <c r="A7" s="40"/>
      <c r="B7" s="41"/>
      <c r="C7" s="41"/>
      <c r="D7" s="43"/>
      <c r="E7" s="259"/>
      <c r="F7" s="259"/>
      <c r="G7" s="259"/>
      <c r="H7" s="3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</row>
    <row r="8" spans="1:42">
      <c r="A8" s="46" t="s">
        <v>208</v>
      </c>
      <c r="B8" s="41"/>
      <c r="C8" s="42"/>
      <c r="D8" s="81">
        <f>'O&amp;M_Backup'!D13</f>
        <v>508225.83971199999</v>
      </c>
      <c r="E8" s="260">
        <f>D8</f>
        <v>508225.83971199999</v>
      </c>
      <c r="F8" s="260">
        <f>(D8+2*E8)/3</f>
        <v>508225.83971199999</v>
      </c>
      <c r="G8" s="260">
        <f>(D8+19*E8)/20</f>
        <v>508225.83971199999</v>
      </c>
      <c r="H8" s="3" t="s">
        <v>316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:42">
      <c r="A9" s="40"/>
      <c r="B9" s="41"/>
      <c r="C9" s="12"/>
      <c r="D9" s="82"/>
      <c r="E9" s="205"/>
      <c r="F9" s="205"/>
      <c r="G9" s="205"/>
      <c r="H9" s="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</row>
    <row r="10" spans="1:42">
      <c r="A10" s="40" t="s">
        <v>209</v>
      </c>
      <c r="B10"/>
      <c r="C10" s="12"/>
      <c r="D10" s="81"/>
      <c r="E10" s="260"/>
      <c r="F10" s="260"/>
      <c r="G10" s="260"/>
      <c r="H10" s="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</row>
    <row r="11" spans="1:42">
      <c r="A11" s="3"/>
      <c r="B11" s="41" t="str">
        <f>'O&amp;M_Backup'!A14</f>
        <v>Employee Expenses</v>
      </c>
      <c r="C11" s="42"/>
      <c r="D11" s="81">
        <f>'O&amp;M_Backup'!D22</f>
        <v>23700</v>
      </c>
      <c r="E11" s="260">
        <f t="shared" ref="E11:E19" si="0">D11</f>
        <v>23700</v>
      </c>
      <c r="F11" s="260">
        <f>(D11+2*E11)/3</f>
        <v>23700</v>
      </c>
      <c r="G11" s="260">
        <f>(D11+19*E11)/20</f>
        <v>23700</v>
      </c>
      <c r="H11" s="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</row>
    <row r="12" spans="1:42">
      <c r="A12" s="3"/>
      <c r="B12" s="41" t="str">
        <f>'O&amp;M_Backup'!A23</f>
        <v>Permanent Contract Labor</v>
      </c>
      <c r="C12" s="42"/>
      <c r="D12" s="81">
        <f>'O&amp;M_Backup'!D30</f>
        <v>18000</v>
      </c>
      <c r="E12" s="260">
        <f t="shared" si="0"/>
        <v>18000</v>
      </c>
      <c r="F12" s="260">
        <f t="shared" ref="F12:F20" si="1">(D12+2*E12)/3</f>
        <v>18000</v>
      </c>
      <c r="G12" s="260">
        <f t="shared" ref="G12:G20" si="2">(D12+19*E12)/20</f>
        <v>18000</v>
      </c>
      <c r="H12" s="3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</row>
    <row r="13" spans="1:42">
      <c r="A13" s="3"/>
      <c r="B13" s="41" t="str">
        <f>'O&amp;M_Backup'!A31</f>
        <v xml:space="preserve">Environmental Expense </v>
      </c>
      <c r="C13" s="42"/>
      <c r="D13" s="81">
        <f>'O&amp;M_Backup'!D41</f>
        <v>57000</v>
      </c>
      <c r="E13" s="260">
        <f t="shared" si="0"/>
        <v>57000</v>
      </c>
      <c r="F13" s="260">
        <f t="shared" si="1"/>
        <v>57000</v>
      </c>
      <c r="G13" s="260">
        <f t="shared" si="2"/>
        <v>57000</v>
      </c>
      <c r="H13" s="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</row>
    <row r="14" spans="1:42">
      <c r="A14" s="3"/>
      <c r="B14" s="41" t="str">
        <f>'O&amp;M_Backup'!A42</f>
        <v>Safety Expense</v>
      </c>
      <c r="C14" s="42"/>
      <c r="D14" s="81">
        <f>'O&amp;M_Backup'!D50</f>
        <v>10000</v>
      </c>
      <c r="E14" s="260">
        <f t="shared" si="0"/>
        <v>10000</v>
      </c>
      <c r="F14" s="260">
        <f t="shared" si="1"/>
        <v>10000</v>
      </c>
      <c r="G14" s="260">
        <f t="shared" si="2"/>
        <v>10000</v>
      </c>
      <c r="H14" s="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</row>
    <row r="15" spans="1:42">
      <c r="A15" s="3"/>
      <c r="B15" s="41" t="str">
        <f>'O&amp;M_Backup'!A51</f>
        <v>Buildings &amp; Grounds</v>
      </c>
      <c r="C15" s="42"/>
      <c r="D15" s="81">
        <f>'O&amp;M_Backup'!D61</f>
        <v>13893.087812823547</v>
      </c>
      <c r="E15" s="260">
        <f t="shared" si="0"/>
        <v>13893.087812823547</v>
      </c>
      <c r="F15" s="260">
        <f t="shared" si="1"/>
        <v>13893.087812823547</v>
      </c>
      <c r="G15" s="260">
        <f t="shared" si="2"/>
        <v>13893.087812823545</v>
      </c>
      <c r="H15" s="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</row>
    <row r="16" spans="1:42">
      <c r="A16" s="3"/>
      <c r="B16" s="41" t="str">
        <f>'O&amp;M_Backup'!A62</f>
        <v>Other Supplies &amp; Expenses</v>
      </c>
      <c r="C16" s="42"/>
      <c r="D16" s="81">
        <f>'O&amp;M_Backup'!D92</f>
        <v>33200</v>
      </c>
      <c r="E16" s="260">
        <f t="shared" si="0"/>
        <v>33200</v>
      </c>
      <c r="F16" s="260">
        <f t="shared" si="1"/>
        <v>33200</v>
      </c>
      <c r="G16" s="260">
        <f t="shared" si="2"/>
        <v>33200</v>
      </c>
      <c r="H16" s="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</row>
    <row r="17" spans="1:42">
      <c r="A17" s="3"/>
      <c r="B17" s="41" t="str">
        <f>'O&amp;M_Backup'!A93</f>
        <v>Communications</v>
      </c>
      <c r="C17" s="42"/>
      <c r="D17" s="81">
        <f>'O&amp;M_Backup'!D97</f>
        <v>13200</v>
      </c>
      <c r="E17" s="260">
        <f t="shared" si="0"/>
        <v>13200</v>
      </c>
      <c r="F17" s="260">
        <f t="shared" si="1"/>
        <v>13200</v>
      </c>
      <c r="G17" s="260">
        <f t="shared" si="2"/>
        <v>13200</v>
      </c>
      <c r="H17" s="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</row>
    <row r="18" spans="1:42" ht="12.75" customHeight="1">
      <c r="A18" s="3"/>
      <c r="B18" s="21" t="str">
        <f>'O&amp;M_Backup'!A98</f>
        <v>Operating Insurance</v>
      </c>
      <c r="C18" s="42"/>
      <c r="D18" s="81">
        <f>'O&amp;M_Backup'!D101</f>
        <v>0</v>
      </c>
      <c r="E18" s="260">
        <f t="shared" si="0"/>
        <v>0</v>
      </c>
      <c r="F18" s="260">
        <f t="shared" si="1"/>
        <v>0</v>
      </c>
      <c r="G18" s="260">
        <f t="shared" si="2"/>
        <v>0</v>
      </c>
      <c r="H18" s="3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</row>
    <row r="19" spans="1:42" ht="12.75" customHeight="1">
      <c r="A19" s="3"/>
      <c r="B19" s="41" t="str">
        <f>'O&amp;M_Backup'!A102</f>
        <v>Control Room/Laboratory Expenses</v>
      </c>
      <c r="C19" s="42"/>
      <c r="D19" s="81">
        <f>'O&amp;M_Backup'!D111</f>
        <v>4490</v>
      </c>
      <c r="E19" s="260">
        <f t="shared" si="0"/>
        <v>4490</v>
      </c>
      <c r="F19" s="260">
        <f t="shared" si="1"/>
        <v>4490</v>
      </c>
      <c r="G19" s="260">
        <f t="shared" si="2"/>
        <v>4490</v>
      </c>
      <c r="H19" s="3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</row>
    <row r="20" spans="1:42">
      <c r="A20" s="3"/>
      <c r="B20" s="41" t="str">
        <f>'O&amp;M_Backup'!A112</f>
        <v>Operations Support (Year 1 Only)</v>
      </c>
      <c r="C20" s="42"/>
      <c r="D20" s="81">
        <f>'O&amp;M_Backup'!D118</f>
        <v>15250</v>
      </c>
      <c r="E20" s="260">
        <v>0</v>
      </c>
      <c r="F20" s="260">
        <f t="shared" si="1"/>
        <v>5083.333333333333</v>
      </c>
      <c r="G20" s="260">
        <f t="shared" si="2"/>
        <v>762.5</v>
      </c>
      <c r="H20" s="3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</row>
    <row r="21" spans="1:42" ht="12.75" customHeight="1">
      <c r="A21" s="3"/>
      <c r="B21" s="41"/>
      <c r="C21" s="42"/>
      <c r="D21" s="82"/>
      <c r="E21" s="205"/>
      <c r="F21" s="205"/>
      <c r="G21" s="205"/>
      <c r="H21" s="3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</row>
    <row r="22" spans="1:42" ht="12.75" customHeight="1">
      <c r="A22" s="3"/>
      <c r="B22" s="46" t="s">
        <v>210</v>
      </c>
      <c r="C22" s="48"/>
      <c r="D22" s="81">
        <f>SUBTOTAL(9,D11:D20)</f>
        <v>188733.08781282353</v>
      </c>
      <c r="E22" s="81">
        <f>SUBTOTAL(9,E11:E20)</f>
        <v>173483.08781282353</v>
      </c>
      <c r="F22" s="81">
        <f>SUBTOTAL(9,F11:F20)</f>
        <v>178566.42114615688</v>
      </c>
      <c r="G22" s="81">
        <f>SUBTOTAL(9,G11:G20)</f>
        <v>174245.58781282353</v>
      </c>
      <c r="H22" s="3" t="s">
        <v>316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</row>
    <row r="23" spans="1:42" ht="12.75" customHeight="1">
      <c r="A23" s="3"/>
      <c r="B23" s="41"/>
      <c r="C23" s="42"/>
      <c r="D23" s="82"/>
      <c r="E23" s="205"/>
      <c r="F23" s="205"/>
      <c r="G23" s="205"/>
      <c r="H23" s="3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</row>
    <row r="24" spans="1:42" ht="12.75" customHeight="1">
      <c r="A24" s="46" t="s">
        <v>315</v>
      </c>
      <c r="B24" s="41"/>
      <c r="C24" s="42"/>
      <c r="D24" s="81">
        <f>'O&amp;M_Backup'!D134</f>
        <v>127190.70999999999</v>
      </c>
      <c r="E24" s="260">
        <f>D24</f>
        <v>127190.70999999999</v>
      </c>
      <c r="F24" s="260">
        <f>(D24+2*E24)/3</f>
        <v>127190.71</v>
      </c>
      <c r="G24" s="260">
        <f>(D24+19*E24)/20</f>
        <v>127190.70999999999</v>
      </c>
      <c r="H24" s="3" t="s">
        <v>317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</row>
    <row r="25" spans="1:42" ht="12.75" customHeight="1">
      <c r="A25" s="46"/>
      <c r="B25" s="261" t="s">
        <v>855</v>
      </c>
      <c r="C25" s="42"/>
      <c r="D25" s="81"/>
      <c r="E25" s="260"/>
      <c r="F25" s="260"/>
      <c r="G25" s="260"/>
      <c r="H25" s="3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</row>
    <row r="26" spans="1:42" ht="12.75" customHeight="1">
      <c r="A26" s="40"/>
      <c r="B26" s="41"/>
      <c r="C26" s="42"/>
      <c r="D26" s="82"/>
      <c r="E26" s="205"/>
      <c r="F26" s="205"/>
      <c r="G26" s="205"/>
      <c r="H26" s="3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</row>
    <row r="27" spans="1:42" ht="12.75" customHeight="1">
      <c r="A27" s="46" t="s">
        <v>335</v>
      </c>
      <c r="B27"/>
      <c r="C27" s="12"/>
      <c r="D27" s="81"/>
      <c r="E27" s="260"/>
      <c r="F27" s="260"/>
      <c r="G27" s="260"/>
      <c r="H27" s="3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</row>
    <row r="28" spans="1:42">
      <c r="A28" s="3"/>
      <c r="B28" s="41" t="str">
        <f>'O&amp;M_Backup'!A135</f>
        <v>Painting</v>
      </c>
      <c r="C28" s="42"/>
      <c r="D28" s="81">
        <f>E28*0.25</f>
        <v>10616.988503249435</v>
      </c>
      <c r="E28" s="260">
        <f>'O&amp;M_Backup'!D142</f>
        <v>42467.954012997739</v>
      </c>
      <c r="F28" s="260">
        <f>(D28+2*E28)/3</f>
        <v>31850.965509748305</v>
      </c>
      <c r="G28" s="260">
        <f>(D28+19*E28)/20</f>
        <v>40875.405737510329</v>
      </c>
      <c r="H28" s="3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</row>
    <row r="29" spans="1:42">
      <c r="A29" s="3"/>
      <c r="B29" s="41" t="str">
        <f>'O&amp;M_Backup'!A143</f>
        <v>Instruments &amp; Controls</v>
      </c>
      <c r="C29" s="42"/>
      <c r="D29" s="81">
        <f>'O&amp;M_Backup'!D152/2</f>
        <v>7003.125</v>
      </c>
      <c r="E29" s="260">
        <f>'O&amp;M_Backup'!D152</f>
        <v>14006.25</v>
      </c>
      <c r="F29" s="260">
        <f t="shared" ref="F29:F38" si="3">(D29+2*E29)/3</f>
        <v>11671.875</v>
      </c>
      <c r="G29" s="260">
        <f t="shared" ref="G29:G38" si="4">(D29+19*E29)/20</f>
        <v>13656.09375</v>
      </c>
      <c r="H29" s="3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</row>
    <row r="30" spans="1:42">
      <c r="A30" s="3"/>
      <c r="B30" s="41" t="str">
        <f>'O&amp;M_Backup'!A153</f>
        <v>Water Treatment System</v>
      </c>
      <c r="C30" s="42"/>
      <c r="D30" s="81">
        <f>'O&amp;M_Backup'!D161/2</f>
        <v>4246.5881248445394</v>
      </c>
      <c r="E30" s="260">
        <f>'O&amp;M_Backup'!D161</f>
        <v>8493.1762496890788</v>
      </c>
      <c r="F30" s="260">
        <f t="shared" si="3"/>
        <v>7077.646874740899</v>
      </c>
      <c r="G30" s="260">
        <f t="shared" si="4"/>
        <v>8280.8468434468523</v>
      </c>
      <c r="H30" s="3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</row>
    <row r="31" spans="1:42">
      <c r="A31" s="3"/>
      <c r="B31" s="41" t="str">
        <f>'O&amp;M_Backup'!A162</f>
        <v>Cooling System &amp; Chillers</v>
      </c>
      <c r="C31" s="42"/>
      <c r="D31" s="81">
        <f>'O&amp;M_Backup'!D171/2</f>
        <v>42250.874515922376</v>
      </c>
      <c r="E31" s="260">
        <f>'O&amp;M_Backup'!D171</f>
        <v>84501.749031844753</v>
      </c>
      <c r="F31" s="260">
        <f t="shared" si="3"/>
        <v>70418.12419320397</v>
      </c>
      <c r="G31" s="260">
        <f t="shared" si="4"/>
        <v>82389.205306048636</v>
      </c>
      <c r="H31" s="3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</row>
    <row r="32" spans="1:42">
      <c r="A32" s="3"/>
      <c r="B32" s="41" t="str">
        <f>'O&amp;M_Backup'!A172</f>
        <v>Electrical/Substation/Interconnects</v>
      </c>
      <c r="C32" s="42"/>
      <c r="D32" s="81">
        <f>'O&amp;M_Backup'!D182/2</f>
        <v>31252.126593178695</v>
      </c>
      <c r="E32" s="260">
        <f>'O&amp;M_Backup'!D182</f>
        <v>62504.253186357389</v>
      </c>
      <c r="F32" s="260">
        <f t="shared" si="3"/>
        <v>52086.877655297831</v>
      </c>
      <c r="G32" s="260">
        <f t="shared" si="4"/>
        <v>60941.646856698455</v>
      </c>
      <c r="H32" s="3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</row>
    <row r="33" spans="1:42">
      <c r="A33" s="3"/>
      <c r="B33" s="41" t="str">
        <f>'O&amp;M_Backup'!A183</f>
        <v>Gas Turbines (excluding overhaul maint.)</v>
      </c>
      <c r="C33" s="42"/>
      <c r="D33" s="81">
        <f>'O&amp;M_Backup'!D192/2</f>
        <v>102297.5</v>
      </c>
      <c r="E33" s="260">
        <f>'O&amp;M_Backup'!D192</f>
        <v>204595</v>
      </c>
      <c r="F33" s="260">
        <f t="shared" si="3"/>
        <v>170495.83333333334</v>
      </c>
      <c r="G33" s="260">
        <f t="shared" si="4"/>
        <v>199480.125</v>
      </c>
      <c r="H33" s="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</row>
    <row r="34" spans="1:42">
      <c r="A34" s="3"/>
      <c r="B34" s="41" t="str">
        <f>'O&amp;M_Backup'!A193</f>
        <v>Selective Catalytic Reduction &amp; Ammonia System</v>
      </c>
      <c r="C34" s="42"/>
      <c r="D34" s="81">
        <f>'O&amp;M_Backup'!D203/2</f>
        <v>48000</v>
      </c>
      <c r="E34" s="260">
        <f>'O&amp;M_Backup'!D203</f>
        <v>96000</v>
      </c>
      <c r="F34" s="260">
        <f t="shared" si="3"/>
        <v>80000</v>
      </c>
      <c r="G34" s="260">
        <f t="shared" si="4"/>
        <v>93600</v>
      </c>
      <c r="H34" s="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</row>
    <row r="35" spans="1:42" hidden="1">
      <c r="A35" s="3"/>
      <c r="B35" s="41" t="str">
        <f>'O&amp;M_Backup'!A204</f>
        <v>Steam Turbine (including Scheduled Maint.)</v>
      </c>
      <c r="C35" s="42"/>
      <c r="D35" s="81">
        <f>'O&amp;M_Backup'!D214</f>
        <v>0</v>
      </c>
      <c r="E35" s="260">
        <f>'O&amp;M_Backup'!D214</f>
        <v>0</v>
      </c>
      <c r="F35" s="260">
        <f t="shared" si="3"/>
        <v>0</v>
      </c>
      <c r="G35" s="260">
        <f t="shared" si="4"/>
        <v>0</v>
      </c>
      <c r="H35" s="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</row>
    <row r="36" spans="1:42">
      <c r="A36" s="3"/>
      <c r="B36" s="41" t="str">
        <f>'O&amp;M_Backup'!A215</f>
        <v>Potable Water System</v>
      </c>
      <c r="C36" s="42"/>
      <c r="D36" s="81">
        <f>'O&amp;M_Backup'!D224/3</f>
        <v>639.79166666666663</v>
      </c>
      <c r="E36" s="81">
        <f>'O&amp;M_Backup'!D224</f>
        <v>1919.375</v>
      </c>
      <c r="F36" s="260">
        <f t="shared" si="3"/>
        <v>1492.8472222222224</v>
      </c>
      <c r="G36" s="260">
        <f t="shared" si="4"/>
        <v>1855.3958333333333</v>
      </c>
      <c r="H36" s="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</row>
    <row r="37" spans="1:42">
      <c r="A37" s="3"/>
      <c r="B37" s="41" t="str">
        <f>'O&amp;M_Backup'!A225</f>
        <v>Fuel Handling System</v>
      </c>
      <c r="C37" s="42"/>
      <c r="D37" s="81">
        <f>'O&amp;M_Backup'!D234/3</f>
        <v>864.58333333333337</v>
      </c>
      <c r="E37" s="260">
        <f>'O&amp;M_Backup'!D234</f>
        <v>2593.75</v>
      </c>
      <c r="F37" s="260">
        <f t="shared" si="3"/>
        <v>2017.3611111111111</v>
      </c>
      <c r="G37" s="260">
        <f t="shared" si="4"/>
        <v>2507.291666666667</v>
      </c>
      <c r="H37" s="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</row>
    <row r="38" spans="1:42">
      <c r="A38" s="3"/>
      <c r="B38" s="41" t="str">
        <f>'O&amp;M_Backup'!A235</f>
        <v>Miscellaneous Maintenance Expense</v>
      </c>
      <c r="C38" s="42"/>
      <c r="D38" s="81">
        <f>'O&amp;M_Backup'!D253</f>
        <v>129687.5</v>
      </c>
      <c r="E38" s="260">
        <f>'O&amp;M_Backup'!D253</f>
        <v>129687.5</v>
      </c>
      <c r="F38" s="260">
        <f t="shared" si="3"/>
        <v>129687.5</v>
      </c>
      <c r="G38" s="260">
        <f t="shared" si="4"/>
        <v>129687.5</v>
      </c>
      <c r="H38" s="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</row>
    <row r="39" spans="1:42">
      <c r="A39" s="3"/>
      <c r="B39" s="41"/>
      <c r="C39" s="42"/>
      <c r="D39" s="82"/>
      <c r="E39" s="205"/>
      <c r="F39" s="205"/>
      <c r="G39" s="205"/>
      <c r="H39" s="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</row>
    <row r="40" spans="1:42">
      <c r="A40" s="3"/>
      <c r="B40" s="46" t="s">
        <v>211</v>
      </c>
      <c r="C40" s="48"/>
      <c r="D40" s="81">
        <f>SUBTOTAL(9,D28:D38)</f>
        <v>376859.07773719507</v>
      </c>
      <c r="E40" s="81">
        <f>SUBTOTAL(9,E28:E38)</f>
        <v>646769.00748088898</v>
      </c>
      <c r="F40" s="81">
        <f>SUBTOTAL(9,F28:F38)</f>
        <v>556799.03089965775</v>
      </c>
      <c r="G40" s="81">
        <f>SUBTOTAL(9,G28:G38)</f>
        <v>633273.5109937042</v>
      </c>
      <c r="H40" s="3" t="s">
        <v>318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</row>
    <row r="41" spans="1:42">
      <c r="A41" s="3"/>
      <c r="B41" s="46"/>
      <c r="C41" s="48"/>
      <c r="D41" s="81"/>
      <c r="E41" s="260"/>
      <c r="F41" s="260"/>
      <c r="G41" s="260"/>
      <c r="H41" s="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</row>
    <row r="42" spans="1:42">
      <c r="A42" s="68" t="s">
        <v>778</v>
      </c>
      <c r="B42" s="46"/>
      <c r="C42" s="48"/>
      <c r="D42" s="81">
        <f>'O&amp;M_Backup'!D285</f>
        <v>12639.475</v>
      </c>
      <c r="E42" s="260">
        <f>D42</f>
        <v>12639.475</v>
      </c>
      <c r="F42" s="260">
        <f>(D42+2*E42)/3</f>
        <v>12639.475</v>
      </c>
      <c r="G42" s="260">
        <f>(D42+19*E42)/20</f>
        <v>12639.475</v>
      </c>
      <c r="H42" s="3" t="s">
        <v>316</v>
      </c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</row>
    <row r="43" spans="1:42">
      <c r="A43" s="3"/>
      <c r="B43" s="46"/>
      <c r="C43" s="48"/>
      <c r="D43" s="81"/>
      <c r="E43" s="260"/>
      <c r="F43" s="260"/>
      <c r="G43" s="260"/>
      <c r="H43" s="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</row>
    <row r="44" spans="1:42" ht="13.8" thickBot="1">
      <c r="A44" s="40" t="s">
        <v>212</v>
      </c>
      <c r="B44" s="46"/>
      <c r="C44" s="48"/>
      <c r="D44" s="85">
        <f>D42+D40+D24+D22+D8</f>
        <v>1213648.1902620185</v>
      </c>
      <c r="E44" s="85">
        <f>E42+E40+E24+E22+E8</f>
        <v>1468308.1200057124</v>
      </c>
      <c r="F44" s="85">
        <f>F42+F40+F24+F22+F8</f>
        <v>1383421.4767578146</v>
      </c>
      <c r="G44" s="85">
        <f>G42+G40+G24+G22+G8</f>
        <v>1455575.1235185277</v>
      </c>
      <c r="H44" s="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</row>
    <row r="45" spans="1:42">
      <c r="A45" s="40"/>
      <c r="B45" s="46"/>
      <c r="C45" s="48"/>
      <c r="D45" s="37"/>
      <c r="E45" s="37"/>
      <c r="F45" s="37"/>
      <c r="G45" s="37"/>
      <c r="H45" s="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</row>
    <row r="46" spans="1:42" ht="13.8" thickBot="1">
      <c r="A46" s="40"/>
      <c r="B46" s="3"/>
      <c r="C46" s="45"/>
      <c r="D46" s="3"/>
      <c r="E46" s="3"/>
      <c r="F46" s="3"/>
      <c r="G46" s="3"/>
      <c r="H46" s="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</row>
    <row r="47" spans="1:42" ht="13.8" hidden="1" thickBot="1">
      <c r="A47" s="40" t="s">
        <v>319</v>
      </c>
      <c r="B47" s="41"/>
      <c r="C47" s="34"/>
      <c r="D47" s="64">
        <f>LM6000PC_MMR_Gas!H9</f>
        <v>54.346153846153847</v>
      </c>
      <c r="H47" s="3" t="s">
        <v>317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</row>
    <row r="48" spans="1:42" ht="13.8" hidden="1" thickBot="1">
      <c r="A48" s="40" t="s">
        <v>320</v>
      </c>
      <c r="B48" s="41"/>
      <c r="C48" s="34"/>
      <c r="D48" s="64">
        <f>1000000/40000</f>
        <v>25</v>
      </c>
      <c r="H48" s="3" t="s">
        <v>317</v>
      </c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</row>
    <row r="49" spans="1:42" ht="13.8" hidden="1" thickBot="1">
      <c r="B49" s="3"/>
      <c r="C49" s="45"/>
      <c r="D49" s="262"/>
      <c r="E49" s="263"/>
      <c r="F49" s="263"/>
      <c r="G49" s="263"/>
      <c r="H49" s="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</row>
    <row r="50" spans="1:42" ht="13.8" hidden="1" thickBot="1">
      <c r="A50" s="40" t="s">
        <v>213</v>
      </c>
      <c r="B50" s="3"/>
      <c r="C50" s="45"/>
      <c r="D50" s="56"/>
      <c r="E50" s="56"/>
      <c r="F50" s="56"/>
      <c r="G50" s="56"/>
      <c r="H50" s="3" t="s">
        <v>316</v>
      </c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</row>
    <row r="51" spans="1:42" ht="13.8" hidden="1" thickBot="1"/>
    <row r="52" spans="1:42" ht="13.8" hidden="1" thickBot="1">
      <c r="A52" s="40" t="s">
        <v>781</v>
      </c>
      <c r="B52" s="3"/>
      <c r="C52" s="42"/>
      <c r="D52" s="88" t="s">
        <v>767</v>
      </c>
      <c r="E52" s="88" t="str">
        <f>D52</f>
        <v>NA</v>
      </c>
      <c r="F52" s="88"/>
      <c r="G52" s="88"/>
      <c r="H52" s="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</row>
    <row r="53" spans="1:42" ht="13.8" hidden="1" thickBot="1">
      <c r="A53" s="40"/>
      <c r="B53" s="3"/>
      <c r="C53" s="42"/>
      <c r="D53" s="37"/>
      <c r="E53" s="37"/>
      <c r="F53" s="37"/>
      <c r="G53" s="37"/>
      <c r="H53" s="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</row>
    <row r="54" spans="1:42" ht="13.8" thickBot="1">
      <c r="A54" s="40" t="s">
        <v>495</v>
      </c>
      <c r="B54" s="41"/>
      <c r="C54" s="42"/>
      <c r="D54" s="88" t="s">
        <v>767</v>
      </c>
      <c r="E54" s="88" t="str">
        <f>D54</f>
        <v>NA</v>
      </c>
      <c r="F54" s="88" t="str">
        <f>E54</f>
        <v>NA</v>
      </c>
      <c r="G54" s="88" t="str">
        <f>F54</f>
        <v>NA</v>
      </c>
      <c r="H54" s="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</row>
    <row r="55" spans="1:42" ht="13.8" thickBot="1">
      <c r="A55" s="22"/>
      <c r="B55" s="3"/>
      <c r="C55" s="3"/>
      <c r="D55" s="3"/>
      <c r="E55" s="3"/>
      <c r="F55" s="3"/>
      <c r="G55" s="3"/>
      <c r="H55" s="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</row>
    <row r="56" spans="1:42" ht="13.8" thickBot="1">
      <c r="A56" s="40" t="s">
        <v>782</v>
      </c>
      <c r="B56" s="3"/>
      <c r="C56" s="3"/>
      <c r="D56" s="56">
        <f>'O&amp;M_Backup'!D262</f>
        <v>200000</v>
      </c>
      <c r="E56" s="264">
        <f>D56</f>
        <v>200000</v>
      </c>
      <c r="F56" s="264">
        <f>E56</f>
        <v>200000</v>
      </c>
      <c r="G56" s="264">
        <f>F56</f>
        <v>200000</v>
      </c>
      <c r="H56" s="3" t="s">
        <v>316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</row>
    <row r="57" spans="1:42">
      <c r="A57" s="3"/>
      <c r="B57" s="3"/>
      <c r="C57" s="3"/>
      <c r="D57" s="3"/>
      <c r="E57" s="3"/>
      <c r="F57" s="3"/>
      <c r="G57" s="3"/>
      <c r="H57" s="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</row>
    <row r="58" spans="1:42">
      <c r="A58" s="3"/>
      <c r="B58" s="3"/>
      <c r="C58" s="3"/>
      <c r="D58" s="3"/>
      <c r="E58" s="3"/>
      <c r="F58" s="3"/>
      <c r="G58" s="3"/>
      <c r="H58" s="3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</row>
    <row r="59" spans="1:42">
      <c r="A59" s="3"/>
      <c r="B59" s="3"/>
      <c r="C59" s="3"/>
      <c r="D59" s="3"/>
      <c r="E59" s="3"/>
      <c r="F59" s="3"/>
      <c r="G59" s="3"/>
      <c r="H59" s="3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</row>
    <row r="60" spans="1:42">
      <c r="A60" s="3"/>
      <c r="B60" s="3"/>
      <c r="C60" s="3"/>
      <c r="D60" s="3"/>
      <c r="E60" s="3"/>
      <c r="F60" s="3"/>
      <c r="G60" s="3"/>
      <c r="H60" s="3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</row>
    <row r="61" spans="1:42">
      <c r="A61" s="3"/>
      <c r="B61" s="3"/>
      <c r="C61" s="3"/>
      <c r="D61" s="3"/>
      <c r="E61" s="3"/>
      <c r="F61" s="3"/>
      <c r="G61" s="3"/>
      <c r="H61" s="3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</row>
    <row r="62" spans="1:42">
      <c r="A62" s="3"/>
      <c r="B62" s="3"/>
      <c r="C62" s="3"/>
      <c r="D62" s="3"/>
      <c r="E62" s="3"/>
      <c r="F62" s="3"/>
      <c r="G62" s="3"/>
      <c r="H62" s="3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</row>
    <row r="63" spans="1:42">
      <c r="A63" s="3"/>
      <c r="B63" s="3"/>
      <c r="C63" s="3"/>
      <c r="D63" s="3"/>
      <c r="E63" s="3"/>
      <c r="F63" s="3"/>
      <c r="G63" s="3"/>
      <c r="H63" s="3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</row>
    <row r="64" spans="1:42">
      <c r="A64" s="3"/>
      <c r="B64" s="3"/>
      <c r="C64" s="3"/>
      <c r="D64" s="3"/>
      <c r="E64" s="3"/>
      <c r="F64" s="3"/>
      <c r="G64" s="3"/>
      <c r="H64" s="3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</row>
    <row r="65" spans="1:42">
      <c r="A65" s="3"/>
      <c r="B65" s="3"/>
      <c r="C65" s="3"/>
      <c r="D65" s="3"/>
      <c r="E65" s="3"/>
      <c r="F65" s="3"/>
      <c r="G65" s="3"/>
      <c r="H65" s="3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</row>
    <row r="66" spans="1:42">
      <c r="A66" s="3"/>
      <c r="B66" s="3"/>
      <c r="C66" s="3"/>
      <c r="D66" s="3"/>
      <c r="E66" s="3"/>
      <c r="F66" s="3"/>
      <c r="G66" s="3"/>
      <c r="H66" s="3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</row>
    <row r="67" spans="1:42">
      <c r="A67" s="3"/>
      <c r="B67" s="3"/>
      <c r="C67" s="3"/>
      <c r="D67" s="3"/>
      <c r="E67" s="3"/>
      <c r="F67" s="3"/>
      <c r="G67" s="3"/>
      <c r="H67" s="3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</row>
    <row r="68" spans="1:42">
      <c r="A68" s="3"/>
      <c r="B68" s="3"/>
      <c r="C68" s="3"/>
      <c r="D68" s="3"/>
      <c r="E68" s="3"/>
      <c r="F68" s="3"/>
      <c r="G68" s="3"/>
      <c r="H68" s="3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</row>
    <row r="69" spans="1:42">
      <c r="A69" s="3"/>
      <c r="B69" s="3"/>
      <c r="C69" s="3"/>
      <c r="D69" s="3"/>
      <c r="E69" s="3"/>
      <c r="F69" s="3"/>
      <c r="G69" s="3"/>
      <c r="H69" s="3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</row>
    <row r="70" spans="1:42">
      <c r="A70" s="3"/>
      <c r="B70" s="3"/>
      <c r="C70" s="3"/>
      <c r="D70" s="3"/>
      <c r="E70" s="3"/>
      <c r="F70" s="3"/>
      <c r="G70" s="3"/>
      <c r="H70" s="3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</row>
    <row r="71" spans="1:42">
      <c r="A71" s="3"/>
      <c r="B71" s="3"/>
      <c r="C71" s="3"/>
      <c r="D71" s="3"/>
      <c r="E71" s="3"/>
      <c r="F71" s="3"/>
      <c r="G71" s="3"/>
      <c r="H71" s="3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</row>
    <row r="72" spans="1:42">
      <c r="A72" s="3"/>
      <c r="B72" s="3"/>
      <c r="C72" s="3"/>
      <c r="D72" s="3"/>
      <c r="E72" s="3"/>
      <c r="F72" s="3"/>
      <c r="G72" s="3"/>
      <c r="H72" s="3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</row>
    <row r="73" spans="1:42">
      <c r="A73" s="3"/>
      <c r="B73" s="3"/>
      <c r="C73" s="3"/>
      <c r="D73" s="3"/>
      <c r="E73" s="3"/>
      <c r="F73" s="3"/>
      <c r="G73" s="3"/>
      <c r="H73" s="3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</row>
    <row r="74" spans="1:42">
      <c r="A74" s="3"/>
      <c r="B74" s="3"/>
      <c r="C74" s="3"/>
      <c r="D74" s="3"/>
      <c r="E74" s="3"/>
      <c r="F74" s="3"/>
      <c r="G74" s="3"/>
      <c r="H74" s="3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</row>
    <row r="75" spans="1:42">
      <c r="A75" s="3"/>
      <c r="B75" s="3"/>
      <c r="C75" s="3"/>
      <c r="D75" s="3"/>
      <c r="E75" s="3"/>
      <c r="F75" s="3"/>
      <c r="G75" s="3"/>
      <c r="H75" s="3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</row>
    <row r="76" spans="1:42">
      <c r="A76" s="3"/>
      <c r="B76" s="3"/>
      <c r="C76" s="3"/>
      <c r="D76" s="3"/>
      <c r="E76" s="3"/>
      <c r="F76" s="3"/>
      <c r="G76" s="3"/>
      <c r="H76" s="3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</row>
    <row r="77" spans="1:42">
      <c r="A77" s="3"/>
      <c r="B77" s="3"/>
      <c r="C77" s="3"/>
      <c r="D77" s="3"/>
      <c r="E77" s="3"/>
      <c r="F77" s="3"/>
      <c r="G77" s="3"/>
      <c r="H77" s="3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</row>
    <row r="78" spans="1:42">
      <c r="A78" s="3"/>
      <c r="B78" s="3"/>
      <c r="C78" s="3"/>
      <c r="D78" s="3"/>
      <c r="E78" s="3"/>
      <c r="F78" s="3"/>
      <c r="G78" s="3"/>
      <c r="H78" s="3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</row>
    <row r="79" spans="1:42">
      <c r="A79" s="3"/>
      <c r="B79" s="3"/>
      <c r="C79" s="3"/>
      <c r="D79" s="3"/>
      <c r="E79" s="3"/>
      <c r="F79" s="3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</row>
    <row r="80" spans="1:42">
      <c r="A80" s="3"/>
      <c r="B80" s="3"/>
      <c r="C80" s="3"/>
      <c r="D80" s="3"/>
      <c r="E80" s="3"/>
      <c r="F80" s="3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</row>
    <row r="81" spans="1:42">
      <c r="A81" s="3"/>
      <c r="B81" s="3"/>
      <c r="C81" s="3"/>
      <c r="D81" s="3"/>
      <c r="E81" s="3"/>
      <c r="F81" s="3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</row>
    <row r="82" spans="1:42">
      <c r="A82" s="3"/>
      <c r="B82" s="3"/>
      <c r="C82" s="3"/>
      <c r="D82" s="3"/>
      <c r="E82" s="3"/>
      <c r="F82" s="3"/>
      <c r="G82" s="3"/>
      <c r="H82" s="3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</row>
    <row r="83" spans="1:42">
      <c r="A83" s="3"/>
      <c r="B83" s="3"/>
      <c r="C83" s="3"/>
      <c r="D83" s="3"/>
      <c r="E83" s="3"/>
      <c r="F83" s="3"/>
      <c r="G83" s="3"/>
      <c r="H83" s="3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</row>
    <row r="84" spans="1:42">
      <c r="A84" s="3"/>
      <c r="B84" s="3"/>
      <c r="C84" s="3"/>
      <c r="D84" s="3"/>
      <c r="E84" s="3"/>
      <c r="F84" s="3"/>
      <c r="G84" s="3"/>
      <c r="H84" s="3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</row>
    <row r="85" spans="1:42">
      <c r="A85" s="3"/>
      <c r="B85" s="3"/>
      <c r="C85" s="3"/>
      <c r="D85" s="3"/>
      <c r="E85" s="3"/>
      <c r="F85" s="3"/>
      <c r="G85" s="3"/>
      <c r="H85" s="3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</row>
    <row r="86" spans="1:42">
      <c r="A86" s="3"/>
      <c r="B86" s="3"/>
      <c r="C86" s="3"/>
      <c r="D86" s="3"/>
      <c r="E86" s="3"/>
      <c r="F86" s="3"/>
      <c r="G86" s="3"/>
      <c r="H86" s="3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</row>
    <row r="87" spans="1:42">
      <c r="A87" s="3"/>
      <c r="B87" s="3"/>
      <c r="C87" s="3"/>
      <c r="D87" s="3"/>
      <c r="E87" s="3"/>
      <c r="F87" s="3"/>
      <c r="G87" s="3"/>
      <c r="H87" s="3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</row>
    <row r="88" spans="1:42">
      <c r="A88" s="3"/>
      <c r="B88" s="3"/>
      <c r="C88" s="3"/>
      <c r="D88" s="3"/>
      <c r="E88" s="3"/>
      <c r="F88" s="3"/>
      <c r="G88" s="3"/>
      <c r="H88" s="3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</row>
    <row r="89" spans="1:42">
      <c r="A89" s="3"/>
      <c r="B89" s="3"/>
      <c r="C89" s="3"/>
      <c r="D89" s="3"/>
      <c r="E89" s="3"/>
      <c r="F89" s="3"/>
      <c r="G89" s="3"/>
      <c r="H89" s="3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</row>
    <row r="90" spans="1:42">
      <c r="A90" s="3"/>
      <c r="B90" s="3"/>
      <c r="C90" s="3"/>
      <c r="D90" s="3"/>
      <c r="E90" s="3"/>
      <c r="F90" s="3"/>
      <c r="G90" s="3"/>
      <c r="H90" s="3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</row>
    <row r="91" spans="1:42">
      <c r="A91" s="3"/>
      <c r="B91" s="3"/>
      <c r="C91" s="3"/>
      <c r="D91" s="3"/>
      <c r="E91" s="3"/>
      <c r="F91" s="3"/>
      <c r="G91" s="3"/>
      <c r="H91" s="3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</row>
    <row r="92" spans="1:42">
      <c r="A92" s="3"/>
      <c r="B92" s="3"/>
      <c r="C92" s="3"/>
      <c r="D92" s="3"/>
      <c r="E92" s="3"/>
      <c r="F92" s="3"/>
      <c r="G92" s="3"/>
      <c r="H92" s="3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</row>
    <row r="93" spans="1:42">
      <c r="A93" s="3"/>
      <c r="B93" s="3"/>
      <c r="C93" s="3"/>
      <c r="D93" s="3"/>
      <c r="E93" s="3"/>
      <c r="F93" s="3"/>
      <c r="G93" s="3"/>
      <c r="H93" s="3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</row>
    <row r="94" spans="1:42">
      <c r="A94" s="3"/>
      <c r="B94" s="3"/>
      <c r="C94" s="3"/>
      <c r="D94" s="3"/>
      <c r="E94" s="3"/>
      <c r="F94" s="3"/>
      <c r="G94" s="3"/>
      <c r="H94" s="3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</row>
    <row r="95" spans="1:42">
      <c r="A95" s="3"/>
      <c r="B95" s="3"/>
      <c r="C95" s="3"/>
      <c r="D95" s="3"/>
      <c r="E95" s="3"/>
      <c r="F95" s="3"/>
      <c r="G95" s="3"/>
      <c r="H95" s="3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</row>
    <row r="96" spans="1:42">
      <c r="A96" s="3"/>
      <c r="B96" s="3"/>
      <c r="C96" s="3"/>
      <c r="D96" s="3"/>
      <c r="E96" s="3"/>
      <c r="F96" s="3"/>
      <c r="G96" s="3"/>
      <c r="H96" s="3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</row>
    <row r="97" spans="1:42">
      <c r="A97" s="3"/>
      <c r="B97" s="3"/>
      <c r="C97" s="3"/>
      <c r="D97" s="3"/>
      <c r="E97" s="3"/>
      <c r="F97" s="3"/>
      <c r="G97" s="3"/>
      <c r="H97" s="3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</row>
    <row r="98" spans="1:42">
      <c r="A98" s="3"/>
      <c r="B98" s="3"/>
      <c r="C98" s="3"/>
      <c r="D98" s="3"/>
      <c r="E98" s="3"/>
      <c r="F98" s="3"/>
      <c r="G98" s="3"/>
      <c r="H98" s="3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</row>
    <row r="99" spans="1:42">
      <c r="A99" s="3"/>
      <c r="B99" s="3"/>
      <c r="C99" s="3"/>
      <c r="D99" s="3"/>
      <c r="E99" s="3"/>
      <c r="F99" s="3"/>
      <c r="G99" s="3"/>
      <c r="H99" s="3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</row>
    <row r="100" spans="1:42">
      <c r="A100" s="3"/>
      <c r="B100" s="3"/>
      <c r="C100" s="3"/>
      <c r="D100" s="3"/>
      <c r="E100" s="3"/>
      <c r="F100" s="3"/>
      <c r="G100" s="3"/>
      <c r="H100" s="3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</row>
    <row r="101" spans="1:42">
      <c r="A101" s="3"/>
      <c r="B101" s="3"/>
      <c r="C101" s="3"/>
      <c r="D101" s="3"/>
      <c r="E101" s="3"/>
      <c r="F101" s="3"/>
      <c r="G101" s="3"/>
      <c r="H101" s="3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</row>
    <row r="102" spans="1:42">
      <c r="A102" s="3"/>
      <c r="B102" s="3"/>
      <c r="C102" s="3"/>
      <c r="D102" s="3"/>
      <c r="E102" s="3"/>
      <c r="F102" s="3"/>
      <c r="G102" s="3"/>
      <c r="H102" s="3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</row>
    <row r="103" spans="1:42">
      <c r="A103" s="3"/>
      <c r="B103" s="3"/>
      <c r="C103" s="3"/>
      <c r="D103" s="3"/>
      <c r="E103" s="3"/>
      <c r="F103" s="3"/>
      <c r="G103" s="3"/>
      <c r="H103" s="3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</row>
    <row r="104" spans="1:42">
      <c r="A104" s="3"/>
      <c r="B104" s="3"/>
      <c r="C104" s="3"/>
      <c r="D104" s="3"/>
      <c r="E104" s="3"/>
      <c r="F104" s="3"/>
      <c r="G104" s="3"/>
      <c r="H104" s="3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>
      <c r="A105" s="3"/>
      <c r="B105" s="3"/>
      <c r="C105" s="3"/>
      <c r="D105" s="3"/>
      <c r="E105" s="3"/>
      <c r="F105" s="3"/>
      <c r="G105" s="3"/>
      <c r="H105" s="3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</row>
    <row r="106" spans="1:42">
      <c r="A106" s="3"/>
      <c r="B106" s="3"/>
      <c r="C106" s="3"/>
      <c r="D106" s="3"/>
      <c r="E106" s="3"/>
      <c r="F106" s="3"/>
      <c r="G106" s="3"/>
      <c r="H106" s="3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</row>
    <row r="107" spans="1:42">
      <c r="A107" s="3"/>
      <c r="B107" s="3"/>
      <c r="C107" s="3"/>
      <c r="D107" s="3"/>
      <c r="E107" s="3"/>
      <c r="F107" s="3"/>
      <c r="G107" s="3"/>
      <c r="H107" s="3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</row>
    <row r="108" spans="1:42">
      <c r="A108" s="3"/>
      <c r="B108" s="3"/>
      <c r="C108" s="3"/>
      <c r="D108" s="3"/>
      <c r="E108" s="3"/>
      <c r="F108" s="3"/>
      <c r="G108" s="3"/>
      <c r="H108" s="3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</row>
    <row r="109" spans="1:42">
      <c r="A109" s="3"/>
      <c r="B109" s="3"/>
      <c r="C109" s="3"/>
      <c r="D109" s="3"/>
      <c r="E109" s="3"/>
      <c r="F109" s="3"/>
      <c r="G109" s="3"/>
      <c r="H109" s="3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</row>
    <row r="110" spans="1:42">
      <c r="A110" s="3"/>
      <c r="B110" s="3"/>
      <c r="C110" s="3"/>
      <c r="D110" s="3"/>
      <c r="E110" s="3"/>
      <c r="F110" s="3"/>
      <c r="G110" s="3"/>
      <c r="H110" s="3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</row>
    <row r="111" spans="1:42">
      <c r="A111" s="3"/>
      <c r="B111" s="3"/>
      <c r="C111" s="3"/>
      <c r="D111" s="3"/>
      <c r="E111" s="3"/>
      <c r="F111" s="3"/>
      <c r="G111" s="3"/>
      <c r="H111" s="3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</row>
    <row r="112" spans="1:42">
      <c r="A112" s="3"/>
      <c r="B112" s="3"/>
      <c r="C112" s="3"/>
      <c r="D112" s="3"/>
      <c r="E112" s="3"/>
      <c r="F112" s="3"/>
      <c r="G112" s="3"/>
      <c r="H112" s="3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</row>
    <row r="113" spans="1:42">
      <c r="A113" s="3"/>
      <c r="B113" s="3"/>
      <c r="C113" s="3"/>
      <c r="D113" s="3"/>
      <c r="E113" s="3"/>
      <c r="F113" s="3"/>
      <c r="G113" s="3"/>
      <c r="H113" s="3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</row>
    <row r="114" spans="1:42">
      <c r="A114" s="3"/>
      <c r="B114" s="3"/>
      <c r="C114" s="3"/>
      <c r="D114" s="3"/>
      <c r="E114" s="3"/>
      <c r="F114" s="3"/>
      <c r="G114" s="3"/>
      <c r="H114" s="3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</row>
    <row r="115" spans="1:42">
      <c r="A115" s="3"/>
      <c r="B115" s="3"/>
      <c r="C115" s="3"/>
      <c r="D115" s="3"/>
      <c r="E115" s="3"/>
      <c r="F115" s="3"/>
      <c r="G115" s="3"/>
      <c r="H115" s="3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</row>
    <row r="116" spans="1:42">
      <c r="A116" s="3"/>
      <c r="B116" s="3"/>
      <c r="C116" s="3"/>
      <c r="D116" s="3"/>
      <c r="E116" s="3"/>
      <c r="F116" s="3"/>
      <c r="G116" s="3"/>
      <c r="H116" s="3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</row>
    <row r="117" spans="1:42">
      <c r="A117" s="3"/>
      <c r="B117" s="3"/>
      <c r="C117" s="3"/>
      <c r="D117" s="3"/>
      <c r="E117" s="3"/>
      <c r="F117" s="3"/>
      <c r="G117" s="3"/>
      <c r="H117" s="3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</row>
    <row r="118" spans="1:42">
      <c r="A118" s="3"/>
      <c r="B118" s="3"/>
      <c r="C118" s="3"/>
      <c r="D118" s="3"/>
      <c r="E118" s="3"/>
      <c r="F118" s="3"/>
      <c r="G118" s="3"/>
      <c r="H118" s="3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</row>
    <row r="119" spans="1:42">
      <c r="A119" s="3"/>
      <c r="B119" s="3"/>
      <c r="C119" s="3"/>
      <c r="D119" s="3"/>
      <c r="E119" s="3"/>
      <c r="F119" s="3"/>
      <c r="G119" s="3"/>
      <c r="H119" s="3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</row>
    <row r="120" spans="1:42">
      <c r="A120" s="3"/>
      <c r="B120" s="3"/>
      <c r="C120" s="3"/>
      <c r="D120" s="3"/>
      <c r="E120" s="3"/>
      <c r="F120" s="3"/>
      <c r="G120" s="3"/>
      <c r="H120" s="3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</row>
    <row r="121" spans="1:42">
      <c r="A121" s="3"/>
      <c r="B121" s="3"/>
      <c r="C121" s="3"/>
      <c r="D121" s="3"/>
      <c r="E121" s="3"/>
      <c r="F121" s="3"/>
      <c r="G121" s="3"/>
      <c r="H121" s="3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</row>
    <row r="122" spans="1:42">
      <c r="A122" s="3"/>
      <c r="B122" s="3"/>
      <c r="C122" s="3"/>
      <c r="D122" s="3"/>
      <c r="E122" s="3"/>
      <c r="F122" s="3"/>
      <c r="G122" s="3"/>
      <c r="H122" s="3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</row>
    <row r="123" spans="1:42">
      <c r="A123" s="3"/>
      <c r="B123" s="3"/>
      <c r="C123" s="3"/>
      <c r="D123" s="3"/>
      <c r="E123" s="3"/>
      <c r="F123" s="3"/>
      <c r="G123" s="3"/>
      <c r="H123" s="3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</row>
    <row r="124" spans="1:42">
      <c r="A124" s="3"/>
      <c r="B124" s="3"/>
      <c r="C124" s="3"/>
      <c r="D124" s="3"/>
      <c r="E124" s="3"/>
      <c r="F124" s="3"/>
      <c r="G124" s="3"/>
      <c r="H124" s="3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</row>
    <row r="125" spans="1:42">
      <c r="A125" s="3"/>
      <c r="B125" s="3"/>
      <c r="C125" s="3"/>
      <c r="D125" s="3"/>
      <c r="E125" s="3"/>
      <c r="F125" s="3"/>
      <c r="G125" s="3"/>
      <c r="H125" s="3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</row>
    <row r="126" spans="1:42">
      <c r="A126" s="3"/>
      <c r="B126" s="3"/>
      <c r="C126" s="3"/>
      <c r="D126" s="3"/>
      <c r="E126" s="3"/>
      <c r="F126" s="3"/>
      <c r="G126" s="3"/>
      <c r="H126" s="3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</row>
    <row r="127" spans="1:42">
      <c r="A127" s="3"/>
      <c r="B127" s="3"/>
      <c r="C127" s="3"/>
      <c r="D127" s="3"/>
      <c r="E127" s="3"/>
      <c r="F127" s="3"/>
      <c r="G127" s="3"/>
      <c r="H127" s="3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</row>
    <row r="128" spans="1:42">
      <c r="A128" s="3"/>
      <c r="B128" s="3"/>
      <c r="C128" s="3"/>
      <c r="D128" s="3"/>
      <c r="E128" s="3"/>
      <c r="F128" s="3"/>
      <c r="G128" s="3"/>
      <c r="H128" s="3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</row>
    <row r="129" spans="1:42">
      <c r="A129" s="3"/>
      <c r="B129" s="3"/>
      <c r="C129" s="3"/>
      <c r="D129" s="3"/>
      <c r="E129" s="3"/>
      <c r="F129" s="3"/>
      <c r="G129" s="3"/>
      <c r="H129" s="3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</row>
    <row r="130" spans="1:42">
      <c r="A130" s="3"/>
      <c r="B130" s="3"/>
      <c r="C130" s="3"/>
      <c r="D130" s="3"/>
      <c r="E130" s="3"/>
      <c r="F130" s="3"/>
      <c r="G130" s="3"/>
      <c r="H130" s="3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</row>
    <row r="131" spans="1:42">
      <c r="A131" s="3"/>
      <c r="B131" s="3"/>
      <c r="C131" s="3"/>
      <c r="D131" s="3"/>
      <c r="E131" s="3"/>
      <c r="F131" s="3"/>
      <c r="G131" s="3"/>
      <c r="H131" s="3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</row>
    <row r="132" spans="1:42">
      <c r="A132" s="3"/>
      <c r="B132" s="3"/>
      <c r="C132" s="3"/>
      <c r="D132" s="3"/>
      <c r="E132" s="3"/>
      <c r="F132" s="3"/>
      <c r="G132" s="3"/>
      <c r="H132" s="3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</row>
    <row r="133" spans="1:42">
      <c r="A133" s="3"/>
      <c r="B133" s="3"/>
      <c r="C133" s="3"/>
      <c r="D133" s="3"/>
      <c r="E133" s="3"/>
      <c r="F133" s="3"/>
      <c r="G133" s="3"/>
      <c r="H133" s="3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</row>
    <row r="134" spans="1:42">
      <c r="A134" s="3"/>
      <c r="B134" s="3"/>
      <c r="C134" s="3"/>
      <c r="D134" s="3"/>
      <c r="E134" s="3"/>
      <c r="F134" s="3"/>
      <c r="G134" s="3"/>
      <c r="H134" s="3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</row>
    <row r="135" spans="1:42">
      <c r="A135" s="3"/>
      <c r="B135" s="3"/>
      <c r="C135" s="3"/>
      <c r="D135" s="3"/>
      <c r="E135" s="3"/>
      <c r="F135" s="3"/>
      <c r="G135" s="3"/>
      <c r="H135" s="3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</row>
    <row r="136" spans="1:42">
      <c r="A136" s="3"/>
      <c r="B136" s="3"/>
      <c r="C136" s="3"/>
      <c r="D136" s="3"/>
      <c r="E136" s="3"/>
      <c r="F136" s="3"/>
      <c r="G136" s="3"/>
      <c r="H136" s="3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</row>
    <row r="137" spans="1:42">
      <c r="A137" s="3"/>
      <c r="B137" s="3"/>
      <c r="C137" s="3"/>
      <c r="D137" s="3"/>
      <c r="E137" s="3"/>
      <c r="F137" s="3"/>
      <c r="G137" s="3"/>
      <c r="H137" s="3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</row>
    <row r="138" spans="1:42">
      <c r="A138" s="3"/>
      <c r="B138" s="3"/>
      <c r="C138" s="3"/>
      <c r="D138" s="3"/>
      <c r="E138" s="3"/>
      <c r="F138" s="3"/>
      <c r="G138" s="3"/>
      <c r="H138" s="3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</row>
    <row r="139" spans="1:42">
      <c r="A139" s="3"/>
      <c r="B139" s="3"/>
      <c r="C139" s="3"/>
      <c r="D139" s="3"/>
      <c r="E139" s="3"/>
      <c r="F139" s="3"/>
      <c r="G139" s="3"/>
      <c r="H139" s="3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</row>
    <row r="140" spans="1:42">
      <c r="A140" s="3"/>
      <c r="B140" s="3"/>
      <c r="C140" s="3"/>
      <c r="D140" s="3"/>
      <c r="E140" s="3"/>
      <c r="F140" s="3"/>
      <c r="G140" s="3"/>
      <c r="H140" s="3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</row>
    <row r="141" spans="1:42">
      <c r="A141" s="3"/>
      <c r="B141" s="3"/>
      <c r="C141" s="3"/>
      <c r="D141" s="3"/>
      <c r="E141" s="3"/>
      <c r="F141" s="3"/>
      <c r="G141" s="3"/>
      <c r="H141" s="3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</row>
    <row r="142" spans="1:42">
      <c r="A142" s="3"/>
      <c r="B142" s="3"/>
      <c r="C142" s="3"/>
      <c r="D142" s="3"/>
      <c r="E142" s="3"/>
      <c r="F142" s="3"/>
      <c r="G142" s="3"/>
      <c r="H142" s="3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</row>
    <row r="143" spans="1:42">
      <c r="A143" s="3"/>
      <c r="B143" s="3"/>
      <c r="C143" s="3"/>
      <c r="D143" s="3"/>
      <c r="E143" s="3"/>
      <c r="F143" s="3"/>
      <c r="G143" s="3"/>
      <c r="H143" s="3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</row>
    <row r="144" spans="1:42">
      <c r="A144" s="3"/>
      <c r="B144" s="3"/>
      <c r="C144" s="3"/>
      <c r="D144" s="3"/>
      <c r="E144" s="3"/>
      <c r="F144" s="3"/>
      <c r="G144" s="3"/>
      <c r="H144" s="3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</row>
    <row r="145" spans="1:42">
      <c r="A145" s="3"/>
      <c r="B145" s="3"/>
      <c r="C145" s="3"/>
      <c r="D145" s="3"/>
      <c r="E145" s="3"/>
      <c r="F145" s="3"/>
      <c r="G145" s="3"/>
      <c r="H145" s="3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</row>
    <row r="146" spans="1:42">
      <c r="A146" s="3"/>
      <c r="B146" s="3"/>
      <c r="C146" s="3"/>
      <c r="D146" s="3"/>
      <c r="E146" s="3"/>
      <c r="F146" s="3"/>
      <c r="G146" s="3"/>
      <c r="H146" s="3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</row>
    <row r="147" spans="1:42">
      <c r="A147" s="3"/>
      <c r="B147" s="3"/>
      <c r="C147" s="3"/>
      <c r="D147" s="3"/>
      <c r="E147" s="3"/>
      <c r="F147" s="3"/>
      <c r="G147" s="3"/>
      <c r="H147" s="3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</row>
    <row r="148" spans="1:42">
      <c r="A148" s="3"/>
      <c r="B148" s="3"/>
      <c r="C148" s="3"/>
      <c r="D148" s="3"/>
      <c r="E148" s="3"/>
      <c r="F148" s="3"/>
      <c r="G148" s="3"/>
      <c r="H148" s="3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</row>
    <row r="149" spans="1:42">
      <c r="A149" s="3"/>
      <c r="B149" s="3"/>
      <c r="C149" s="3"/>
      <c r="D149" s="3"/>
      <c r="E149" s="3"/>
      <c r="F149" s="3"/>
      <c r="G149" s="3"/>
      <c r="H149" s="3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</row>
    <row r="150" spans="1:42">
      <c r="A150" s="3"/>
      <c r="B150" s="3"/>
      <c r="C150" s="3"/>
      <c r="D150" s="3"/>
      <c r="E150" s="3"/>
      <c r="F150" s="3"/>
      <c r="G150" s="3"/>
      <c r="H150" s="3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</row>
    <row r="151" spans="1:42">
      <c r="A151" s="3"/>
      <c r="B151" s="3"/>
      <c r="C151" s="3"/>
      <c r="D151" s="3"/>
      <c r="E151" s="3"/>
      <c r="F151" s="3"/>
      <c r="G151" s="3"/>
      <c r="H151" s="3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</row>
    <row r="152" spans="1:42">
      <c r="A152" s="3"/>
      <c r="B152" s="3"/>
      <c r="C152" s="3"/>
      <c r="D152" s="3"/>
      <c r="E152" s="3"/>
      <c r="F152" s="3"/>
      <c r="G152" s="3"/>
      <c r="H152" s="3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</row>
    <row r="153" spans="1:42">
      <c r="A153" s="3"/>
      <c r="B153" s="3"/>
      <c r="C153" s="3"/>
      <c r="D153" s="3"/>
      <c r="E153" s="3"/>
      <c r="F153" s="3"/>
      <c r="G153" s="3"/>
      <c r="H153" s="3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</row>
    <row r="154" spans="1:42">
      <c r="A154" s="3"/>
      <c r="B154" s="3"/>
      <c r="C154" s="3"/>
      <c r="D154" s="3"/>
      <c r="E154" s="3"/>
      <c r="F154" s="3"/>
      <c r="G154" s="3"/>
      <c r="H154" s="3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</row>
    <row r="155" spans="1:42">
      <c r="A155" s="3"/>
      <c r="B155" s="3"/>
      <c r="C155" s="3"/>
      <c r="D155" s="3"/>
      <c r="E155" s="3"/>
      <c r="F155" s="3"/>
      <c r="G155" s="3"/>
      <c r="H155" s="3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</row>
    <row r="156" spans="1:42">
      <c r="A156" s="3"/>
      <c r="B156" s="3"/>
      <c r="C156" s="3"/>
      <c r="D156" s="3"/>
      <c r="E156" s="3"/>
      <c r="F156" s="3"/>
      <c r="G156" s="3"/>
      <c r="H156" s="3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</row>
    <row r="157" spans="1:42">
      <c r="A157" s="3"/>
      <c r="B157" s="3"/>
      <c r="C157" s="3"/>
      <c r="D157" s="3"/>
      <c r="E157" s="3"/>
      <c r="F157" s="3"/>
      <c r="G157" s="3"/>
      <c r="H157" s="3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</row>
    <row r="158" spans="1:42">
      <c r="A158" s="3"/>
      <c r="B158" s="3"/>
      <c r="C158" s="3"/>
      <c r="D158" s="3"/>
      <c r="E158" s="3"/>
      <c r="F158" s="3"/>
      <c r="G158" s="3"/>
      <c r="H158" s="3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</row>
    <row r="159" spans="1:42">
      <c r="A159" s="3"/>
      <c r="B159" s="3"/>
      <c r="C159" s="3"/>
      <c r="D159" s="3"/>
      <c r="E159" s="3"/>
      <c r="F159" s="3"/>
      <c r="G159" s="3"/>
      <c r="H159" s="3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</row>
    <row r="160" spans="1:42">
      <c r="A160" s="3"/>
      <c r="B160" s="3"/>
      <c r="C160" s="3"/>
      <c r="D160" s="3"/>
      <c r="E160" s="3"/>
      <c r="F160" s="3"/>
      <c r="G160" s="3"/>
      <c r="H160" s="3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</row>
    <row r="161" spans="1:42">
      <c r="A161" s="3"/>
      <c r="B161" s="3"/>
      <c r="C161" s="3"/>
      <c r="D161" s="3"/>
      <c r="E161" s="3"/>
      <c r="F161" s="3"/>
      <c r="G161" s="3"/>
      <c r="H161" s="3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</row>
    <row r="162" spans="1:42">
      <c r="A162" s="3"/>
      <c r="B162" s="3"/>
      <c r="C162" s="3"/>
      <c r="D162" s="3"/>
      <c r="E162" s="3"/>
      <c r="F162" s="3"/>
      <c r="G162" s="3"/>
      <c r="H162" s="3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</row>
    <row r="163" spans="1:42">
      <c r="A163" s="3"/>
      <c r="B163" s="3"/>
      <c r="C163" s="3"/>
      <c r="D163" s="3"/>
      <c r="E163" s="3"/>
      <c r="F163" s="3"/>
      <c r="G163" s="3"/>
      <c r="H163" s="3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</row>
    <row r="164" spans="1:42">
      <c r="A164" s="3"/>
      <c r="B164" s="3"/>
      <c r="C164" s="3"/>
      <c r="D164" s="3"/>
      <c r="E164" s="3"/>
      <c r="F164" s="3"/>
      <c r="G164" s="3"/>
      <c r="H164" s="3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</row>
    <row r="165" spans="1:42">
      <c r="A165" s="3"/>
      <c r="B165" s="3"/>
      <c r="C165" s="3"/>
      <c r="D165" s="3"/>
      <c r="E165" s="3"/>
      <c r="F165" s="3"/>
      <c r="G165" s="3"/>
      <c r="H165" s="3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</row>
    <row r="166" spans="1:42">
      <c r="A166" s="3"/>
      <c r="B166" s="3"/>
      <c r="C166" s="3"/>
      <c r="D166" s="3"/>
      <c r="E166" s="3"/>
      <c r="F166" s="3"/>
      <c r="G166" s="3"/>
      <c r="H166" s="3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</row>
    <row r="167" spans="1:42">
      <c r="A167" s="3"/>
      <c r="B167" s="3"/>
      <c r="C167" s="3"/>
      <c r="D167" s="3"/>
      <c r="E167" s="3"/>
      <c r="F167" s="3"/>
      <c r="G167" s="3"/>
      <c r="H167" s="3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</row>
    <row r="168" spans="1:42">
      <c r="A168" s="3"/>
      <c r="B168" s="3"/>
      <c r="C168" s="3"/>
      <c r="D168" s="3"/>
      <c r="E168" s="3"/>
      <c r="F168" s="3"/>
      <c r="G168" s="3"/>
      <c r="H168" s="3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</row>
    <row r="169" spans="1:42">
      <c r="A169" s="3"/>
      <c r="B169" s="3"/>
      <c r="C169" s="3"/>
      <c r="D169" s="3"/>
      <c r="E169" s="3"/>
      <c r="F169" s="3"/>
      <c r="G169" s="3"/>
      <c r="H169" s="3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</row>
    <row r="170" spans="1:42">
      <c r="A170" s="3"/>
      <c r="B170" s="3"/>
      <c r="C170" s="3"/>
      <c r="D170" s="3"/>
      <c r="E170" s="3"/>
      <c r="F170" s="3"/>
      <c r="G170" s="3"/>
      <c r="H170" s="3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</row>
    <row r="171" spans="1:42">
      <c r="A171" s="3"/>
      <c r="B171" s="3"/>
      <c r="C171" s="3"/>
      <c r="D171" s="3"/>
      <c r="E171" s="3"/>
      <c r="F171" s="3"/>
      <c r="G171" s="3"/>
      <c r="H171" s="3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</row>
    <row r="172" spans="1:42">
      <c r="A172" s="3"/>
      <c r="B172" s="3"/>
      <c r="C172" s="3"/>
      <c r="D172" s="3"/>
      <c r="E172" s="3"/>
      <c r="F172" s="3"/>
      <c r="G172" s="3"/>
      <c r="H172" s="3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</row>
    <row r="173" spans="1:42">
      <c r="A173" s="3"/>
      <c r="B173" s="3"/>
      <c r="C173" s="3"/>
      <c r="D173" s="3"/>
      <c r="E173" s="3"/>
      <c r="F173" s="3"/>
      <c r="G173" s="3"/>
      <c r="H173" s="3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</row>
    <row r="174" spans="1:42">
      <c r="A174" s="3"/>
      <c r="B174" s="3"/>
      <c r="C174" s="3"/>
      <c r="D174" s="3"/>
      <c r="E174" s="3"/>
      <c r="F174" s="3"/>
      <c r="G174" s="3"/>
      <c r="H174" s="3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</row>
    <row r="175" spans="1:42">
      <c r="A175" s="3"/>
      <c r="B175" s="3"/>
      <c r="C175" s="3"/>
      <c r="D175" s="3"/>
      <c r="E175" s="3"/>
      <c r="F175" s="3"/>
      <c r="G175" s="3"/>
      <c r="H175" s="3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</row>
    <row r="176" spans="1:42">
      <c r="A176" s="3"/>
      <c r="B176" s="3"/>
      <c r="C176" s="3"/>
      <c r="D176" s="3"/>
      <c r="E176" s="3"/>
      <c r="F176" s="3"/>
      <c r="G176" s="3"/>
      <c r="H176" s="3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</row>
    <row r="177" spans="1:42">
      <c r="A177" s="3"/>
      <c r="B177" s="3"/>
      <c r="C177" s="3"/>
      <c r="D177" s="3"/>
      <c r="E177" s="3"/>
      <c r="F177" s="3"/>
      <c r="G177" s="3"/>
      <c r="H177" s="3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</row>
    <row r="178" spans="1:42">
      <c r="A178" s="3"/>
      <c r="B178" s="3"/>
      <c r="C178" s="3"/>
      <c r="D178" s="3"/>
      <c r="E178" s="3"/>
      <c r="F178" s="3"/>
      <c r="G178" s="3"/>
      <c r="H178" s="3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</row>
    <row r="179" spans="1:42">
      <c r="A179" s="3"/>
      <c r="B179" s="3"/>
      <c r="C179" s="3"/>
      <c r="D179" s="3"/>
      <c r="E179" s="3"/>
      <c r="F179" s="3"/>
      <c r="G179" s="3"/>
      <c r="H179" s="3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</row>
    <row r="180" spans="1:42">
      <c r="A180" s="3"/>
      <c r="B180" s="3"/>
      <c r="C180" s="3"/>
      <c r="D180" s="3"/>
      <c r="E180" s="3"/>
      <c r="F180" s="3"/>
      <c r="G180" s="3"/>
      <c r="H180" s="3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</row>
    <row r="181" spans="1:42">
      <c r="A181" s="3"/>
      <c r="B181" s="3"/>
      <c r="C181" s="3"/>
      <c r="D181" s="3"/>
      <c r="E181" s="3"/>
      <c r="F181" s="3"/>
      <c r="G181" s="3"/>
      <c r="H181" s="3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</row>
    <row r="182" spans="1:42">
      <c r="A182" s="3"/>
      <c r="B182" s="3"/>
      <c r="C182" s="3"/>
      <c r="D182" s="3"/>
      <c r="E182" s="3"/>
      <c r="F182" s="3"/>
      <c r="G182" s="3"/>
      <c r="H182" s="3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</row>
    <row r="183" spans="1:42">
      <c r="A183" s="3"/>
      <c r="B183" s="3"/>
      <c r="C183" s="3"/>
      <c r="D183" s="3"/>
      <c r="E183" s="3"/>
      <c r="F183" s="3"/>
      <c r="G183" s="3"/>
      <c r="H183" s="3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</row>
    <row r="184" spans="1:42">
      <c r="A184" s="3"/>
      <c r="B184" s="3"/>
      <c r="C184" s="3"/>
      <c r="D184" s="3"/>
      <c r="E184" s="3"/>
      <c r="F184" s="3"/>
      <c r="G184" s="3"/>
      <c r="H184" s="3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</row>
    <row r="185" spans="1:42">
      <c r="A185" s="3"/>
      <c r="B185" s="3"/>
      <c r="C185" s="3"/>
      <c r="D185" s="3"/>
      <c r="E185" s="3"/>
      <c r="F185" s="3"/>
      <c r="G185" s="3"/>
      <c r="H185" s="3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</row>
    <row r="186" spans="1:42">
      <c r="A186" s="3"/>
      <c r="B186" s="3"/>
      <c r="C186" s="3"/>
      <c r="D186" s="3"/>
      <c r="E186" s="3"/>
      <c r="F186" s="3"/>
      <c r="G186" s="3"/>
      <c r="H186" s="3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</row>
    <row r="187" spans="1:42">
      <c r="A187" s="3"/>
      <c r="B187" s="3"/>
      <c r="C187" s="3"/>
      <c r="D187" s="3"/>
      <c r="E187" s="3"/>
      <c r="F187" s="3"/>
      <c r="G187" s="3"/>
      <c r="H187" s="3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</row>
    <row r="188" spans="1:42">
      <c r="A188" s="3"/>
      <c r="B188" s="3"/>
      <c r="C188" s="3"/>
      <c r="D188" s="3"/>
      <c r="E188" s="3"/>
      <c r="F188" s="3"/>
      <c r="G188" s="3"/>
      <c r="H188" s="3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</row>
    <row r="189" spans="1:42">
      <c r="A189" s="3"/>
      <c r="B189" s="3"/>
      <c r="C189" s="3"/>
      <c r="D189" s="3"/>
      <c r="E189" s="3"/>
      <c r="F189" s="3"/>
      <c r="G189" s="3"/>
      <c r="H189" s="3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</row>
    <row r="190" spans="1:42">
      <c r="A190" s="3"/>
      <c r="B190" s="3"/>
      <c r="C190" s="3"/>
      <c r="D190" s="3"/>
      <c r="E190" s="3"/>
      <c r="F190" s="3"/>
      <c r="G190" s="3"/>
      <c r="H190" s="3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</row>
    <row r="191" spans="1:42">
      <c r="A191" s="3"/>
      <c r="B191" s="3"/>
      <c r="C191" s="3"/>
      <c r="D191" s="3"/>
      <c r="E191" s="3"/>
      <c r="F191" s="3"/>
      <c r="G191" s="3"/>
      <c r="H191" s="3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</row>
    <row r="192" spans="1:42">
      <c r="A192" s="3"/>
      <c r="B192" s="3"/>
      <c r="C192" s="3"/>
      <c r="D192" s="3"/>
      <c r="E192" s="3"/>
      <c r="F192" s="3"/>
      <c r="G192" s="3"/>
      <c r="H192" s="3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</row>
    <row r="193" spans="1:42">
      <c r="A193" s="3"/>
      <c r="B193" s="3"/>
      <c r="C193" s="3"/>
      <c r="D193" s="3"/>
      <c r="E193" s="3"/>
      <c r="F193" s="3"/>
      <c r="G193" s="3"/>
      <c r="H193" s="3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</row>
    <row r="194" spans="1:42">
      <c r="A194" s="3"/>
      <c r="B194" s="3"/>
      <c r="C194" s="3"/>
      <c r="D194" s="3"/>
      <c r="E194" s="3"/>
      <c r="F194" s="3"/>
      <c r="G194" s="3"/>
      <c r="H194" s="3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</row>
    <row r="195" spans="1:42">
      <c r="A195" s="3"/>
      <c r="B195" s="3"/>
      <c r="C195" s="3"/>
      <c r="D195" s="3"/>
      <c r="E195" s="3"/>
      <c r="F195" s="3"/>
      <c r="G195" s="3"/>
      <c r="H195" s="3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</row>
    <row r="196" spans="1:42">
      <c r="A196" s="3"/>
      <c r="B196" s="3"/>
      <c r="C196" s="3"/>
      <c r="D196" s="3"/>
      <c r="E196" s="3"/>
      <c r="F196" s="3"/>
      <c r="G196" s="3"/>
      <c r="H196" s="3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</row>
    <row r="197" spans="1:42">
      <c r="A197" s="3"/>
      <c r="B197" s="3"/>
      <c r="C197" s="3"/>
      <c r="D197" s="3"/>
      <c r="E197" s="3"/>
      <c r="F197" s="3"/>
      <c r="G197" s="3"/>
      <c r="H197" s="3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</row>
    <row r="198" spans="1:42">
      <c r="A198" s="3"/>
      <c r="B198" s="3"/>
      <c r="C198" s="3"/>
      <c r="D198" s="3"/>
      <c r="E198" s="3"/>
      <c r="F198" s="3"/>
      <c r="G198" s="3"/>
      <c r="H198" s="3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</row>
    <row r="199" spans="1:42">
      <c r="A199" s="3"/>
      <c r="B199" s="3"/>
      <c r="C199" s="3"/>
      <c r="D199" s="3"/>
      <c r="E199" s="3"/>
      <c r="F199" s="3"/>
      <c r="G199" s="3"/>
      <c r="H199" s="3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</row>
    <row r="200" spans="1:42">
      <c r="A200" s="3"/>
      <c r="B200" s="3"/>
      <c r="C200" s="3"/>
      <c r="D200" s="3"/>
      <c r="E200" s="3"/>
      <c r="F200" s="3"/>
      <c r="G200" s="3"/>
      <c r="H200" s="3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</row>
    <row r="201" spans="1:42">
      <c r="A201" s="3"/>
      <c r="B201" s="3"/>
      <c r="C201" s="3"/>
      <c r="D201" s="3"/>
      <c r="E201" s="3"/>
      <c r="F201" s="3"/>
      <c r="G201" s="3"/>
      <c r="H201" s="3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</row>
    <row r="202" spans="1:42">
      <c r="A202" s="3"/>
      <c r="B202" s="3"/>
      <c r="C202" s="3"/>
      <c r="D202" s="3"/>
      <c r="E202" s="3"/>
      <c r="F202" s="3"/>
      <c r="G202" s="3"/>
      <c r="H202" s="3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</row>
    <row r="203" spans="1:42">
      <c r="A203" s="3"/>
      <c r="B203" s="3"/>
      <c r="C203" s="3"/>
      <c r="D203" s="3"/>
      <c r="E203" s="3"/>
      <c r="F203" s="3"/>
      <c r="G203" s="3"/>
      <c r="H203" s="3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</row>
    <row r="204" spans="1:42">
      <c r="A204" s="3"/>
      <c r="B204" s="3"/>
      <c r="C204" s="3"/>
      <c r="D204" s="3"/>
      <c r="E204" s="3"/>
      <c r="F204" s="3"/>
      <c r="G204" s="3"/>
      <c r="H204" s="3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</row>
    <row r="205" spans="1:42">
      <c r="A205" s="3"/>
      <c r="B205" s="3"/>
      <c r="C205" s="3"/>
      <c r="D205" s="3"/>
      <c r="E205" s="3"/>
      <c r="F205" s="3"/>
      <c r="G205" s="3"/>
      <c r="H205" s="3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</row>
    <row r="206" spans="1:42">
      <c r="A206" s="3"/>
      <c r="B206" s="3"/>
      <c r="C206" s="3"/>
      <c r="D206" s="3"/>
      <c r="E206" s="3"/>
      <c r="F206" s="3"/>
      <c r="G206" s="3"/>
      <c r="H206" s="3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</row>
    <row r="207" spans="1:42">
      <c r="A207" s="3"/>
      <c r="B207" s="3"/>
      <c r="C207" s="3"/>
      <c r="D207" s="3"/>
      <c r="E207" s="3"/>
      <c r="F207" s="3"/>
      <c r="G207" s="3"/>
      <c r="H207" s="3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</row>
    <row r="208" spans="1:42">
      <c r="A208" s="3"/>
      <c r="B208" s="3"/>
      <c r="C208" s="3"/>
      <c r="D208" s="3"/>
      <c r="E208" s="3"/>
      <c r="F208" s="3"/>
      <c r="G208" s="3"/>
      <c r="H208" s="3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</row>
    <row r="209" spans="1:42">
      <c r="A209" s="3"/>
      <c r="B209" s="3"/>
      <c r="C209" s="3"/>
      <c r="D209" s="3"/>
      <c r="E209" s="3"/>
      <c r="F209" s="3"/>
      <c r="G209" s="3"/>
      <c r="H209" s="3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</row>
    <row r="210" spans="1:42">
      <c r="A210" s="3"/>
      <c r="B210" s="3"/>
      <c r="C210" s="3"/>
      <c r="D210" s="3"/>
      <c r="E210" s="3"/>
      <c r="F210" s="3"/>
      <c r="G210" s="3"/>
      <c r="H210" s="3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</row>
    <row r="211" spans="1:42">
      <c r="A211" s="3"/>
      <c r="B211" s="3"/>
      <c r="C211" s="3"/>
      <c r="D211" s="3"/>
      <c r="E211" s="3"/>
      <c r="F211" s="3"/>
      <c r="G211" s="3"/>
      <c r="H211" s="3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</row>
    <row r="212" spans="1:42">
      <c r="A212" s="3"/>
      <c r="B212" s="3"/>
      <c r="C212" s="3"/>
      <c r="D212" s="3"/>
      <c r="E212" s="3"/>
      <c r="F212" s="3"/>
      <c r="G212" s="3"/>
      <c r="H212" s="3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</row>
    <row r="213" spans="1:42">
      <c r="A213" s="3"/>
      <c r="B213" s="3"/>
      <c r="C213" s="3"/>
      <c r="D213" s="3"/>
      <c r="E213" s="3"/>
      <c r="F213" s="3"/>
      <c r="G213" s="3"/>
      <c r="H213" s="3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</row>
    <row r="214" spans="1:42">
      <c r="A214" s="3"/>
      <c r="B214" s="3"/>
      <c r="C214" s="3"/>
      <c r="D214" s="3"/>
      <c r="E214" s="3"/>
      <c r="F214" s="3"/>
      <c r="G214" s="3"/>
      <c r="H214" s="3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</row>
    <row r="215" spans="1:42">
      <c r="A215" s="3"/>
      <c r="B215" s="3"/>
      <c r="C215" s="3"/>
      <c r="D215" s="3"/>
      <c r="E215" s="3"/>
      <c r="F215" s="3"/>
      <c r="G215" s="3"/>
      <c r="H215" s="3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</row>
    <row r="216" spans="1:42">
      <c r="A216" s="3"/>
      <c r="B216" s="3"/>
      <c r="C216" s="3"/>
      <c r="D216" s="3"/>
      <c r="E216" s="3"/>
      <c r="F216" s="3"/>
      <c r="G216" s="3"/>
      <c r="H216" s="3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</row>
    <row r="217" spans="1:42">
      <c r="A217" s="3"/>
      <c r="B217" s="3"/>
      <c r="C217" s="3"/>
      <c r="D217" s="3"/>
      <c r="E217" s="3"/>
      <c r="F217" s="3"/>
      <c r="G217" s="3"/>
      <c r="H217" s="3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</row>
    <row r="218" spans="1:42">
      <c r="A218" s="3"/>
      <c r="B218" s="3"/>
      <c r="C218" s="3"/>
      <c r="D218" s="3"/>
      <c r="E218" s="3"/>
      <c r="F218" s="3"/>
      <c r="G218" s="3"/>
      <c r="H218" s="3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</row>
    <row r="219" spans="1:42">
      <c r="A219" s="3"/>
      <c r="B219" s="3"/>
      <c r="C219" s="3"/>
      <c r="D219" s="3"/>
      <c r="E219" s="3"/>
      <c r="F219" s="3"/>
      <c r="G219" s="3"/>
      <c r="H219" s="3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</row>
    <row r="220" spans="1:42">
      <c r="A220" s="3"/>
      <c r="B220" s="3"/>
      <c r="C220" s="3"/>
      <c r="D220" s="3"/>
      <c r="E220" s="3"/>
      <c r="F220" s="3"/>
      <c r="G220" s="3"/>
      <c r="H220" s="3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</row>
    <row r="221" spans="1:42">
      <c r="A221" s="3"/>
      <c r="B221" s="3"/>
      <c r="C221" s="3"/>
      <c r="D221" s="3"/>
      <c r="E221" s="3"/>
      <c r="F221" s="3"/>
      <c r="G221" s="3"/>
      <c r="H221" s="3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</row>
    <row r="222" spans="1:42">
      <c r="A222" s="3"/>
      <c r="B222" s="3"/>
      <c r="C222" s="3"/>
      <c r="D222" s="3"/>
      <c r="E222" s="3"/>
      <c r="F222" s="3"/>
      <c r="G222" s="3"/>
      <c r="H222" s="3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</row>
    <row r="223" spans="1:42">
      <c r="A223" s="3"/>
      <c r="B223" s="3"/>
      <c r="C223" s="3"/>
      <c r="D223" s="3"/>
      <c r="E223" s="3"/>
      <c r="F223" s="3"/>
      <c r="G223" s="3"/>
      <c r="H223" s="3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</row>
    <row r="224" spans="1:42">
      <c r="A224" s="3"/>
      <c r="B224" s="3"/>
      <c r="C224" s="3"/>
      <c r="D224" s="3"/>
      <c r="E224" s="3"/>
      <c r="F224" s="3"/>
      <c r="G224" s="3"/>
      <c r="H224" s="3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</row>
    <row r="225" spans="1:42">
      <c r="A225" s="3"/>
      <c r="B225" s="3"/>
      <c r="C225" s="3"/>
      <c r="D225" s="3"/>
      <c r="E225" s="3"/>
      <c r="F225" s="3"/>
      <c r="G225" s="3"/>
      <c r="H225" s="3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</row>
    <row r="226" spans="1:42">
      <c r="A226" s="3"/>
      <c r="B226" s="3"/>
      <c r="C226" s="3"/>
      <c r="D226" s="3"/>
      <c r="E226" s="3"/>
      <c r="F226" s="3"/>
      <c r="G226" s="3"/>
      <c r="H226" s="3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</row>
    <row r="227" spans="1:42">
      <c r="A227" s="3"/>
      <c r="B227" s="3"/>
      <c r="C227" s="3"/>
      <c r="D227" s="3"/>
      <c r="E227" s="3"/>
      <c r="F227" s="3"/>
      <c r="G227" s="3"/>
      <c r="H227" s="3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</row>
    <row r="228" spans="1:42">
      <c r="A228" s="3"/>
      <c r="B228" s="3"/>
      <c r="C228" s="3"/>
      <c r="D228" s="3"/>
      <c r="E228" s="3"/>
      <c r="F228" s="3"/>
      <c r="G228" s="3"/>
      <c r="H228" s="3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</row>
    <row r="229" spans="1:42">
      <c r="A229" s="3"/>
      <c r="B229" s="3"/>
      <c r="C229" s="3"/>
      <c r="D229" s="3"/>
      <c r="E229" s="3"/>
      <c r="F229" s="3"/>
      <c r="G229" s="3"/>
      <c r="H229" s="3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</row>
    <row r="230" spans="1:42">
      <c r="A230" s="3"/>
      <c r="B230" s="3"/>
      <c r="C230" s="3"/>
      <c r="D230" s="3"/>
      <c r="E230" s="3"/>
      <c r="F230" s="3"/>
      <c r="G230" s="3"/>
      <c r="H230" s="3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</row>
    <row r="231" spans="1:42">
      <c r="A231" s="3"/>
      <c r="B231" s="3"/>
      <c r="C231" s="3"/>
      <c r="D231" s="3"/>
      <c r="E231" s="3"/>
      <c r="F231" s="3"/>
      <c r="G231" s="3"/>
      <c r="H231" s="3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</row>
    <row r="232" spans="1:42">
      <c r="A232" s="3"/>
      <c r="B232" s="3"/>
      <c r="C232" s="3"/>
      <c r="D232" s="3"/>
      <c r="E232" s="3"/>
      <c r="F232" s="3"/>
      <c r="G232" s="3"/>
      <c r="H232" s="3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</row>
    <row r="233" spans="1:42">
      <c r="A233" s="3"/>
      <c r="B233" s="3"/>
      <c r="C233" s="3"/>
      <c r="D233" s="3"/>
      <c r="E233" s="3"/>
      <c r="F233" s="3"/>
      <c r="G233" s="3"/>
      <c r="H233" s="3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</row>
    <row r="234" spans="1:42">
      <c r="A234" s="3"/>
      <c r="B234" s="3"/>
      <c r="C234" s="3"/>
      <c r="D234" s="3"/>
      <c r="E234" s="3"/>
      <c r="F234" s="3"/>
      <c r="G234" s="3"/>
      <c r="H234" s="3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</row>
    <row r="235" spans="1:42">
      <c r="A235" s="3"/>
      <c r="B235" s="3"/>
      <c r="C235" s="3"/>
      <c r="D235" s="3"/>
      <c r="E235" s="3"/>
      <c r="F235" s="3"/>
      <c r="G235" s="3"/>
      <c r="H235" s="3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</row>
    <row r="236" spans="1:42">
      <c r="A236" s="3"/>
      <c r="B236" s="3"/>
      <c r="C236" s="3"/>
      <c r="D236" s="3"/>
      <c r="E236" s="3"/>
      <c r="F236" s="3"/>
      <c r="G236" s="3"/>
      <c r="H236" s="3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</row>
    <row r="237" spans="1:42">
      <c r="A237" s="3"/>
      <c r="B237" s="3"/>
      <c r="C237" s="3"/>
      <c r="D237" s="3"/>
      <c r="E237" s="3"/>
      <c r="F237" s="3"/>
      <c r="G237" s="3"/>
      <c r="H237" s="3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</row>
    <row r="238" spans="1:42">
      <c r="A238" s="3"/>
      <c r="B238" s="3"/>
      <c r="C238" s="3"/>
      <c r="D238" s="3"/>
      <c r="E238" s="3"/>
      <c r="F238" s="3"/>
      <c r="G238" s="3"/>
      <c r="H238" s="3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</row>
    <row r="239" spans="1:42">
      <c r="A239" s="3"/>
      <c r="B239" s="3"/>
      <c r="C239" s="3"/>
      <c r="D239" s="3"/>
      <c r="E239" s="3"/>
      <c r="F239" s="3"/>
      <c r="G239" s="3"/>
      <c r="H239" s="3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</row>
    <row r="240" spans="1:42">
      <c r="A240" s="3"/>
      <c r="B240" s="3"/>
      <c r="C240" s="3"/>
      <c r="D240" s="3"/>
      <c r="E240" s="3"/>
      <c r="F240" s="3"/>
      <c r="G240" s="3"/>
      <c r="H240" s="3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</row>
    <row r="241" spans="1:42">
      <c r="A241" s="3"/>
      <c r="B241" s="3"/>
      <c r="C241" s="3"/>
      <c r="D241" s="3"/>
      <c r="E241" s="3"/>
      <c r="F241" s="3"/>
      <c r="G241" s="3"/>
      <c r="H241" s="3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</row>
    <row r="242" spans="1:42">
      <c r="A242" s="3"/>
      <c r="B242" s="3"/>
      <c r="C242" s="3"/>
      <c r="D242" s="3"/>
      <c r="E242" s="3"/>
      <c r="F242" s="3"/>
      <c r="G242" s="3"/>
      <c r="H242" s="3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</row>
    <row r="243" spans="1:42">
      <c r="A243" s="3"/>
      <c r="B243" s="3"/>
      <c r="C243" s="3"/>
      <c r="D243" s="3"/>
      <c r="E243" s="3"/>
      <c r="F243" s="3"/>
      <c r="G243" s="3"/>
      <c r="H243" s="3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</row>
    <row r="244" spans="1:42">
      <c r="A244" s="3"/>
      <c r="B244" s="3"/>
      <c r="C244" s="3"/>
      <c r="D244" s="3"/>
      <c r="E244" s="3"/>
      <c r="F244" s="3"/>
      <c r="G244" s="3"/>
      <c r="H244" s="3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</row>
    <row r="245" spans="1:42">
      <c r="A245" s="3"/>
      <c r="B245" s="3"/>
      <c r="C245" s="3"/>
      <c r="D245" s="3"/>
      <c r="E245" s="3"/>
      <c r="F245" s="3"/>
      <c r="G245" s="3"/>
      <c r="H245" s="3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</row>
    <row r="246" spans="1:42">
      <c r="A246" s="3"/>
      <c r="B246" s="3"/>
      <c r="C246" s="3"/>
      <c r="D246" s="3"/>
      <c r="E246" s="3"/>
      <c r="F246" s="3"/>
      <c r="G246" s="3"/>
      <c r="H246" s="3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</row>
    <row r="247" spans="1:42">
      <c r="A247" s="3"/>
      <c r="B247" s="3"/>
      <c r="C247" s="3"/>
      <c r="D247" s="3"/>
      <c r="E247" s="3"/>
      <c r="F247" s="3"/>
      <c r="G247" s="3"/>
      <c r="H247" s="3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</row>
    <row r="248" spans="1:42">
      <c r="A248" s="3"/>
      <c r="B248" s="3"/>
      <c r="C248" s="3"/>
      <c r="D248" s="3"/>
      <c r="E248" s="3"/>
      <c r="F248" s="3"/>
      <c r="G248" s="3"/>
      <c r="H248" s="3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</row>
    <row r="249" spans="1:42">
      <c r="A249" s="3"/>
      <c r="B249" s="3"/>
      <c r="C249" s="3"/>
      <c r="D249" s="3"/>
      <c r="E249" s="3"/>
      <c r="F249" s="3"/>
      <c r="G249" s="3"/>
      <c r="H249" s="3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</row>
    <row r="250" spans="1:42">
      <c r="A250" s="3"/>
      <c r="B250" s="3"/>
      <c r="C250" s="3"/>
      <c r="D250" s="3"/>
      <c r="E250" s="3"/>
      <c r="F250" s="3"/>
      <c r="G250" s="3"/>
      <c r="H250" s="3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</row>
    <row r="251" spans="1:42">
      <c r="A251" s="3"/>
      <c r="B251" s="3"/>
      <c r="C251" s="3"/>
      <c r="D251" s="3"/>
      <c r="E251" s="3"/>
      <c r="F251" s="3"/>
      <c r="G251" s="3"/>
      <c r="H251" s="3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</row>
    <row r="252" spans="1:42">
      <c r="A252" s="3"/>
      <c r="B252" s="3"/>
      <c r="C252" s="3"/>
      <c r="D252" s="3"/>
      <c r="E252" s="3"/>
      <c r="F252" s="3"/>
      <c r="G252" s="3"/>
      <c r="H252" s="3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</row>
    <row r="253" spans="1:42">
      <c r="A253" s="3"/>
      <c r="B253" s="3"/>
      <c r="C253" s="3"/>
      <c r="D253" s="3"/>
      <c r="E253" s="3"/>
      <c r="F253" s="3"/>
      <c r="G253" s="3"/>
      <c r="H253" s="3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</row>
    <row r="254" spans="1:42">
      <c r="A254" s="3"/>
      <c r="B254" s="3"/>
      <c r="C254" s="3"/>
      <c r="D254" s="3"/>
      <c r="E254" s="3"/>
      <c r="F254" s="3"/>
      <c r="G254" s="3"/>
      <c r="H254" s="3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</row>
    <row r="255" spans="1:42">
      <c r="A255" s="3"/>
      <c r="B255" s="3"/>
      <c r="C255" s="3"/>
      <c r="D255" s="3"/>
      <c r="E255" s="3"/>
      <c r="F255" s="3"/>
      <c r="G255" s="3"/>
      <c r="H255" s="3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</row>
    <row r="256" spans="1:42">
      <c r="A256" s="3"/>
      <c r="B256" s="3"/>
      <c r="C256" s="3"/>
      <c r="D256" s="3"/>
      <c r="E256" s="3"/>
      <c r="F256" s="3"/>
      <c r="G256" s="3"/>
      <c r="H256" s="3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</row>
    <row r="257" spans="1:42">
      <c r="A257" s="3"/>
      <c r="B257" s="3"/>
      <c r="C257" s="3"/>
      <c r="D257" s="3"/>
      <c r="E257" s="3"/>
      <c r="F257" s="3"/>
      <c r="G257" s="3"/>
      <c r="H257" s="3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</row>
    <row r="258" spans="1:42">
      <c r="A258" s="3"/>
      <c r="B258" s="3"/>
      <c r="C258" s="3"/>
      <c r="D258" s="3"/>
      <c r="E258" s="3"/>
      <c r="F258" s="3"/>
      <c r="G258" s="3"/>
      <c r="H258" s="3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</row>
    <row r="259" spans="1:42">
      <c r="A259" s="3"/>
      <c r="B259" s="3"/>
      <c r="C259" s="3"/>
      <c r="D259" s="3"/>
      <c r="E259" s="3"/>
      <c r="F259" s="3"/>
      <c r="G259" s="3"/>
      <c r="H259" s="3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</row>
    <row r="260" spans="1:42">
      <c r="A260" s="3"/>
      <c r="B260" s="3"/>
      <c r="C260" s="3"/>
      <c r="D260" s="3"/>
      <c r="E260" s="3"/>
      <c r="F260" s="3"/>
      <c r="G260" s="3"/>
      <c r="H260" s="3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</row>
    <row r="261" spans="1:42">
      <c r="A261" s="3"/>
      <c r="B261" s="3"/>
      <c r="C261" s="3"/>
      <c r="D261" s="3"/>
      <c r="E261" s="3"/>
      <c r="F261" s="3"/>
      <c r="G261" s="3"/>
      <c r="H261" s="3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</row>
    <row r="262" spans="1:42">
      <c r="A262" s="3"/>
      <c r="B262" s="3"/>
      <c r="C262" s="3"/>
      <c r="D262" s="3"/>
      <c r="E262" s="3"/>
      <c r="F262" s="3"/>
      <c r="G262" s="3"/>
      <c r="H262" s="3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</row>
    <row r="263" spans="1:42">
      <c r="A263" s="3"/>
      <c r="B263" s="3"/>
      <c r="C263" s="3"/>
      <c r="D263" s="3"/>
      <c r="E263" s="3"/>
      <c r="F263" s="3"/>
      <c r="G263" s="3"/>
      <c r="H263" s="3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</row>
    <row r="264" spans="1:42">
      <c r="A264" s="3"/>
      <c r="B264" s="3"/>
      <c r="C264" s="3"/>
      <c r="D264" s="3"/>
      <c r="E264" s="3"/>
      <c r="F264" s="3"/>
      <c r="G264" s="3"/>
      <c r="H264" s="3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</row>
    <row r="265" spans="1:42">
      <c r="A265" s="3"/>
      <c r="B265" s="3"/>
      <c r="C265" s="3"/>
      <c r="D265" s="3"/>
      <c r="E265" s="3"/>
      <c r="F265" s="3"/>
      <c r="G265" s="3"/>
      <c r="H265" s="3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</row>
    <row r="266" spans="1:42">
      <c r="A266" s="3"/>
      <c r="B266" s="3"/>
      <c r="C266" s="3"/>
      <c r="D266" s="3"/>
      <c r="E266" s="3"/>
      <c r="F266" s="3"/>
      <c r="G266" s="3"/>
      <c r="H266" s="3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</row>
    <row r="267" spans="1:42">
      <c r="A267" s="3"/>
      <c r="B267" s="3"/>
      <c r="C267" s="3"/>
      <c r="D267" s="3"/>
      <c r="E267" s="3"/>
      <c r="F267" s="3"/>
      <c r="G267" s="3"/>
      <c r="H267" s="3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</row>
    <row r="268" spans="1:42">
      <c r="A268" s="3"/>
      <c r="B268" s="3"/>
      <c r="C268" s="3"/>
      <c r="D268" s="3"/>
      <c r="E268" s="3"/>
      <c r="F268" s="3"/>
      <c r="G268" s="3"/>
      <c r="H268" s="3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</row>
    <row r="269" spans="1:42">
      <c r="A269" s="3"/>
      <c r="B269" s="3"/>
      <c r="C269" s="3"/>
      <c r="D269" s="3"/>
      <c r="E269" s="3"/>
      <c r="F269" s="3"/>
      <c r="G269" s="3"/>
      <c r="H269" s="3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</row>
    <row r="270" spans="1:42">
      <c r="A270" s="3"/>
      <c r="B270" s="3"/>
      <c r="C270" s="3"/>
      <c r="D270" s="3"/>
      <c r="E270" s="3"/>
      <c r="F270" s="3"/>
      <c r="G270" s="3"/>
      <c r="H270" s="3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</row>
    <row r="271" spans="1:42">
      <c r="A271" s="3"/>
      <c r="B271" s="3"/>
      <c r="C271" s="3"/>
      <c r="D271" s="3"/>
      <c r="E271" s="3"/>
      <c r="F271" s="3"/>
      <c r="G271" s="3"/>
      <c r="H271" s="3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</row>
    <row r="272" spans="1:42">
      <c r="A272" s="3"/>
      <c r="B272" s="3"/>
      <c r="C272" s="3"/>
      <c r="D272" s="3"/>
      <c r="E272" s="3"/>
      <c r="F272" s="3"/>
      <c r="G272" s="3"/>
      <c r="H272" s="3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</row>
    <row r="273" spans="1:42">
      <c r="A273" s="3"/>
      <c r="B273" s="3"/>
      <c r="C273" s="3"/>
      <c r="D273" s="3"/>
      <c r="E273" s="3"/>
      <c r="F273" s="3"/>
      <c r="G273" s="3"/>
      <c r="H273" s="3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</row>
    <row r="274" spans="1:42">
      <c r="A274" s="3"/>
      <c r="B274" s="3"/>
      <c r="C274" s="3"/>
      <c r="D274" s="3"/>
      <c r="E274" s="3"/>
      <c r="F274" s="3"/>
      <c r="G274" s="3"/>
      <c r="H274" s="3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</row>
    <row r="275" spans="1:42">
      <c r="A275" s="3"/>
      <c r="B275" s="3"/>
      <c r="C275" s="3"/>
      <c r="D275" s="3"/>
      <c r="E275" s="3"/>
      <c r="F275" s="3"/>
      <c r="G275" s="3"/>
      <c r="H275" s="3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</row>
    <row r="276" spans="1:42">
      <c r="A276" s="3"/>
      <c r="B276" s="3"/>
      <c r="C276" s="3"/>
      <c r="D276" s="3"/>
      <c r="E276" s="3"/>
      <c r="F276" s="3"/>
      <c r="G276" s="3"/>
      <c r="H276" s="3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</row>
    <row r="277" spans="1:42">
      <c r="A277" s="3"/>
      <c r="B277" s="3"/>
      <c r="C277" s="3"/>
      <c r="D277" s="3"/>
      <c r="E277" s="3"/>
      <c r="F277" s="3"/>
      <c r="G277" s="3"/>
      <c r="H277" s="3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</row>
    <row r="278" spans="1:42">
      <c r="A278" s="3"/>
      <c r="B278" s="3"/>
      <c r="C278" s="3"/>
      <c r="D278" s="3"/>
      <c r="E278" s="3"/>
      <c r="F278" s="3"/>
      <c r="G278" s="3"/>
      <c r="H278" s="3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</row>
    <row r="279" spans="1:42">
      <c r="A279" s="3"/>
      <c r="B279" s="3"/>
      <c r="C279" s="3"/>
      <c r="D279" s="3"/>
      <c r="E279" s="3"/>
      <c r="F279" s="3"/>
      <c r="G279" s="3"/>
      <c r="H279" s="3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</row>
    <row r="280" spans="1:42">
      <c r="A280" s="3"/>
      <c r="B280" s="3"/>
      <c r="C280" s="3"/>
      <c r="D280" s="3"/>
      <c r="E280" s="3"/>
      <c r="F280" s="3"/>
      <c r="G280" s="3"/>
      <c r="H280" s="3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</row>
    <row r="281" spans="1:42">
      <c r="A281" s="3"/>
      <c r="B281" s="3"/>
      <c r="C281" s="3"/>
      <c r="D281" s="3"/>
      <c r="E281" s="3"/>
      <c r="F281" s="3"/>
      <c r="G281" s="3"/>
      <c r="H281" s="3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</row>
    <row r="282" spans="1:42">
      <c r="A282" s="3"/>
      <c r="B282" s="3"/>
      <c r="C282" s="3"/>
      <c r="D282" s="3"/>
      <c r="E282" s="3"/>
      <c r="F282" s="3"/>
      <c r="G282" s="3"/>
      <c r="H282" s="3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</row>
    <row r="283" spans="1:42">
      <c r="A283" s="3"/>
      <c r="B283" s="3"/>
      <c r="C283" s="3"/>
      <c r="D283" s="3"/>
      <c r="E283" s="3"/>
      <c r="F283" s="3"/>
      <c r="G283" s="3"/>
      <c r="H283" s="3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</row>
    <row r="284" spans="1:42">
      <c r="A284" s="3"/>
      <c r="B284" s="3"/>
      <c r="C284" s="3"/>
      <c r="D284" s="3"/>
      <c r="E284" s="3"/>
      <c r="F284" s="3"/>
      <c r="G284" s="3"/>
      <c r="H284" s="3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</row>
    <row r="285" spans="1:42">
      <c r="A285" s="3"/>
      <c r="B285" s="3"/>
      <c r="C285" s="3"/>
      <c r="D285" s="3"/>
      <c r="E285" s="3"/>
      <c r="F285" s="3"/>
      <c r="G285" s="3"/>
      <c r="H285" s="3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</row>
    <row r="286" spans="1:42">
      <c r="A286" s="3"/>
      <c r="B286" s="3"/>
      <c r="C286" s="3"/>
      <c r="D286" s="3"/>
      <c r="E286" s="3"/>
      <c r="F286" s="3"/>
      <c r="G286" s="3"/>
      <c r="H286" s="3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</row>
    <row r="287" spans="1:42">
      <c r="A287" s="3"/>
      <c r="B287" s="3"/>
      <c r="C287" s="3"/>
      <c r="D287" s="3"/>
      <c r="E287" s="3"/>
      <c r="F287" s="3"/>
      <c r="G287" s="3"/>
      <c r="H287" s="3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</row>
    <row r="288" spans="1:42">
      <c r="A288" s="3"/>
      <c r="B288" s="3"/>
      <c r="C288" s="3"/>
      <c r="D288" s="3"/>
      <c r="E288" s="3"/>
      <c r="F288" s="3"/>
      <c r="G288" s="3"/>
      <c r="H288" s="3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</row>
    <row r="289" spans="1:42">
      <c r="A289" s="3"/>
      <c r="B289" s="3"/>
      <c r="C289" s="3"/>
      <c r="D289" s="3"/>
      <c r="E289" s="3"/>
      <c r="F289" s="3"/>
      <c r="G289" s="3"/>
      <c r="H289" s="3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</row>
    <row r="290" spans="1:42">
      <c r="A290" s="3"/>
      <c r="B290" s="3"/>
      <c r="C290" s="3"/>
      <c r="D290" s="3"/>
      <c r="E290" s="3"/>
      <c r="F290" s="3"/>
      <c r="G290" s="3"/>
      <c r="H290" s="3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</row>
    <row r="291" spans="1:42">
      <c r="A291" s="3"/>
      <c r="B291" s="3"/>
      <c r="C291" s="3"/>
      <c r="D291" s="3"/>
      <c r="E291" s="3"/>
      <c r="F291" s="3"/>
      <c r="G291" s="3"/>
      <c r="H291" s="3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</row>
    <row r="292" spans="1:42">
      <c r="A292" s="3"/>
      <c r="B292" s="3"/>
      <c r="C292" s="3"/>
      <c r="D292" s="3"/>
      <c r="E292" s="3"/>
      <c r="F292" s="3"/>
      <c r="G292" s="3"/>
      <c r="H292" s="3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</row>
    <row r="293" spans="1:42">
      <c r="A293" s="3"/>
      <c r="B293" s="3"/>
      <c r="C293" s="3"/>
      <c r="D293" s="3"/>
      <c r="E293" s="3"/>
      <c r="F293" s="3"/>
      <c r="G293" s="3"/>
      <c r="H293" s="3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</row>
    <row r="294" spans="1:42">
      <c r="A294" s="3"/>
      <c r="B294" s="3"/>
      <c r="C294" s="3"/>
      <c r="D294" s="3"/>
      <c r="E294" s="3"/>
      <c r="F294" s="3"/>
      <c r="G294" s="3"/>
      <c r="H294" s="3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</row>
    <row r="295" spans="1:42">
      <c r="A295" s="3"/>
      <c r="B295" s="3"/>
      <c r="C295" s="3"/>
      <c r="D295" s="3"/>
      <c r="E295" s="3"/>
      <c r="F295" s="3"/>
      <c r="G295" s="3"/>
      <c r="H295" s="3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</row>
    <row r="296" spans="1:42">
      <c r="A296" s="3"/>
      <c r="B296" s="3"/>
      <c r="C296" s="3"/>
      <c r="D296" s="3"/>
      <c r="E296" s="3"/>
      <c r="F296" s="3"/>
      <c r="G296" s="3"/>
      <c r="H296" s="3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</row>
    <row r="297" spans="1:42">
      <c r="A297" s="3"/>
      <c r="B297" s="3"/>
      <c r="C297" s="3"/>
      <c r="D297" s="3"/>
      <c r="E297" s="3"/>
      <c r="F297" s="3"/>
      <c r="G297" s="3"/>
      <c r="H297" s="3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</row>
    <row r="298" spans="1:42">
      <c r="A298" s="3"/>
      <c r="B298" s="3"/>
      <c r="C298" s="3"/>
      <c r="D298" s="3"/>
      <c r="E298" s="3"/>
      <c r="F298" s="3"/>
      <c r="G298" s="3"/>
      <c r="H298" s="3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</row>
    <row r="299" spans="1:42">
      <c r="A299" s="3"/>
      <c r="B299" s="3"/>
      <c r="C299" s="3"/>
      <c r="D299" s="3"/>
      <c r="E299" s="3"/>
      <c r="F299" s="3"/>
      <c r="G299" s="3"/>
      <c r="H299" s="3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</row>
    <row r="300" spans="1:42">
      <c r="A300" s="3"/>
      <c r="B300" s="3"/>
      <c r="C300" s="3"/>
      <c r="D300" s="3"/>
      <c r="E300" s="3"/>
      <c r="F300" s="3"/>
      <c r="G300" s="3"/>
      <c r="H300" s="3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</row>
    <row r="301" spans="1:42">
      <c r="A301" s="3"/>
      <c r="B301" s="3"/>
      <c r="C301" s="3"/>
      <c r="D301" s="3"/>
      <c r="E301" s="3"/>
      <c r="F301" s="3"/>
      <c r="G301" s="3"/>
      <c r="H301" s="3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</row>
    <row r="302" spans="1:42">
      <c r="A302" s="3"/>
      <c r="B302" s="3"/>
      <c r="C302" s="3"/>
      <c r="D302" s="3"/>
      <c r="E302" s="3"/>
      <c r="F302" s="3"/>
      <c r="G302" s="3"/>
      <c r="H302" s="3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</row>
    <row r="303" spans="1:42">
      <c r="A303" s="3"/>
      <c r="B303" s="3"/>
      <c r="C303" s="3"/>
      <c r="D303" s="3"/>
      <c r="E303" s="3"/>
      <c r="F303" s="3"/>
      <c r="G303" s="3"/>
      <c r="H303" s="3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</row>
    <row r="304" spans="1:42">
      <c r="A304" s="3"/>
      <c r="B304" s="3"/>
      <c r="C304" s="3"/>
      <c r="D304" s="3"/>
      <c r="E304" s="3"/>
      <c r="F304" s="3"/>
      <c r="G304" s="3"/>
      <c r="H304" s="3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</row>
    <row r="305" spans="1:42">
      <c r="A305" s="3"/>
      <c r="B305" s="3"/>
      <c r="C305" s="3"/>
      <c r="D305" s="3"/>
      <c r="E305" s="3"/>
      <c r="F305" s="3"/>
      <c r="G305" s="3"/>
      <c r="H305" s="3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</row>
    <row r="306" spans="1:42">
      <c r="A306" s="3"/>
      <c r="B306" s="3"/>
      <c r="C306" s="3"/>
      <c r="D306" s="3"/>
      <c r="E306" s="3"/>
      <c r="F306" s="3"/>
      <c r="G306" s="3"/>
      <c r="H306" s="3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</row>
    <row r="307" spans="1:42">
      <c r="A307" s="3"/>
      <c r="B307" s="3"/>
      <c r="C307" s="3"/>
      <c r="D307" s="3"/>
      <c r="E307" s="3"/>
      <c r="F307" s="3"/>
      <c r="G307" s="3"/>
      <c r="H307" s="3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</row>
    <row r="308" spans="1:42">
      <c r="A308" s="3"/>
      <c r="B308" s="3"/>
      <c r="C308" s="3"/>
      <c r="D308" s="3"/>
      <c r="E308" s="3"/>
      <c r="F308" s="3"/>
      <c r="G308" s="3"/>
      <c r="H308" s="3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</row>
    <row r="309" spans="1:42">
      <c r="A309" s="3"/>
      <c r="B309" s="3"/>
      <c r="C309" s="3"/>
      <c r="D309" s="3"/>
      <c r="E309" s="3"/>
      <c r="F309" s="3"/>
      <c r="G309" s="3"/>
      <c r="H309" s="3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</row>
    <row r="310" spans="1:42">
      <c r="A310" s="3"/>
      <c r="B310" s="3"/>
      <c r="C310" s="3"/>
      <c r="D310" s="3"/>
      <c r="E310" s="3"/>
      <c r="F310" s="3"/>
      <c r="G310" s="3"/>
      <c r="H310" s="3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</row>
    <row r="311" spans="1:42">
      <c r="A311" s="3"/>
      <c r="B311" s="3"/>
      <c r="C311" s="3"/>
      <c r="D311" s="3"/>
      <c r="E311" s="3"/>
      <c r="F311" s="3"/>
      <c r="G311" s="3"/>
      <c r="H311" s="3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</row>
    <row r="312" spans="1:42">
      <c r="A312" s="3"/>
      <c r="B312" s="3"/>
      <c r="C312" s="3"/>
      <c r="D312" s="3"/>
      <c r="E312" s="3"/>
      <c r="F312" s="3"/>
      <c r="G312" s="3"/>
      <c r="H312" s="3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</row>
    <row r="313" spans="1:42">
      <c r="A313" s="3"/>
      <c r="B313" s="3"/>
      <c r="C313" s="3"/>
      <c r="D313" s="3"/>
      <c r="E313" s="3"/>
      <c r="F313" s="3"/>
      <c r="G313" s="3"/>
      <c r="H313" s="3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</row>
    <row r="314" spans="1:42">
      <c r="A314" s="3"/>
      <c r="B314" s="3"/>
      <c r="C314" s="3"/>
      <c r="D314" s="3"/>
      <c r="E314" s="3"/>
      <c r="F314" s="3"/>
      <c r="G314" s="3"/>
      <c r="H314" s="3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</row>
    <row r="315" spans="1:42">
      <c r="A315" s="3"/>
      <c r="B315" s="3"/>
      <c r="C315" s="3"/>
      <c r="D315" s="3"/>
      <c r="E315" s="3"/>
      <c r="F315" s="3"/>
      <c r="G315" s="3"/>
      <c r="H315" s="3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</row>
    <row r="316" spans="1:42">
      <c r="A316" s="3"/>
      <c r="B316" s="3"/>
      <c r="C316" s="3"/>
      <c r="D316" s="3"/>
      <c r="E316" s="3"/>
      <c r="F316" s="3"/>
      <c r="G316" s="3"/>
      <c r="H316" s="3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</row>
    <row r="317" spans="1:42">
      <c r="A317" s="3"/>
      <c r="B317" s="3"/>
      <c r="C317" s="3"/>
      <c r="D317" s="3"/>
      <c r="E317" s="3"/>
      <c r="F317" s="3"/>
      <c r="G317" s="3"/>
      <c r="H317" s="3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</row>
    <row r="318" spans="1:42">
      <c r="A318" s="3"/>
      <c r="B318" s="3"/>
      <c r="C318" s="3"/>
      <c r="D318" s="3"/>
      <c r="E318" s="3"/>
      <c r="F318" s="3"/>
      <c r="G318" s="3"/>
      <c r="H318" s="3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</row>
    <row r="319" spans="1:42">
      <c r="A319" s="3"/>
      <c r="B319" s="3"/>
      <c r="C319" s="3"/>
      <c r="D319" s="3"/>
      <c r="E319" s="3"/>
      <c r="F319" s="3"/>
      <c r="G319" s="3"/>
      <c r="H319" s="3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</row>
    <row r="320" spans="1:42">
      <c r="A320" s="3"/>
      <c r="B320" s="3"/>
      <c r="C320" s="3"/>
      <c r="D320" s="3"/>
      <c r="E320" s="3"/>
      <c r="F320" s="3"/>
      <c r="G320" s="3"/>
      <c r="H320" s="3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</row>
    <row r="321" spans="1:42">
      <c r="A321" s="3"/>
      <c r="B321" s="3"/>
      <c r="C321" s="3"/>
      <c r="D321" s="3"/>
      <c r="E321" s="3"/>
      <c r="F321" s="3"/>
      <c r="G321" s="3"/>
      <c r="H321" s="3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</row>
    <row r="322" spans="1:42">
      <c r="A322" s="3"/>
      <c r="B322" s="3"/>
      <c r="C322" s="3"/>
      <c r="D322" s="3"/>
      <c r="E322" s="3"/>
      <c r="F322" s="3"/>
      <c r="G322" s="3"/>
      <c r="H322" s="3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</row>
    <row r="323" spans="1:42">
      <c r="A323" s="3"/>
      <c r="B323" s="3"/>
      <c r="C323" s="3"/>
      <c r="D323" s="3"/>
      <c r="E323" s="3"/>
      <c r="F323" s="3"/>
      <c r="G323" s="3"/>
      <c r="H323" s="3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</row>
    <row r="324" spans="1:42">
      <c r="A324" s="3"/>
      <c r="B324" s="3"/>
      <c r="C324" s="3"/>
      <c r="D324" s="3"/>
      <c r="E324" s="3"/>
      <c r="F324" s="3"/>
      <c r="G324" s="3"/>
      <c r="H324" s="3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</row>
    <row r="325" spans="1:42">
      <c r="A325" s="3"/>
      <c r="B325" s="3"/>
      <c r="C325" s="3"/>
      <c r="D325" s="3"/>
      <c r="E325" s="3"/>
      <c r="F325" s="3"/>
      <c r="G325" s="3"/>
      <c r="H325" s="3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</row>
    <row r="326" spans="1:42">
      <c r="A326" s="3"/>
      <c r="B326" s="3"/>
      <c r="C326" s="3"/>
      <c r="D326" s="3"/>
      <c r="E326" s="3"/>
      <c r="F326" s="3"/>
      <c r="G326" s="3"/>
      <c r="H326" s="3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</row>
    <row r="327" spans="1:42">
      <c r="A327" s="3"/>
      <c r="B327" s="3"/>
      <c r="C327" s="3"/>
      <c r="D327" s="3"/>
      <c r="E327" s="3"/>
      <c r="F327" s="3"/>
      <c r="G327" s="3"/>
      <c r="H327" s="3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</row>
    <row r="328" spans="1:42">
      <c r="A328" s="3"/>
      <c r="B328" s="3"/>
      <c r="C328" s="3"/>
      <c r="D328" s="3"/>
      <c r="E328" s="3"/>
      <c r="F328" s="3"/>
      <c r="G328" s="3"/>
      <c r="H328" s="3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</row>
    <row r="329" spans="1:42">
      <c r="A329" s="3"/>
      <c r="B329" s="3"/>
      <c r="C329" s="3"/>
      <c r="D329" s="3"/>
      <c r="E329" s="3"/>
      <c r="F329" s="3"/>
      <c r="G329" s="3"/>
      <c r="H329" s="3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</row>
    <row r="330" spans="1:42">
      <c r="A330" s="3"/>
      <c r="B330" s="3"/>
      <c r="C330" s="3"/>
      <c r="D330" s="3"/>
      <c r="E330" s="3"/>
      <c r="F330" s="3"/>
      <c r="G330" s="3"/>
      <c r="H330" s="3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</row>
    <row r="331" spans="1:42">
      <c r="A331" s="3"/>
      <c r="B331" s="3"/>
      <c r="C331" s="3"/>
      <c r="D331" s="3"/>
      <c r="E331" s="3"/>
      <c r="F331" s="3"/>
      <c r="G331" s="3"/>
      <c r="H331" s="3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</row>
    <row r="332" spans="1:42">
      <c r="A332" s="3"/>
      <c r="B332" s="3"/>
      <c r="C332" s="3"/>
      <c r="D332" s="3"/>
      <c r="E332" s="3"/>
      <c r="F332" s="3"/>
      <c r="G332" s="3"/>
      <c r="H332" s="3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</row>
    <row r="333" spans="1:42">
      <c r="A333" s="3"/>
      <c r="B333" s="3"/>
      <c r="C333" s="3"/>
      <c r="D333" s="3"/>
      <c r="E333" s="3"/>
      <c r="F333" s="3"/>
      <c r="G333" s="3"/>
      <c r="H333" s="3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</row>
    <row r="334" spans="1:42">
      <c r="A334" s="3"/>
      <c r="B334" s="3"/>
      <c r="C334" s="3"/>
      <c r="D334" s="3"/>
      <c r="E334" s="3"/>
      <c r="F334" s="3"/>
      <c r="G334" s="3"/>
      <c r="H334" s="3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</row>
    <row r="335" spans="1:42">
      <c r="A335" s="3"/>
      <c r="B335" s="3"/>
      <c r="C335" s="3"/>
      <c r="D335" s="3"/>
      <c r="E335" s="3"/>
      <c r="F335" s="3"/>
      <c r="G335" s="3"/>
      <c r="H335" s="3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</row>
    <row r="336" spans="1:42">
      <c r="A336" s="3"/>
      <c r="B336" s="3"/>
      <c r="C336" s="3"/>
      <c r="D336" s="3"/>
      <c r="E336" s="3"/>
      <c r="F336" s="3"/>
      <c r="G336" s="3"/>
      <c r="H336" s="3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</row>
    <row r="337" spans="1:42">
      <c r="A337" s="3"/>
      <c r="B337" s="3"/>
      <c r="C337" s="3"/>
      <c r="D337" s="3"/>
      <c r="E337" s="3"/>
      <c r="F337" s="3"/>
      <c r="G337" s="3"/>
      <c r="H337" s="3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</row>
    <row r="338" spans="1:42">
      <c r="A338" s="3"/>
      <c r="B338" s="3"/>
      <c r="C338" s="3"/>
      <c r="D338" s="3"/>
      <c r="E338" s="3"/>
      <c r="F338" s="3"/>
      <c r="G338" s="3"/>
      <c r="H338" s="3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</row>
    <row r="339" spans="1:42">
      <c r="A339" s="3"/>
      <c r="B339" s="3"/>
      <c r="C339" s="3"/>
      <c r="D339" s="3"/>
      <c r="E339" s="3"/>
      <c r="F339" s="3"/>
      <c r="G339" s="3"/>
      <c r="H339" s="3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</row>
    <row r="340" spans="1:42">
      <c r="A340" s="3"/>
      <c r="B340" s="3"/>
      <c r="C340" s="3"/>
      <c r="D340" s="3"/>
      <c r="E340" s="3"/>
      <c r="F340" s="3"/>
      <c r="G340" s="3"/>
      <c r="H340" s="3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</row>
    <row r="341" spans="1:42">
      <c r="A341" s="3"/>
      <c r="B341" s="3"/>
      <c r="C341" s="3"/>
      <c r="D341" s="3"/>
      <c r="E341" s="3"/>
      <c r="F341" s="3"/>
      <c r="G341" s="3"/>
      <c r="H341" s="3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</row>
    <row r="342" spans="1:42">
      <c r="A342" s="3"/>
      <c r="B342" s="3"/>
      <c r="C342" s="3"/>
      <c r="D342" s="3"/>
      <c r="E342" s="3"/>
      <c r="F342" s="3"/>
      <c r="G342" s="3"/>
      <c r="H342" s="3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</row>
    <row r="343" spans="1:42">
      <c r="A343" s="3"/>
      <c r="B343" s="3"/>
      <c r="C343" s="3"/>
      <c r="D343" s="3"/>
      <c r="E343" s="3"/>
      <c r="F343" s="3"/>
      <c r="G343" s="3"/>
      <c r="H343" s="3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</row>
    <row r="344" spans="1:42">
      <c r="A344" s="3"/>
      <c r="B344" s="3"/>
      <c r="C344" s="3"/>
      <c r="D344" s="3"/>
      <c r="E344" s="3"/>
      <c r="F344" s="3"/>
      <c r="G344" s="3"/>
      <c r="H344" s="3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</row>
    <row r="345" spans="1:42">
      <c r="A345" s="3"/>
      <c r="B345" s="3"/>
      <c r="C345" s="3"/>
      <c r="D345" s="3"/>
      <c r="E345" s="3"/>
      <c r="F345" s="3"/>
      <c r="G345" s="3"/>
      <c r="H345" s="3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</row>
    <row r="346" spans="1:42">
      <c r="A346" s="3"/>
      <c r="B346" s="3"/>
      <c r="C346" s="3"/>
      <c r="D346" s="3"/>
      <c r="E346" s="3"/>
      <c r="F346" s="3"/>
      <c r="G346" s="3"/>
      <c r="H346" s="3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</row>
    <row r="347" spans="1:42">
      <c r="A347" s="3"/>
      <c r="B347" s="3"/>
      <c r="C347" s="3"/>
      <c r="D347" s="3"/>
      <c r="E347" s="3"/>
      <c r="F347" s="3"/>
      <c r="G347" s="3"/>
      <c r="H347" s="3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</row>
    <row r="348" spans="1:42">
      <c r="A348" s="3"/>
      <c r="B348" s="3"/>
      <c r="C348" s="3"/>
      <c r="D348" s="3"/>
      <c r="E348" s="3"/>
      <c r="F348" s="3"/>
      <c r="G348" s="3"/>
      <c r="H348" s="3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</row>
    <row r="349" spans="1:42">
      <c r="A349" s="3"/>
      <c r="B349" s="3"/>
      <c r="C349" s="3"/>
      <c r="D349" s="3"/>
      <c r="E349" s="3"/>
      <c r="F349" s="3"/>
      <c r="G349" s="3"/>
      <c r="H349" s="3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</row>
    <row r="350" spans="1:42">
      <c r="A350" s="3"/>
      <c r="B350" s="3"/>
      <c r="C350" s="3"/>
      <c r="D350" s="3"/>
      <c r="E350" s="3"/>
      <c r="F350" s="3"/>
      <c r="G350" s="3"/>
      <c r="H350" s="3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</row>
    <row r="351" spans="1:42">
      <c r="A351" s="3"/>
      <c r="B351" s="3"/>
      <c r="C351" s="3"/>
      <c r="D351" s="3"/>
      <c r="E351" s="3"/>
      <c r="F351" s="3"/>
      <c r="G351" s="3"/>
      <c r="H351" s="3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</row>
    <row r="352" spans="1:42">
      <c r="A352" s="3"/>
      <c r="B352" s="3"/>
      <c r="C352" s="3"/>
      <c r="D352" s="3"/>
      <c r="E352" s="3"/>
      <c r="F352" s="3"/>
      <c r="G352" s="3"/>
      <c r="H352" s="3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</row>
    <row r="353" spans="1:42">
      <c r="A353" s="3"/>
      <c r="B353" s="3"/>
      <c r="C353" s="3"/>
      <c r="D353" s="3"/>
      <c r="E353" s="3"/>
      <c r="F353" s="3"/>
      <c r="G353" s="3"/>
      <c r="H353" s="3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</row>
    <row r="354" spans="1:42">
      <c r="A354" s="3"/>
      <c r="B354" s="3"/>
      <c r="C354" s="3"/>
      <c r="D354" s="3"/>
      <c r="E354" s="3"/>
      <c r="F354" s="3"/>
      <c r="G354" s="3"/>
      <c r="H354" s="3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</row>
    <row r="355" spans="1:42">
      <c r="A355" s="3"/>
      <c r="B355" s="3"/>
      <c r="C355" s="3"/>
      <c r="D355" s="3"/>
      <c r="E355" s="3"/>
      <c r="F355" s="3"/>
      <c r="G355" s="3"/>
      <c r="H355" s="3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</row>
    <row r="356" spans="1:42">
      <c r="A356" s="3"/>
      <c r="B356" s="3"/>
      <c r="C356" s="3"/>
      <c r="D356" s="3"/>
      <c r="E356" s="3"/>
      <c r="F356" s="3"/>
      <c r="G356" s="3"/>
      <c r="H356" s="3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</row>
  </sheetData>
  <sheetProtection password="DD3F" sheet="1" objects="1" scenarios="1"/>
  <mergeCells count="3">
    <mergeCell ref="D4:G4"/>
    <mergeCell ref="A1:G1"/>
    <mergeCell ref="A2:G2"/>
  </mergeCells>
  <printOptions horizontalCentered="1"/>
  <pageMargins left="0.75" right="0.75" top="1" bottom="1" header="0.5" footer="0.5"/>
  <pageSetup scale="66" firstPageNumber="18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zoomScale="75" workbookViewId="0">
      <selection activeCell="B15" sqref="B15"/>
    </sheetView>
  </sheetViews>
  <sheetFormatPr defaultRowHeight="13.2"/>
  <cols>
    <col min="1" max="1" width="32.88671875" customWidth="1"/>
    <col min="2" max="2" width="11.33203125" style="12" customWidth="1"/>
    <col min="3" max="3" width="11.44140625" customWidth="1"/>
    <col min="4" max="4" width="15.109375" customWidth="1"/>
    <col min="5" max="5" width="15.44140625" customWidth="1"/>
    <col min="6" max="6" width="18" customWidth="1"/>
    <col min="7" max="7" width="15" customWidth="1"/>
    <col min="8" max="8" width="11.6640625" customWidth="1"/>
  </cols>
  <sheetData>
    <row r="1" spans="1:8" ht="15.75" customHeight="1">
      <c r="A1" s="10" t="str">
        <f>Scope!A1</f>
        <v>City of Austin 4 x LM6000 Power Project</v>
      </c>
      <c r="B1" s="10"/>
      <c r="C1" s="10"/>
      <c r="D1" s="10"/>
      <c r="E1" s="10"/>
      <c r="F1" s="10"/>
      <c r="G1" s="10"/>
      <c r="H1" s="10"/>
    </row>
    <row r="2" spans="1:8" ht="15.75" customHeight="1">
      <c r="A2" s="173" t="s">
        <v>214</v>
      </c>
      <c r="B2" s="173"/>
      <c r="C2" s="173"/>
      <c r="D2" s="173"/>
      <c r="E2" s="173"/>
      <c r="F2" s="173"/>
      <c r="G2" s="173"/>
      <c r="H2" s="173"/>
    </row>
    <row r="3" spans="1:8" ht="15.6">
      <c r="A3" s="10" t="s">
        <v>215</v>
      </c>
      <c r="B3" s="10"/>
      <c r="C3" s="10"/>
      <c r="D3" s="10"/>
      <c r="E3" s="10"/>
      <c r="F3" s="10"/>
      <c r="G3" s="10"/>
      <c r="H3" s="10"/>
    </row>
    <row r="4" spans="1:8" ht="16.2" thickBot="1">
      <c r="B4" s="265"/>
    </row>
    <row r="5" spans="1:8" ht="15.6">
      <c r="A5" s="266"/>
      <c r="B5" s="267"/>
      <c r="C5" s="59" t="s">
        <v>216</v>
      </c>
      <c r="D5" s="59"/>
      <c r="E5" s="59" t="s">
        <v>610</v>
      </c>
      <c r="F5" s="268" t="s">
        <v>217</v>
      </c>
      <c r="G5" s="59" t="s">
        <v>217</v>
      </c>
      <c r="H5" s="255"/>
    </row>
    <row r="6" spans="1:8" ht="13.8" thickBot="1">
      <c r="A6" s="117"/>
      <c r="B6" s="269" t="s">
        <v>218</v>
      </c>
      <c r="C6" s="61" t="s">
        <v>219</v>
      </c>
      <c r="D6" s="61" t="s">
        <v>220</v>
      </c>
      <c r="E6" s="61" t="s">
        <v>611</v>
      </c>
      <c r="F6" s="270" t="s">
        <v>221</v>
      </c>
      <c r="G6" s="270" t="s">
        <v>222</v>
      </c>
      <c r="H6" s="271" t="s">
        <v>223</v>
      </c>
    </row>
    <row r="7" spans="1:8">
      <c r="A7" s="272"/>
      <c r="B7" s="273"/>
      <c r="C7" s="274"/>
      <c r="D7" s="274"/>
      <c r="E7" s="274"/>
      <c r="F7" s="274"/>
      <c r="G7" s="274"/>
      <c r="H7" s="274"/>
    </row>
    <row r="8" spans="1:8" hidden="1">
      <c r="A8" s="117" t="s">
        <v>812</v>
      </c>
      <c r="B8" s="273">
        <v>0</v>
      </c>
      <c r="C8" s="275"/>
      <c r="D8" s="275"/>
      <c r="E8" s="275"/>
      <c r="F8" s="276"/>
      <c r="G8" s="277"/>
      <c r="H8" s="276"/>
    </row>
    <row r="9" spans="1:8" hidden="1">
      <c r="A9" s="117" t="s">
        <v>813</v>
      </c>
      <c r="B9" s="273">
        <v>0</v>
      </c>
      <c r="D9" s="278"/>
      <c r="E9" s="278"/>
      <c r="F9" s="276"/>
      <c r="G9" s="277"/>
      <c r="H9" s="276"/>
    </row>
    <row r="10" spans="1:8" hidden="1">
      <c r="A10" s="117" t="s">
        <v>814</v>
      </c>
      <c r="B10" s="273">
        <v>0</v>
      </c>
      <c r="C10" s="275"/>
      <c r="D10" s="275"/>
      <c r="E10" s="275"/>
      <c r="F10" s="276"/>
      <c r="G10" s="277"/>
      <c r="H10" s="276"/>
    </row>
    <row r="11" spans="1:8">
      <c r="A11" s="117" t="str">
        <f>Mob_Staffing!A13</f>
        <v>CONTROL ROOM TECHNICIAN</v>
      </c>
      <c r="B11" s="273">
        <v>3</v>
      </c>
      <c r="C11" s="275"/>
      <c r="D11" s="275"/>
      <c r="F11" s="276"/>
      <c r="G11" s="279"/>
      <c r="H11" s="276"/>
    </row>
    <row r="12" spans="1:8">
      <c r="A12" s="117" t="s">
        <v>608</v>
      </c>
      <c r="B12" s="273"/>
      <c r="C12" s="275"/>
      <c r="D12" s="278">
        <f>'Pay &amp; Benefits Calculations'!B34</f>
        <v>25</v>
      </c>
      <c r="E12" s="429">
        <f>'Pay &amp; Benefits Calculations'!R34</f>
        <v>2080</v>
      </c>
      <c r="F12" s="276">
        <f>E12*D12*B11</f>
        <v>156000</v>
      </c>
      <c r="G12" s="279">
        <f>('Pay &amp; Benefits Calculations'!K34-'Pay &amp; Benefits Calculations'!B34)*'Pay &amp; Benefits Calculations'!R34*B11</f>
        <v>96348.669599999979</v>
      </c>
      <c r="H12" s="276">
        <f>SUM(F12:G12)</f>
        <v>252348.66959999996</v>
      </c>
    </row>
    <row r="13" spans="1:8">
      <c r="A13" s="117" t="s">
        <v>609</v>
      </c>
      <c r="B13" s="273"/>
      <c r="C13" s="275"/>
      <c r="D13" s="278">
        <f>'Pay &amp; Benefits Calculations'!B52</f>
        <v>37.5</v>
      </c>
      <c r="E13" s="429">
        <f>'Pay &amp; Benefits Calculations'!R52</f>
        <v>416</v>
      </c>
      <c r="F13" s="276">
        <f>E13*D13*B11</f>
        <v>46800</v>
      </c>
      <c r="G13" s="279">
        <f>'Pay &amp; Benefits Calculations'!R52*('Pay &amp; Benefits Calculations'!K52-'Pay &amp; Benefits Calculations'!B52)*B11</f>
        <v>20353.881599999997</v>
      </c>
      <c r="H13" s="276">
        <f>SUM(F13:G13)</f>
        <v>67153.881599999993</v>
      </c>
    </row>
    <row r="14" spans="1:8">
      <c r="A14" s="117" t="str">
        <f>Mob_Staffing!A14</f>
        <v>OUTSIDE TECHNICIAN</v>
      </c>
      <c r="B14" s="280">
        <v>2</v>
      </c>
      <c r="C14" s="275"/>
      <c r="E14" s="429"/>
      <c r="F14" s="276"/>
      <c r="G14" s="279"/>
      <c r="H14" s="276"/>
    </row>
    <row r="15" spans="1:8">
      <c r="A15" s="117" t="s">
        <v>608</v>
      </c>
      <c r="B15" s="280"/>
      <c r="C15" s="275"/>
      <c r="D15" s="278">
        <f>'Pay &amp; Benefits Calculations'!B35</f>
        <v>22</v>
      </c>
      <c r="E15" s="429">
        <f>'Pay &amp; Benefits Calculations'!R35</f>
        <v>2080</v>
      </c>
      <c r="F15" s="276">
        <f>E15*D15*B14</f>
        <v>91520</v>
      </c>
      <c r="G15" s="279">
        <f>'Pay &amp; Benefits Calculations'!R35*('Pay &amp; Benefits Calculations'!K35-'Pay &amp; Benefits Calculations'!B35)*B14</f>
        <v>57806.34464000001</v>
      </c>
      <c r="H15" s="276">
        <f>SUM(F15:G15)</f>
        <v>149326.34464000002</v>
      </c>
    </row>
    <row r="16" spans="1:8">
      <c r="A16" s="117" t="s">
        <v>609</v>
      </c>
      <c r="B16" s="280"/>
      <c r="C16" s="275"/>
      <c r="D16" s="278">
        <f>'Pay &amp; Benefits Calculations'!B53</f>
        <v>33</v>
      </c>
      <c r="E16" s="429">
        <f>'Pay &amp; Benefits Calculations'!R53</f>
        <v>416</v>
      </c>
      <c r="F16" s="276">
        <f>E16*D16*B14</f>
        <v>27456</v>
      </c>
      <c r="G16" s="279">
        <f>'Pay &amp; Benefits Calculations'!R53*('Pay &amp; Benefits Calculations'!K53-'Pay &amp; Benefits Calculations'!B53)*B14</f>
        <v>11940.943871999996</v>
      </c>
      <c r="H16" s="276">
        <f>SUM(F16:G16)</f>
        <v>39396.943871999996</v>
      </c>
    </row>
    <row r="17" spans="1:8">
      <c r="B17" s="280"/>
      <c r="C17" s="279"/>
      <c r="D17" s="279"/>
      <c r="E17" s="430"/>
      <c r="F17" s="276"/>
      <c r="G17" s="279"/>
      <c r="H17" s="276"/>
    </row>
    <row r="18" spans="1:8">
      <c r="A18" s="281" t="s">
        <v>224</v>
      </c>
      <c r="B18" s="280"/>
      <c r="C18" s="279"/>
      <c r="D18" s="279"/>
      <c r="E18" s="430"/>
      <c r="F18" s="276"/>
      <c r="G18" s="279"/>
      <c r="H18" s="276"/>
    </row>
    <row r="19" spans="1:8" ht="13.8" thickBot="1">
      <c r="A19" s="281"/>
      <c r="B19" s="282"/>
      <c r="C19" s="283"/>
      <c r="D19" s="283"/>
      <c r="E19" s="431"/>
      <c r="F19" s="276"/>
      <c r="G19" s="276"/>
      <c r="H19" s="284"/>
    </row>
    <row r="20" spans="1:8" ht="13.8" thickBot="1">
      <c r="A20" s="285" t="s">
        <v>225</v>
      </c>
      <c r="B20" s="286">
        <f>SUM(B8:B19)</f>
        <v>5</v>
      </c>
      <c r="C20" s="287"/>
      <c r="D20" s="287"/>
      <c r="E20" s="287"/>
      <c r="F20" s="288">
        <f>SUM(F8:F19)</f>
        <v>321776</v>
      </c>
      <c r="G20" s="288">
        <f>SUM(G8:G19)</f>
        <v>186449.83971199999</v>
      </c>
      <c r="H20" s="288">
        <f>SUM(H8:H19)</f>
        <v>508225.83971199999</v>
      </c>
    </row>
    <row r="21" spans="1:8" ht="25.5" customHeight="1">
      <c r="A21" s="117"/>
      <c r="B21" s="289"/>
      <c r="C21" s="117"/>
      <c r="D21" s="117"/>
      <c r="E21" s="117"/>
      <c r="F21" s="290"/>
      <c r="G21" s="291"/>
      <c r="H21" s="117"/>
    </row>
    <row r="25" spans="1:8">
      <c r="A25" s="181"/>
    </row>
    <row r="26" spans="1:8">
      <c r="A26" s="181"/>
    </row>
  </sheetData>
  <printOptions horizontalCentered="1"/>
  <pageMargins left="0.75" right="0.75" top="1" bottom="1" header="0.5" footer="0.5"/>
  <pageSetup scale="69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zoomScale="75" workbookViewId="0">
      <selection activeCell="B59" sqref="B59"/>
    </sheetView>
  </sheetViews>
  <sheetFormatPr defaultRowHeight="13.2"/>
  <cols>
    <col min="1" max="1" width="42.33203125" customWidth="1"/>
    <col min="2" max="2" width="10.5546875" customWidth="1"/>
    <col min="3" max="3" width="10" customWidth="1"/>
    <col min="4" max="4" width="9.6640625" customWidth="1"/>
    <col min="5" max="5" width="8.33203125" customWidth="1"/>
    <col min="6" max="6" width="10.88671875" customWidth="1"/>
    <col min="8" max="10" width="9.6640625" customWidth="1"/>
    <col min="11" max="11" width="10.88671875" customWidth="1"/>
    <col min="12" max="12" width="12.109375" customWidth="1"/>
    <col min="14" max="14" width="16.6640625" customWidth="1"/>
    <col min="15" max="15" width="18.6640625" customWidth="1"/>
    <col min="16" max="16" width="12.33203125" customWidth="1"/>
    <col min="17" max="17" width="14.88671875" customWidth="1"/>
    <col min="19" max="19" width="13.88671875" customWidth="1"/>
  </cols>
  <sheetData>
    <row r="1" spans="1:13" ht="15.6">
      <c r="A1" s="10" t="str">
        <f>Scope!A1</f>
        <v>City of Austin 4 x LM6000 Power Project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 ht="15.6">
      <c r="A2" s="292" t="s">
        <v>600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</row>
    <row r="3" spans="1:13">
      <c r="A3" s="293"/>
      <c r="B3" s="172"/>
      <c r="C3" s="172"/>
      <c r="D3" s="172"/>
      <c r="E3" s="172"/>
      <c r="F3" s="172"/>
    </row>
    <row r="4" spans="1:13" ht="27.75" customHeight="1">
      <c r="A4" s="293"/>
      <c r="B4" s="172"/>
      <c r="C4" s="172"/>
      <c r="D4" s="172"/>
      <c r="E4" s="172"/>
      <c r="F4" s="172"/>
    </row>
    <row r="5" spans="1:13" hidden="1">
      <c r="A5" s="73"/>
      <c r="B5" s="154"/>
      <c r="C5" s="73"/>
      <c r="D5" s="73"/>
      <c r="E5" s="154"/>
      <c r="F5" s="73"/>
      <c r="G5" s="73"/>
      <c r="H5" s="73"/>
      <c r="I5" s="73"/>
      <c r="J5" s="73"/>
      <c r="K5" s="73"/>
      <c r="L5" s="73"/>
      <c r="M5" s="3"/>
    </row>
    <row r="6" spans="1:13" hidden="1">
      <c r="A6" s="73"/>
      <c r="B6" s="154"/>
      <c r="C6" s="73"/>
      <c r="D6" s="73"/>
      <c r="E6" s="154"/>
      <c r="F6" s="73"/>
      <c r="G6" s="73"/>
      <c r="H6" s="73"/>
      <c r="I6" s="73"/>
      <c r="J6" s="73"/>
      <c r="K6" s="73"/>
      <c r="L6" s="73"/>
      <c r="M6" s="3"/>
    </row>
    <row r="7" spans="1:13" hidden="1">
      <c r="A7" s="73" t="s">
        <v>226</v>
      </c>
      <c r="B7" s="154" t="s">
        <v>227</v>
      </c>
      <c r="C7" s="73" t="s">
        <v>228</v>
      </c>
      <c r="D7" s="73"/>
      <c r="E7" s="154"/>
      <c r="F7" s="73"/>
      <c r="G7" s="73"/>
      <c r="H7" s="73"/>
      <c r="I7" s="73"/>
      <c r="J7" s="73"/>
      <c r="K7" s="73"/>
      <c r="L7" s="73"/>
      <c r="M7" s="3"/>
    </row>
    <row r="8" spans="1:13" hidden="1">
      <c r="A8" s="73"/>
      <c r="B8" s="154" t="s">
        <v>219</v>
      </c>
      <c r="C8" s="73" t="s">
        <v>229</v>
      </c>
      <c r="D8" s="73"/>
      <c r="E8" s="154"/>
      <c r="F8" s="73"/>
      <c r="G8" s="73"/>
      <c r="H8" s="73"/>
      <c r="I8" s="73"/>
      <c r="J8" s="73"/>
      <c r="K8" s="73"/>
      <c r="L8" s="73"/>
      <c r="M8" s="3"/>
    </row>
    <row r="9" spans="1:13" ht="17.25" hidden="1" customHeight="1">
      <c r="A9" s="73" t="s">
        <v>230</v>
      </c>
      <c r="B9" s="154" t="s">
        <v>231</v>
      </c>
      <c r="C9" s="294">
        <v>2080</v>
      </c>
      <c r="D9" s="73"/>
      <c r="E9" s="154"/>
      <c r="F9" s="73"/>
      <c r="G9" s="73"/>
      <c r="H9" s="73"/>
      <c r="I9" s="73"/>
      <c r="J9" s="73"/>
      <c r="K9" s="73"/>
      <c r="L9" s="73"/>
      <c r="M9" s="3"/>
    </row>
    <row r="10" spans="1:13" ht="18" hidden="1" customHeight="1">
      <c r="A10" s="73"/>
      <c r="B10" s="154"/>
      <c r="C10" s="73"/>
      <c r="D10" s="73"/>
      <c r="E10" s="154"/>
      <c r="F10" s="73"/>
      <c r="G10" s="73"/>
      <c r="H10" s="73"/>
      <c r="I10" s="73"/>
      <c r="J10" s="73"/>
      <c r="K10" s="73"/>
      <c r="L10" s="73"/>
      <c r="M10" s="3"/>
    </row>
    <row r="11" spans="1:13" ht="20.25" hidden="1" customHeight="1">
      <c r="A11" s="73" t="s">
        <v>812</v>
      </c>
      <c r="B11" s="295">
        <f>K28*C$9</f>
        <v>134532.49455999999</v>
      </c>
      <c r="C11" s="73"/>
      <c r="D11" s="73"/>
      <c r="E11" s="154"/>
      <c r="F11" s="73"/>
      <c r="G11" s="73"/>
      <c r="H11" s="73"/>
      <c r="I11" s="73"/>
      <c r="J11" s="73"/>
      <c r="K11" s="73"/>
      <c r="L11" s="73"/>
      <c r="M11" s="3"/>
    </row>
    <row r="12" spans="1:13" ht="15.75" hidden="1" customHeight="1">
      <c r="A12" s="73" t="s">
        <v>836</v>
      </c>
      <c r="B12" s="295">
        <f>K29*C$9</f>
        <v>124133.75919999996</v>
      </c>
      <c r="C12" s="73"/>
      <c r="D12" s="73"/>
      <c r="E12" s="154"/>
      <c r="F12" s="73"/>
      <c r="G12" s="73"/>
      <c r="H12" s="73"/>
      <c r="I12" s="73"/>
      <c r="J12" s="73"/>
      <c r="K12" s="73"/>
      <c r="L12" s="73"/>
      <c r="M12" s="3"/>
    </row>
    <row r="13" spans="1:13" ht="20.25" hidden="1" customHeight="1">
      <c r="A13" s="73" t="s">
        <v>838</v>
      </c>
      <c r="B13" s="295">
        <f>K30*C$9</f>
        <v>82556.223199999993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3"/>
    </row>
    <row r="14" spans="1:13" ht="15" hidden="1" customHeight="1">
      <c r="A14" s="73" t="s">
        <v>813</v>
      </c>
      <c r="B14" s="295">
        <f>K31*C$9</f>
        <v>43940.756960000006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3"/>
    </row>
    <row r="15" spans="1:13" ht="17.25" hidden="1" customHeight="1">
      <c r="A15" s="73" t="s">
        <v>839</v>
      </c>
      <c r="B15" s="295">
        <f>K33*C$9</f>
        <v>103810.07919999999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3"/>
    </row>
    <row r="16" spans="1:13" ht="20.25" hidden="1" customHeight="1">
      <c r="A16" s="73" t="s">
        <v>841</v>
      </c>
      <c r="B16" s="295">
        <f>K34*C$9</f>
        <v>84116.223199999993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3"/>
    </row>
    <row r="17" spans="1:19" ht="14.25" hidden="1" customHeight="1">
      <c r="A17" s="73" t="s">
        <v>843</v>
      </c>
      <c r="B17" s="295">
        <f>K35*C$9</f>
        <v>74663.172320000012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41"/>
    </row>
    <row r="18" spans="1:19" ht="15" customHeight="1">
      <c r="A18" s="296"/>
      <c r="B18" s="25"/>
      <c r="C18" s="25"/>
      <c r="D18" s="25"/>
      <c r="E18" s="73"/>
      <c r="F18" s="25"/>
      <c r="G18" s="25"/>
      <c r="H18" s="73"/>
      <c r="I18" s="73"/>
      <c r="J18" s="73"/>
      <c r="K18" s="73"/>
      <c r="L18" s="73"/>
      <c r="M18" s="3"/>
    </row>
    <row r="19" spans="1:19" ht="15.6">
      <c r="A19" s="296" t="s">
        <v>232</v>
      </c>
      <c r="B19" s="25"/>
      <c r="C19" s="25"/>
      <c r="D19" s="25"/>
      <c r="E19" s="73"/>
      <c r="F19" s="25"/>
      <c r="G19" s="25"/>
      <c r="H19" s="73"/>
      <c r="I19" s="73"/>
      <c r="J19" s="73"/>
      <c r="K19" s="73"/>
      <c r="L19" s="73"/>
      <c r="M19" s="3"/>
    </row>
    <row r="20" spans="1:19" ht="16.2" thickBot="1">
      <c r="A20" s="296" t="s">
        <v>233</v>
      </c>
      <c r="B20" s="25"/>
      <c r="C20" s="25"/>
      <c r="D20" s="25"/>
      <c r="E20" s="73"/>
      <c r="F20" s="25"/>
      <c r="G20" s="25"/>
      <c r="H20" s="25"/>
      <c r="I20" s="25"/>
      <c r="J20" s="25"/>
      <c r="K20" s="73"/>
      <c r="L20" s="73"/>
      <c r="M20" s="3"/>
    </row>
    <row r="21" spans="1:19">
      <c r="A21" s="297"/>
      <c r="B21" s="297"/>
      <c r="C21" s="297"/>
      <c r="D21" s="297"/>
      <c r="E21" s="298"/>
      <c r="F21" s="297"/>
      <c r="G21" s="26"/>
      <c r="H21" s="26"/>
      <c r="I21" s="26"/>
      <c r="J21" s="26"/>
      <c r="K21" s="73"/>
      <c r="L21" s="73"/>
      <c r="M21" s="3"/>
      <c r="N21" s="459" t="s">
        <v>601</v>
      </c>
      <c r="O21" s="470"/>
      <c r="P21" s="460"/>
      <c r="Q21" s="459" t="s">
        <v>602</v>
      </c>
      <c r="R21" s="470"/>
      <c r="S21" s="460"/>
    </row>
    <row r="22" spans="1:19">
      <c r="A22" s="299"/>
      <c r="B22" s="300"/>
      <c r="C22" s="301"/>
      <c r="D22" s="301"/>
      <c r="E22" s="301"/>
      <c r="F22" s="301" t="s">
        <v>612</v>
      </c>
      <c r="G22" s="302"/>
      <c r="H22" s="303"/>
      <c r="I22" s="302"/>
      <c r="J22" s="303"/>
      <c r="K22" s="302"/>
      <c r="L22" s="303"/>
      <c r="M22" s="3"/>
      <c r="N22" s="419" t="s">
        <v>603</v>
      </c>
      <c r="O22" s="174" t="s">
        <v>229</v>
      </c>
      <c r="P22" s="420" t="s">
        <v>252</v>
      </c>
      <c r="Q22" s="419" t="s">
        <v>603</v>
      </c>
      <c r="R22" s="174" t="s">
        <v>229</v>
      </c>
      <c r="S22" s="420" t="s">
        <v>252</v>
      </c>
    </row>
    <row r="23" spans="1:19">
      <c r="A23" s="304"/>
      <c r="B23" s="305" t="s">
        <v>234</v>
      </c>
      <c r="C23" s="306" t="s">
        <v>235</v>
      </c>
      <c r="D23" s="306" t="s">
        <v>236</v>
      </c>
      <c r="E23" s="306"/>
      <c r="F23" s="305" t="s">
        <v>237</v>
      </c>
      <c r="G23" s="307" t="s">
        <v>238</v>
      </c>
      <c r="H23" s="308"/>
      <c r="I23" s="307"/>
      <c r="J23" s="308"/>
      <c r="K23" s="309"/>
      <c r="L23" s="308"/>
      <c r="M23" s="3"/>
      <c r="N23" s="421"/>
      <c r="O23" s="289"/>
      <c r="P23" s="422"/>
      <c r="Q23" s="421"/>
      <c r="R23" s="117"/>
      <c r="S23" s="380"/>
    </row>
    <row r="24" spans="1:19">
      <c r="A24" s="304" t="s">
        <v>239</v>
      </c>
      <c r="B24" s="305" t="s">
        <v>240</v>
      </c>
      <c r="C24" s="310" t="s">
        <v>1040</v>
      </c>
      <c r="D24" s="310" t="s">
        <v>241</v>
      </c>
      <c r="E24" s="310" t="s">
        <v>242</v>
      </c>
      <c r="F24" s="305" t="s">
        <v>243</v>
      </c>
      <c r="G24" s="309" t="s">
        <v>244</v>
      </c>
      <c r="H24" s="311" t="s">
        <v>245</v>
      </c>
      <c r="I24" s="309" t="s">
        <v>604</v>
      </c>
      <c r="J24" s="311" t="s">
        <v>605</v>
      </c>
      <c r="K24" s="309" t="s">
        <v>246</v>
      </c>
      <c r="L24" s="308" t="s">
        <v>234</v>
      </c>
      <c r="M24" s="3"/>
      <c r="N24" s="421"/>
      <c r="O24" s="289"/>
      <c r="P24" s="422"/>
      <c r="Q24" s="421"/>
      <c r="R24" s="117"/>
      <c r="S24" s="380"/>
    </row>
    <row r="25" spans="1:19">
      <c r="A25" s="304" t="s">
        <v>247</v>
      </c>
      <c r="B25" s="305" t="s">
        <v>248</v>
      </c>
      <c r="C25" s="305" t="s">
        <v>249</v>
      </c>
      <c r="D25" s="305" t="s">
        <v>243</v>
      </c>
      <c r="E25" s="305" t="s">
        <v>250</v>
      </c>
      <c r="F25" s="305" t="s">
        <v>251</v>
      </c>
      <c r="G25" s="307" t="s">
        <v>243</v>
      </c>
      <c r="H25" s="308"/>
      <c r="I25" s="307"/>
      <c r="J25" s="308"/>
      <c r="K25" s="309" t="s">
        <v>252</v>
      </c>
      <c r="L25" s="308" t="s">
        <v>228</v>
      </c>
      <c r="M25" s="3"/>
      <c r="N25" s="421"/>
      <c r="O25" s="289"/>
      <c r="P25" s="422"/>
      <c r="Q25" s="421"/>
      <c r="R25" s="117"/>
      <c r="S25" s="380"/>
    </row>
    <row r="26" spans="1:19">
      <c r="A26" s="304"/>
      <c r="B26" s="432"/>
      <c r="C26" s="433">
        <v>0.1434</v>
      </c>
      <c r="D26" s="433">
        <v>7.7799999999999994E-2</v>
      </c>
      <c r="E26" s="433">
        <v>0.15</v>
      </c>
      <c r="F26" s="434">
        <v>440.66</v>
      </c>
      <c r="G26" s="435">
        <v>0.01</v>
      </c>
      <c r="H26" s="423">
        <v>0.05</v>
      </c>
      <c r="I26" s="312">
        <v>0.05</v>
      </c>
      <c r="J26" s="423">
        <v>0.03</v>
      </c>
      <c r="K26" s="313"/>
      <c r="L26" s="314" t="s">
        <v>253</v>
      </c>
      <c r="M26" s="3"/>
      <c r="N26" s="421"/>
      <c r="O26" s="289"/>
      <c r="P26" s="422"/>
      <c r="Q26" s="421"/>
      <c r="R26" s="117"/>
      <c r="S26" s="380"/>
    </row>
    <row r="27" spans="1:19" ht="15.6" hidden="1">
      <c r="A27" s="315" t="s">
        <v>1099</v>
      </c>
      <c r="B27" s="316"/>
      <c r="C27" s="316"/>
      <c r="D27" s="317"/>
      <c r="E27" s="317"/>
      <c r="F27" s="316"/>
      <c r="G27" s="317"/>
      <c r="H27" s="318"/>
      <c r="I27" s="317"/>
      <c r="J27" s="318"/>
      <c r="K27" s="317"/>
      <c r="L27" s="318"/>
      <c r="M27" s="3"/>
      <c r="N27" s="421"/>
      <c r="O27" s="289"/>
      <c r="P27" s="422"/>
      <c r="Q27" s="421"/>
      <c r="R27" s="117"/>
      <c r="S27" s="380"/>
    </row>
    <row r="28" spans="1:19" hidden="1">
      <c r="A28" s="319" t="s">
        <v>254</v>
      </c>
      <c r="B28" s="320">
        <v>41</v>
      </c>
      <c r="C28" s="321">
        <f t="shared" ref="C28:E31" si="0">$B28*C$26</f>
        <v>5.8794000000000004</v>
      </c>
      <c r="D28" s="321">
        <f t="shared" si="0"/>
        <v>3.1898</v>
      </c>
      <c r="E28" s="321">
        <f t="shared" si="0"/>
        <v>6.1499999999999995</v>
      </c>
      <c r="F28" s="321">
        <f>$F$26*12/2080</f>
        <v>2.5422692307692309</v>
      </c>
      <c r="G28" s="321">
        <f>SUM(B28:F28)*G$26</f>
        <v>0.58761469230769225</v>
      </c>
      <c r="H28" s="321">
        <f>$B28*H$26</f>
        <v>2.0500000000000003</v>
      </c>
      <c r="I28" s="321">
        <f t="shared" ref="I28:J34" si="1">$B28*I$26</f>
        <v>2.0500000000000003</v>
      </c>
      <c r="J28" s="321">
        <f t="shared" si="1"/>
        <v>1.23</v>
      </c>
      <c r="K28" s="321">
        <f>SUM(B28:J28)</f>
        <v>64.679083923076917</v>
      </c>
      <c r="L28" s="322">
        <f>B28*2080</f>
        <v>85280</v>
      </c>
      <c r="M28" s="3"/>
      <c r="N28" s="421">
        <v>0</v>
      </c>
      <c r="O28" s="424">
        <f>7*160</f>
        <v>1120</v>
      </c>
      <c r="P28" s="425">
        <f>N28*O28*K28</f>
        <v>0</v>
      </c>
      <c r="Q28" s="421">
        <v>0</v>
      </c>
      <c r="R28" s="289">
        <v>2080</v>
      </c>
      <c r="S28" s="425">
        <f>Q28*R28*K28</f>
        <v>0</v>
      </c>
    </row>
    <row r="29" spans="1:19" hidden="1">
      <c r="A29" s="323" t="s">
        <v>255</v>
      </c>
      <c r="B29" s="324">
        <f>80000/2080</f>
        <v>38.46153846153846</v>
      </c>
      <c r="C29" s="321">
        <f t="shared" si="0"/>
        <v>5.5153846153846153</v>
      </c>
      <c r="D29" s="321">
        <f t="shared" si="0"/>
        <v>2.9923076923076919</v>
      </c>
      <c r="E29" s="321">
        <f t="shared" si="0"/>
        <v>5.7692307692307692</v>
      </c>
      <c r="F29" s="321">
        <f>$F$26*12/2080</f>
        <v>2.5422692307692309</v>
      </c>
      <c r="G29" s="321">
        <f>SUM(B29:F29)*G$26</f>
        <v>0.55280730769230757</v>
      </c>
      <c r="H29" s="321">
        <f>$B29*H$26</f>
        <v>1.9230769230769231</v>
      </c>
      <c r="I29" s="321">
        <f t="shared" si="1"/>
        <v>1.9230769230769231</v>
      </c>
      <c r="J29" s="321"/>
      <c r="K29" s="321">
        <f t="shared" ref="K29:K35" si="2">SUM(B29:J29)</f>
        <v>59.679691923076902</v>
      </c>
      <c r="L29" s="322">
        <f>B29*2080</f>
        <v>80000</v>
      </c>
      <c r="M29" s="3"/>
      <c r="N29" s="421"/>
      <c r="O29" s="424">
        <f>7*160</f>
        <v>1120</v>
      </c>
      <c r="P29" s="425">
        <f t="shared" ref="P29:P35" si="3">N29*O29*K29</f>
        <v>0</v>
      </c>
      <c r="Q29" s="421"/>
      <c r="R29" s="289"/>
      <c r="S29" s="425">
        <f t="shared" ref="S29:S35" si="4">Q29*R29*K29</f>
        <v>0</v>
      </c>
    </row>
    <row r="30" spans="1:19" hidden="1">
      <c r="A30" s="319" t="s">
        <v>256</v>
      </c>
      <c r="B30" s="320">
        <v>25</v>
      </c>
      <c r="C30" s="321">
        <f t="shared" si="0"/>
        <v>3.585</v>
      </c>
      <c r="D30" s="321">
        <f t="shared" si="0"/>
        <v>1.9449999999999998</v>
      </c>
      <c r="E30" s="321">
        <f t="shared" si="0"/>
        <v>3.75</v>
      </c>
      <c r="F30" s="321">
        <f>$F$26*12/2080</f>
        <v>2.5422692307692309</v>
      </c>
      <c r="G30" s="321">
        <f>SUM(B30:F30)*G$26</f>
        <v>0.36822269230769228</v>
      </c>
      <c r="H30" s="321">
        <f>$B30*H$26</f>
        <v>1.25</v>
      </c>
      <c r="I30" s="321">
        <f t="shared" si="1"/>
        <v>1.25</v>
      </c>
      <c r="J30" s="321"/>
      <c r="K30" s="321">
        <f t="shared" si="2"/>
        <v>39.69049192307692</v>
      </c>
      <c r="L30" s="322">
        <f>B30*2080</f>
        <v>52000</v>
      </c>
      <c r="M30" s="3"/>
      <c r="N30" s="421"/>
      <c r="O30" s="424">
        <f>7*160</f>
        <v>1120</v>
      </c>
      <c r="P30" s="425">
        <f t="shared" si="3"/>
        <v>0</v>
      </c>
      <c r="Q30" s="421"/>
      <c r="R30" s="289"/>
      <c r="S30" s="425">
        <f t="shared" si="4"/>
        <v>0</v>
      </c>
    </row>
    <row r="31" spans="1:19" hidden="1">
      <c r="A31" s="319" t="s">
        <v>606</v>
      </c>
      <c r="B31" s="320">
        <v>12.25</v>
      </c>
      <c r="C31" s="321">
        <f t="shared" si="0"/>
        <v>1.75665</v>
      </c>
      <c r="D31" s="321">
        <f t="shared" si="0"/>
        <v>0.95304999999999995</v>
      </c>
      <c r="E31" s="321">
        <f t="shared" si="0"/>
        <v>1.8374999999999999</v>
      </c>
      <c r="F31" s="321">
        <f>$F$26*12/2080</f>
        <v>2.5422692307692309</v>
      </c>
      <c r="G31" s="321">
        <f>SUM(B31:F31)*G$26</f>
        <v>0.19339469230769232</v>
      </c>
      <c r="H31" s="321">
        <f>$B31*H$26</f>
        <v>0.61250000000000004</v>
      </c>
      <c r="I31" s="321">
        <f t="shared" si="1"/>
        <v>0.61250000000000004</v>
      </c>
      <c r="J31" s="321">
        <f t="shared" si="1"/>
        <v>0.36749999999999999</v>
      </c>
      <c r="K31" s="321">
        <f t="shared" si="2"/>
        <v>21.125363923076925</v>
      </c>
      <c r="L31" s="322">
        <f>B31*2080</f>
        <v>25480</v>
      </c>
      <c r="M31" s="3"/>
      <c r="N31" s="421">
        <v>0</v>
      </c>
      <c r="O31" s="424">
        <f>7*160</f>
        <v>1120</v>
      </c>
      <c r="P31" s="425">
        <f t="shared" si="3"/>
        <v>0</v>
      </c>
      <c r="Q31" s="421">
        <v>0</v>
      </c>
      <c r="R31" s="289">
        <v>2080</v>
      </c>
      <c r="S31" s="425">
        <f t="shared" si="4"/>
        <v>0</v>
      </c>
    </row>
    <row r="32" spans="1:19" ht="15.6">
      <c r="A32" s="315" t="s">
        <v>257</v>
      </c>
      <c r="B32" s="325"/>
      <c r="C32" s="25"/>
      <c r="D32" s="25"/>
      <c r="E32" s="25"/>
      <c r="F32" s="25"/>
      <c r="G32" s="25"/>
      <c r="H32" s="25"/>
      <c r="I32" s="321"/>
      <c r="J32" s="321"/>
      <c r="K32" s="321"/>
      <c r="L32" s="25"/>
      <c r="M32" s="3"/>
      <c r="N32" s="421"/>
      <c r="O32" s="424"/>
      <c r="P32" s="425"/>
      <c r="Q32" s="421"/>
      <c r="R32" s="289"/>
      <c r="S32" s="425"/>
    </row>
    <row r="33" spans="1:22" hidden="1">
      <c r="A33" s="319" t="s">
        <v>258</v>
      </c>
      <c r="B33" s="320">
        <f>65000/2080</f>
        <v>31.25</v>
      </c>
      <c r="C33" s="321">
        <f t="shared" ref="C33:E35" si="5">$B33*C$26</f>
        <v>4.4812500000000002</v>
      </c>
      <c r="D33" s="321">
        <f t="shared" si="5"/>
        <v>2.4312499999999999</v>
      </c>
      <c r="E33" s="321">
        <f t="shared" si="5"/>
        <v>4.6875</v>
      </c>
      <c r="F33" s="321">
        <f>$F$26*12/2080</f>
        <v>2.5422692307692309</v>
      </c>
      <c r="G33" s="321">
        <f>SUM(B33:F33)*G$26</f>
        <v>0.45392269230769233</v>
      </c>
      <c r="H33" s="321">
        <f>$B33*H$26</f>
        <v>1.5625</v>
      </c>
      <c r="I33" s="321">
        <f t="shared" si="1"/>
        <v>1.5625</v>
      </c>
      <c r="J33" s="321">
        <f t="shared" si="1"/>
        <v>0.9375</v>
      </c>
      <c r="K33" s="321">
        <f t="shared" si="2"/>
        <v>49.908691923076923</v>
      </c>
      <c r="L33" s="322">
        <f>B33*2080</f>
        <v>65000</v>
      </c>
      <c r="M33" s="3"/>
      <c r="N33" s="421"/>
      <c r="O33" s="424"/>
      <c r="P33" s="425">
        <f t="shared" si="3"/>
        <v>0</v>
      </c>
      <c r="Q33" s="421"/>
      <c r="R33" s="289"/>
      <c r="S33" s="425">
        <f t="shared" si="4"/>
        <v>0</v>
      </c>
    </row>
    <row r="34" spans="1:22">
      <c r="A34" s="319" t="str">
        <f>Mob_Staffing!A13</f>
        <v>CONTROL ROOM TECHNICIAN</v>
      </c>
      <c r="B34" s="320">
        <v>25</v>
      </c>
      <c r="C34" s="321">
        <f t="shared" si="5"/>
        <v>3.585</v>
      </c>
      <c r="D34" s="321">
        <f t="shared" si="5"/>
        <v>1.9449999999999998</v>
      </c>
      <c r="E34" s="321">
        <f t="shared" si="5"/>
        <v>3.75</v>
      </c>
      <c r="F34" s="321">
        <f>$F$26*12/2080</f>
        <v>2.5422692307692309</v>
      </c>
      <c r="G34" s="321">
        <f>SUM(B34:F34)*G$26</f>
        <v>0.36822269230769228</v>
      </c>
      <c r="H34" s="321">
        <f>$B34*H$26</f>
        <v>1.25</v>
      </c>
      <c r="I34" s="321">
        <f t="shared" si="1"/>
        <v>1.25</v>
      </c>
      <c r="J34" s="321">
        <f t="shared" si="1"/>
        <v>0.75</v>
      </c>
      <c r="K34" s="321">
        <f t="shared" si="2"/>
        <v>40.44049192307692</v>
      </c>
      <c r="L34" s="322">
        <f>B34*2080</f>
        <v>52000</v>
      </c>
      <c r="M34" s="3"/>
      <c r="N34" s="421">
        <v>3</v>
      </c>
      <c r="O34" s="424">
        <f>3*160</f>
        <v>480</v>
      </c>
      <c r="P34" s="425">
        <f t="shared" si="3"/>
        <v>58234.308369230763</v>
      </c>
      <c r="Q34" s="421">
        <v>3</v>
      </c>
      <c r="R34" s="289">
        <v>2080</v>
      </c>
      <c r="S34" s="425">
        <f t="shared" si="4"/>
        <v>252348.66959999996</v>
      </c>
    </row>
    <row r="35" spans="1:22">
      <c r="A35" s="319" t="str">
        <f>Mob_Staffing!A14</f>
        <v>OUTSIDE TECHNICIAN</v>
      </c>
      <c r="B35" s="320">
        <v>22</v>
      </c>
      <c r="C35" s="321">
        <f t="shared" si="5"/>
        <v>3.1547999999999998</v>
      </c>
      <c r="D35" s="321">
        <f t="shared" si="5"/>
        <v>1.7115999999999998</v>
      </c>
      <c r="E35" s="321">
        <f t="shared" si="5"/>
        <v>3.3</v>
      </c>
      <c r="F35" s="321">
        <f>$F$26*12/2080</f>
        <v>2.5422692307692309</v>
      </c>
      <c r="G35" s="321">
        <f>SUM(B35:F35)*G$26</f>
        <v>0.32708669230769233</v>
      </c>
      <c r="H35" s="321">
        <f>$B35*H$26</f>
        <v>1.1000000000000001</v>
      </c>
      <c r="I35" s="321">
        <f>$B35*I$26</f>
        <v>1.1000000000000001</v>
      </c>
      <c r="J35" s="321">
        <f>$B35*J$26</f>
        <v>0.65999999999999992</v>
      </c>
      <c r="K35" s="321">
        <f t="shared" si="2"/>
        <v>35.895755923076926</v>
      </c>
      <c r="L35" s="322">
        <f>B35*2080</f>
        <v>45760</v>
      </c>
      <c r="M35" s="3"/>
      <c r="N35" s="421">
        <v>2</v>
      </c>
      <c r="O35" s="424">
        <f>O34</f>
        <v>480</v>
      </c>
      <c r="P35" s="425">
        <f t="shared" si="3"/>
        <v>34459.925686153852</v>
      </c>
      <c r="Q35" s="421">
        <v>2</v>
      </c>
      <c r="R35" s="289">
        <v>2080</v>
      </c>
      <c r="S35" s="425">
        <f t="shared" si="4"/>
        <v>149326.34464000002</v>
      </c>
    </row>
    <row r="36" spans="1:2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3"/>
      <c r="N36" s="421"/>
      <c r="O36" s="424"/>
      <c r="P36" s="422"/>
      <c r="Q36" s="421"/>
      <c r="R36" s="289"/>
      <c r="S36" s="425"/>
    </row>
    <row r="37" spans="1:22" ht="15.6">
      <c r="A37" s="296" t="s">
        <v>259</v>
      </c>
      <c r="B37" s="25"/>
      <c r="C37" s="25"/>
      <c r="D37" s="25"/>
      <c r="E37" s="73"/>
      <c r="F37" s="25"/>
      <c r="G37" s="73"/>
      <c r="H37" s="25"/>
      <c r="I37" s="436"/>
      <c r="J37" s="25"/>
      <c r="K37" s="73"/>
      <c r="L37" s="73"/>
      <c r="M37" s="3"/>
      <c r="N37" s="381"/>
      <c r="O37" s="426"/>
      <c r="P37" s="380"/>
      <c r="Q37" s="381"/>
      <c r="R37" s="117"/>
      <c r="S37" s="427"/>
    </row>
    <row r="38" spans="1:22" ht="15.6">
      <c r="A38" s="296" t="s">
        <v>233</v>
      </c>
      <c r="B38" s="25"/>
      <c r="C38" s="25"/>
      <c r="D38" s="25"/>
      <c r="E38" s="73"/>
      <c r="F38" s="25"/>
      <c r="G38" s="73"/>
      <c r="H38" s="25"/>
      <c r="I38" s="436"/>
      <c r="J38" s="25"/>
      <c r="K38" s="25"/>
      <c r="L38" s="73"/>
      <c r="M38" s="3"/>
      <c r="N38" s="381"/>
      <c r="O38" s="426"/>
      <c r="P38" s="380"/>
      <c r="Q38" s="381"/>
      <c r="R38" s="117"/>
      <c r="S38" s="427"/>
    </row>
    <row r="39" spans="1:22">
      <c r="A39" s="297"/>
      <c r="B39" s="297"/>
      <c r="C39" s="297"/>
      <c r="D39" s="297"/>
      <c r="E39" s="298"/>
      <c r="F39" s="297"/>
      <c r="G39" s="73"/>
      <c r="H39" s="26"/>
      <c r="I39" s="73"/>
      <c r="J39" s="26"/>
      <c r="K39" s="26"/>
      <c r="L39" s="73"/>
      <c r="M39" s="3"/>
      <c r="N39" s="381"/>
      <c r="O39" s="426"/>
      <c r="P39" s="380"/>
      <c r="Q39" s="381"/>
      <c r="R39" s="117"/>
      <c r="S39" s="427"/>
    </row>
    <row r="40" spans="1:22">
      <c r="A40" s="299"/>
      <c r="B40" s="300"/>
      <c r="C40" s="301"/>
      <c r="D40" s="301"/>
      <c r="E40" s="301"/>
      <c r="F40" s="301"/>
      <c r="G40" s="302"/>
      <c r="H40" s="303"/>
      <c r="I40" s="302"/>
      <c r="J40" s="303"/>
      <c r="K40" s="326"/>
      <c r="L40" s="73"/>
      <c r="M40" s="3"/>
      <c r="N40" s="381"/>
      <c r="O40" s="426"/>
      <c r="P40" s="380"/>
      <c r="Q40" s="381"/>
      <c r="R40" s="117"/>
      <c r="S40" s="427"/>
    </row>
    <row r="41" spans="1:22">
      <c r="A41" s="304"/>
      <c r="B41" s="305" t="s">
        <v>234</v>
      </c>
      <c r="C41" s="306" t="s">
        <v>235</v>
      </c>
      <c r="D41" s="306" t="s">
        <v>236</v>
      </c>
      <c r="E41" s="306"/>
      <c r="F41" s="305" t="s">
        <v>237</v>
      </c>
      <c r="G41" s="307" t="s">
        <v>238</v>
      </c>
      <c r="H41" s="308"/>
      <c r="I41" s="307"/>
      <c r="J41" s="308"/>
      <c r="K41" s="327"/>
      <c r="L41" s="73"/>
      <c r="M41" s="3"/>
      <c r="N41" s="381"/>
      <c r="O41" s="426"/>
      <c r="P41" s="380"/>
      <c r="Q41" s="381"/>
      <c r="R41" s="117"/>
      <c r="S41" s="427"/>
    </row>
    <row r="42" spans="1:22">
      <c r="A42" s="304" t="s">
        <v>239</v>
      </c>
      <c r="B42" s="305" t="s">
        <v>240</v>
      </c>
      <c r="C42" s="310" t="s">
        <v>1040</v>
      </c>
      <c r="D42" s="310" t="s">
        <v>241</v>
      </c>
      <c r="E42" s="310" t="s">
        <v>242</v>
      </c>
      <c r="F42" s="305" t="s">
        <v>243</v>
      </c>
      <c r="G42" s="309" t="s">
        <v>244</v>
      </c>
      <c r="H42" s="311" t="s">
        <v>245</v>
      </c>
      <c r="I42" s="309" t="s">
        <v>604</v>
      </c>
      <c r="J42" s="311" t="s">
        <v>605</v>
      </c>
      <c r="K42" s="327" t="s">
        <v>246</v>
      </c>
      <c r="L42" s="73"/>
      <c r="M42" s="3"/>
      <c r="N42" s="381"/>
      <c r="O42" s="426"/>
      <c r="P42" s="380"/>
      <c r="Q42" s="381"/>
      <c r="R42" s="117"/>
      <c r="S42" s="427"/>
    </row>
    <row r="43" spans="1:22">
      <c r="A43" s="304" t="s">
        <v>247</v>
      </c>
      <c r="B43" s="305" t="s">
        <v>248</v>
      </c>
      <c r="C43" s="305" t="s">
        <v>249</v>
      </c>
      <c r="D43" s="305" t="s">
        <v>243</v>
      </c>
      <c r="E43" s="305" t="s">
        <v>250</v>
      </c>
      <c r="F43" s="305" t="s">
        <v>251</v>
      </c>
      <c r="G43" s="307" t="s">
        <v>243</v>
      </c>
      <c r="H43" s="308"/>
      <c r="I43" s="307"/>
      <c r="J43" s="308"/>
      <c r="K43" s="327" t="s">
        <v>252</v>
      </c>
      <c r="L43" s="73"/>
      <c r="M43" s="3"/>
      <c r="N43" s="381"/>
      <c r="O43" s="426"/>
      <c r="P43" s="380"/>
      <c r="Q43" s="381"/>
      <c r="R43" s="117"/>
      <c r="S43" s="427"/>
    </row>
    <row r="44" spans="1:22">
      <c r="A44" s="304"/>
      <c r="B44" s="305"/>
      <c r="C44" s="328">
        <f>C26</f>
        <v>0.1434</v>
      </c>
      <c r="D44" s="328">
        <f>D26</f>
        <v>7.7799999999999994E-2</v>
      </c>
      <c r="E44" s="328">
        <f>E26</f>
        <v>0.15</v>
      </c>
      <c r="F44" s="329">
        <v>0</v>
      </c>
      <c r="G44" s="328">
        <f>G26</f>
        <v>0.01</v>
      </c>
      <c r="H44" s="328">
        <f>H26</f>
        <v>0.05</v>
      </c>
      <c r="I44" s="328">
        <v>0</v>
      </c>
      <c r="J44" s="328">
        <v>0</v>
      </c>
      <c r="K44" s="330"/>
      <c r="L44" s="73"/>
      <c r="M44" s="3"/>
      <c r="N44" s="381"/>
      <c r="O44" s="426"/>
      <c r="P44" s="380"/>
      <c r="Q44" s="381"/>
      <c r="R44" s="117"/>
      <c r="S44" s="427"/>
    </row>
    <row r="45" spans="1:22" ht="15.6" hidden="1">
      <c r="A45" s="315" t="s">
        <v>1099</v>
      </c>
      <c r="B45" s="316"/>
      <c r="C45" s="316"/>
      <c r="D45" s="317"/>
      <c r="E45" s="317"/>
      <c r="F45" s="316"/>
      <c r="G45" s="317"/>
      <c r="H45" s="318"/>
      <c r="I45" s="317"/>
      <c r="J45" s="318"/>
      <c r="K45" s="317"/>
      <c r="L45" s="73"/>
      <c r="M45" s="3"/>
      <c r="N45" s="421"/>
      <c r="O45" s="424"/>
      <c r="P45" s="422"/>
      <c r="Q45" s="421"/>
      <c r="R45" s="289"/>
      <c r="S45" s="425"/>
      <c r="T45" s="12"/>
      <c r="U45" s="12"/>
      <c r="V45" s="12"/>
    </row>
    <row r="46" spans="1:22" hidden="1">
      <c r="A46" s="319" t="str">
        <f>+A28</f>
        <v>Plant Manager</v>
      </c>
      <c r="B46" s="331">
        <f>B28*1.5</f>
        <v>61.5</v>
      </c>
      <c r="C46" s="321">
        <f t="shared" ref="C46:E49" si="6">$B46*C$44</f>
        <v>8.8191000000000006</v>
      </c>
      <c r="D46" s="321">
        <f t="shared" si="6"/>
        <v>4.7847</v>
      </c>
      <c r="E46" s="321">
        <f t="shared" si="6"/>
        <v>9.2249999999999996</v>
      </c>
      <c r="F46" s="321">
        <f>$F$44*12/2080</f>
        <v>0</v>
      </c>
      <c r="G46" s="321">
        <f>SUM(B46:F46)*G$44</f>
        <v>0.84328800000000004</v>
      </c>
      <c r="H46" s="321">
        <f>$B46*H$44</f>
        <v>3.0750000000000002</v>
      </c>
      <c r="I46" s="321"/>
      <c r="J46" s="321"/>
      <c r="K46" s="321">
        <f>SUM(B46:J46)</f>
        <v>88.247088000000005</v>
      </c>
      <c r="L46" s="73"/>
      <c r="M46" s="3"/>
      <c r="N46" s="421">
        <v>0</v>
      </c>
      <c r="O46" s="424">
        <v>0</v>
      </c>
      <c r="P46" s="425">
        <f t="shared" ref="P46:P53" si="7">N46*O46*K46</f>
        <v>0</v>
      </c>
      <c r="Q46" s="421">
        <v>0</v>
      </c>
      <c r="R46" s="289">
        <v>0</v>
      </c>
      <c r="S46" s="425">
        <f t="shared" ref="S46:S53" si="8">Q46*R46*K46</f>
        <v>0</v>
      </c>
      <c r="T46" s="12"/>
      <c r="U46" s="12"/>
      <c r="V46" s="12"/>
    </row>
    <row r="47" spans="1:22" hidden="1">
      <c r="A47" s="323" t="str">
        <f>+A29</f>
        <v>Maintenance Manager</v>
      </c>
      <c r="B47" s="331">
        <f>B29*1.5</f>
        <v>57.692307692307693</v>
      </c>
      <c r="C47" s="321">
        <f t="shared" si="6"/>
        <v>8.273076923076923</v>
      </c>
      <c r="D47" s="321">
        <f t="shared" si="6"/>
        <v>4.4884615384615385</v>
      </c>
      <c r="E47" s="321">
        <f t="shared" si="6"/>
        <v>8.6538461538461533</v>
      </c>
      <c r="F47" s="321">
        <f>$F$44*12/2080</f>
        <v>0</v>
      </c>
      <c r="G47" s="321">
        <f>SUM(B47:F47)*G$44</f>
        <v>0.79107692307692301</v>
      </c>
      <c r="H47" s="321">
        <f>$B47*H$44</f>
        <v>2.884615384615385</v>
      </c>
      <c r="I47" s="321"/>
      <c r="J47" s="321"/>
      <c r="K47" s="321">
        <f t="shared" ref="K47:K53" si="9">SUM(B47:J47)</f>
        <v>82.78338461538462</v>
      </c>
      <c r="L47" s="73"/>
      <c r="M47" s="3"/>
      <c r="N47" s="421"/>
      <c r="O47" s="424"/>
      <c r="P47" s="425">
        <f t="shared" si="7"/>
        <v>0</v>
      </c>
      <c r="Q47" s="421"/>
      <c r="R47" s="289"/>
      <c r="S47" s="425">
        <f t="shared" si="8"/>
        <v>0</v>
      </c>
      <c r="T47" s="12"/>
      <c r="U47" s="12"/>
      <c r="V47" s="12"/>
    </row>
    <row r="48" spans="1:22" hidden="1">
      <c r="A48" s="319" t="str">
        <f>+A30</f>
        <v>Purchasing / Warehouse</v>
      </c>
      <c r="B48" s="331">
        <f>B30*1.5</f>
        <v>37.5</v>
      </c>
      <c r="C48" s="321">
        <f t="shared" si="6"/>
        <v>5.3775000000000004</v>
      </c>
      <c r="D48" s="321">
        <f t="shared" si="6"/>
        <v>2.9175</v>
      </c>
      <c r="E48" s="321">
        <f t="shared" si="6"/>
        <v>5.625</v>
      </c>
      <c r="F48" s="321">
        <f>$F$44*12/2080</f>
        <v>0</v>
      </c>
      <c r="G48" s="321">
        <f>SUM(B48:F48)*G$44</f>
        <v>0.51419999999999999</v>
      </c>
      <c r="H48" s="321">
        <f>$B48*H$44</f>
        <v>1.875</v>
      </c>
      <c r="I48" s="321"/>
      <c r="J48" s="321"/>
      <c r="K48" s="321">
        <f t="shared" si="9"/>
        <v>53.809199999999997</v>
      </c>
      <c r="L48" s="73"/>
      <c r="M48" s="3"/>
      <c r="N48" s="421"/>
      <c r="O48" s="424"/>
      <c r="P48" s="425">
        <f t="shared" si="7"/>
        <v>0</v>
      </c>
      <c r="Q48" s="421"/>
      <c r="R48" s="289"/>
      <c r="S48" s="425">
        <f t="shared" si="8"/>
        <v>0</v>
      </c>
      <c r="T48" s="12"/>
      <c r="U48" s="12"/>
      <c r="V48" s="12"/>
    </row>
    <row r="49" spans="1:22" hidden="1">
      <c r="A49" s="319" t="str">
        <f>+A31</f>
        <v>Clerk</v>
      </c>
      <c r="B49" s="331">
        <f>B31*1.5</f>
        <v>18.375</v>
      </c>
      <c r="C49" s="321">
        <f t="shared" si="6"/>
        <v>2.6349749999999998</v>
      </c>
      <c r="D49" s="321">
        <f t="shared" si="6"/>
        <v>1.4295749999999998</v>
      </c>
      <c r="E49" s="321">
        <f t="shared" si="6"/>
        <v>2.7562500000000001</v>
      </c>
      <c r="F49" s="321">
        <f>$F$44*12/2080</f>
        <v>0</v>
      </c>
      <c r="G49" s="321">
        <f>SUM(B49:F49)*G$44</f>
        <v>0.25195800000000002</v>
      </c>
      <c r="H49" s="321">
        <f>$B49*H$44</f>
        <v>0.91875000000000007</v>
      </c>
      <c r="I49" s="321"/>
      <c r="J49" s="321"/>
      <c r="K49" s="321">
        <f t="shared" si="9"/>
        <v>26.366508</v>
      </c>
      <c r="L49" s="73"/>
      <c r="M49" s="3"/>
      <c r="N49" s="421">
        <v>0</v>
      </c>
      <c r="O49" s="424">
        <v>0</v>
      </c>
      <c r="P49" s="425">
        <f t="shared" si="7"/>
        <v>0</v>
      </c>
      <c r="Q49" s="421">
        <v>0</v>
      </c>
      <c r="R49" s="289">
        <v>0</v>
      </c>
      <c r="S49" s="425">
        <f t="shared" si="8"/>
        <v>0</v>
      </c>
      <c r="T49" s="12"/>
      <c r="U49" s="12"/>
      <c r="V49" s="12"/>
    </row>
    <row r="50" spans="1:22" ht="15.6">
      <c r="A50" s="315" t="s">
        <v>257</v>
      </c>
      <c r="B50" s="331"/>
      <c r="C50" s="321"/>
      <c r="D50" s="321"/>
      <c r="E50" s="321"/>
      <c r="F50" s="321"/>
      <c r="G50" s="321"/>
      <c r="H50" s="321"/>
      <c r="I50" s="321"/>
      <c r="J50" s="321"/>
      <c r="K50" s="321"/>
      <c r="L50" s="73"/>
      <c r="M50" s="3"/>
      <c r="N50" s="421"/>
      <c r="O50" s="424"/>
      <c r="P50" s="425"/>
      <c r="Q50" s="421"/>
      <c r="R50" s="289"/>
      <c r="S50" s="425"/>
      <c r="T50" s="12"/>
      <c r="U50" s="12"/>
      <c r="V50" s="12"/>
    </row>
    <row r="51" spans="1:22" hidden="1">
      <c r="A51" s="319" t="str">
        <f>+A33</f>
        <v>Supervisor</v>
      </c>
      <c r="B51" s="331">
        <f>B33*1.5</f>
        <v>46.875</v>
      </c>
      <c r="C51" s="321">
        <f t="shared" ref="C51:E53" si="10">$B51*C$44</f>
        <v>6.7218749999999998</v>
      </c>
      <c r="D51" s="321">
        <f t="shared" si="10"/>
        <v>3.6468749999999996</v>
      </c>
      <c r="E51" s="321">
        <f t="shared" si="10"/>
        <v>7.03125</v>
      </c>
      <c r="F51" s="321">
        <f>$F$44*12/2080</f>
        <v>0</v>
      </c>
      <c r="G51" s="321">
        <f>SUM(B51:F51)*G$44</f>
        <v>0.64275000000000004</v>
      </c>
      <c r="H51" s="321">
        <f>$B51*H$44</f>
        <v>2.34375</v>
      </c>
      <c r="I51" s="321"/>
      <c r="J51" s="321"/>
      <c r="K51" s="321">
        <f t="shared" si="9"/>
        <v>67.261500000000012</v>
      </c>
      <c r="L51" s="73"/>
      <c r="M51" s="3"/>
      <c r="N51" s="421"/>
      <c r="O51" s="424"/>
      <c r="P51" s="425">
        <f t="shared" si="7"/>
        <v>0</v>
      </c>
      <c r="Q51" s="421"/>
      <c r="R51" s="289"/>
      <c r="S51" s="425">
        <f t="shared" si="8"/>
        <v>0</v>
      </c>
      <c r="T51" s="12"/>
      <c r="U51" s="12"/>
      <c r="V51" s="12"/>
    </row>
    <row r="52" spans="1:22">
      <c r="A52" s="319" t="str">
        <f>+A34</f>
        <v>CONTROL ROOM TECHNICIAN</v>
      </c>
      <c r="B52" s="331">
        <f>B34*1.5</f>
        <v>37.5</v>
      </c>
      <c r="C52" s="321">
        <f t="shared" si="10"/>
        <v>5.3775000000000004</v>
      </c>
      <c r="D52" s="321">
        <f t="shared" si="10"/>
        <v>2.9175</v>
      </c>
      <c r="E52" s="321">
        <f t="shared" si="10"/>
        <v>5.625</v>
      </c>
      <c r="F52" s="321">
        <f>$F$44*12/2080</f>
        <v>0</v>
      </c>
      <c r="G52" s="321">
        <f>SUM(B52:F52)*G$44</f>
        <v>0.51419999999999999</v>
      </c>
      <c r="H52" s="321">
        <f>$B52*H$44</f>
        <v>1.875</v>
      </c>
      <c r="I52" s="321"/>
      <c r="J52" s="321"/>
      <c r="K52" s="321">
        <f t="shared" si="9"/>
        <v>53.809199999999997</v>
      </c>
      <c r="L52" s="73"/>
      <c r="M52" s="3"/>
      <c r="N52" s="421">
        <v>3</v>
      </c>
      <c r="O52" s="424">
        <f>0.2*O34</f>
        <v>96</v>
      </c>
      <c r="P52" s="425">
        <f t="shared" si="7"/>
        <v>15497.049599999998</v>
      </c>
      <c r="Q52" s="421">
        <v>3</v>
      </c>
      <c r="R52" s="289">
        <f>0.2*R34</f>
        <v>416</v>
      </c>
      <c r="S52" s="425">
        <f t="shared" si="8"/>
        <v>67153.881599999993</v>
      </c>
      <c r="T52" s="12"/>
      <c r="U52" s="12"/>
      <c r="V52" s="12"/>
    </row>
    <row r="53" spans="1:22">
      <c r="A53" s="319" t="str">
        <f>+A35</f>
        <v>OUTSIDE TECHNICIAN</v>
      </c>
      <c r="B53" s="331">
        <f>B35*1.5</f>
        <v>33</v>
      </c>
      <c r="C53" s="321">
        <f t="shared" si="10"/>
        <v>4.7321999999999997</v>
      </c>
      <c r="D53" s="321">
        <f t="shared" si="10"/>
        <v>2.5673999999999997</v>
      </c>
      <c r="E53" s="321">
        <f t="shared" si="10"/>
        <v>4.95</v>
      </c>
      <c r="F53" s="321">
        <f>$F$44*12/2080</f>
        <v>0</v>
      </c>
      <c r="G53" s="321">
        <f>SUM(B53:F53)*G$44</f>
        <v>0.45249600000000001</v>
      </c>
      <c r="H53" s="321">
        <f>$B53*H$44</f>
        <v>1.6500000000000001</v>
      </c>
      <c r="I53" s="321"/>
      <c r="J53" s="321"/>
      <c r="K53" s="321">
        <f t="shared" si="9"/>
        <v>47.352095999999996</v>
      </c>
      <c r="L53" s="73"/>
      <c r="M53" s="3"/>
      <c r="N53" s="421">
        <v>2</v>
      </c>
      <c r="O53" s="424">
        <f>0.2*O35</f>
        <v>96</v>
      </c>
      <c r="P53" s="425">
        <f t="shared" si="7"/>
        <v>9091.6024319999997</v>
      </c>
      <c r="Q53" s="421">
        <v>2</v>
      </c>
      <c r="R53" s="289">
        <f>0.2*R35</f>
        <v>416</v>
      </c>
      <c r="S53" s="425">
        <f t="shared" si="8"/>
        <v>39396.943871999996</v>
      </c>
      <c r="T53" s="12"/>
      <c r="U53" s="12"/>
      <c r="V53" s="12"/>
    </row>
    <row r="54" spans="1:22" ht="13.8" thickBo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3"/>
      <c r="N54" s="381"/>
      <c r="O54" s="117"/>
      <c r="P54" s="380"/>
      <c r="Q54" s="381"/>
      <c r="R54" s="117"/>
      <c r="S54" s="380"/>
    </row>
    <row r="55" spans="1:22" ht="13.8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85"/>
      <c r="O55" s="386" t="s">
        <v>607</v>
      </c>
      <c r="P55" s="428">
        <f>SUM(P28:P53)</f>
        <v>117282.88608738461</v>
      </c>
      <c r="Q55" s="385"/>
      <c r="R55" s="386"/>
      <c r="S55" s="428">
        <f>SUM(S28:S53)</f>
        <v>508225.83971199999</v>
      </c>
    </row>
    <row r="56" spans="1:22">
      <c r="L56" s="3"/>
    </row>
  </sheetData>
  <mergeCells count="2">
    <mergeCell ref="N21:P21"/>
    <mergeCell ref="Q21:S21"/>
  </mergeCells>
  <printOptions horizontalCentered="1"/>
  <pageMargins left="0.75" right="0.75" top="1" bottom="1" header="0.5" footer="0.5"/>
  <pageSetup scale="49" orientation="landscape" horizontalDpi="4294967292" verticalDpi="4294967292" r:id="rId1"/>
  <headerFooter alignWithMargins="0">
    <oddHeader>&amp;C&amp;"Arial,Bold"PROPRIETARY 
AND  CONFIDENTIAL INFORMATION</oddHeader>
    <oddFooter>&amp;LScot Chambers
&amp;D&amp;CPage _____&amp;R&amp;F
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  <pageSetUpPr fitToPage="1"/>
  </sheetPr>
  <dimension ref="A1:G876"/>
  <sheetViews>
    <sheetView zoomScale="80" workbookViewId="0">
      <pane ySplit="2" topLeftCell="A3" activePane="bottomLeft" state="frozen"/>
      <selection activeCell="E5" sqref="E5"/>
      <selection pane="bottomLeft" activeCell="B15" sqref="B15"/>
    </sheetView>
  </sheetViews>
  <sheetFormatPr defaultColWidth="9.109375" defaultRowHeight="13.2" outlineLevelRow="2"/>
  <cols>
    <col min="1" max="1" width="32.109375" style="22" customWidth="1"/>
    <col min="2" max="2" width="42.5546875" style="22" customWidth="1"/>
    <col min="3" max="3" width="19.5546875" style="22" customWidth="1"/>
    <col min="4" max="4" width="15.6640625" style="22" customWidth="1"/>
    <col min="5" max="5" width="2.5546875" style="22" customWidth="1"/>
    <col min="6" max="7" width="9.44140625" style="337" customWidth="1"/>
    <col min="8" max="16384" width="9.109375" style="22"/>
  </cols>
  <sheetData>
    <row r="1" spans="1:7" ht="18" customHeight="1" thickBot="1">
      <c r="A1" s="332"/>
      <c r="F1" s="22"/>
      <c r="G1" s="22"/>
    </row>
    <row r="2" spans="1:7" ht="17.25" customHeight="1" thickBot="1">
      <c r="A2" s="333" t="s">
        <v>985</v>
      </c>
      <c r="B2" s="334" t="s">
        <v>986</v>
      </c>
      <c r="C2" s="335"/>
      <c r="D2" s="190" t="s">
        <v>987</v>
      </c>
      <c r="F2" s="336" t="s">
        <v>990</v>
      </c>
    </row>
    <row r="3" spans="1:7" s="341" customFormat="1" ht="20.25" customHeight="1" outlineLevel="1">
      <c r="A3" s="338" t="str">
        <f>Scope!A1</f>
        <v>City of Austin 4 x LM6000 Power Project</v>
      </c>
      <c r="B3" s="339"/>
      <c r="C3" s="340"/>
      <c r="D3" s="194"/>
    </row>
    <row r="4" spans="1:7" s="341" customFormat="1" ht="18" outlineLevel="1" thickBot="1">
      <c r="A4" s="342" t="s">
        <v>655</v>
      </c>
      <c r="B4" s="343"/>
      <c r="C4" s="344"/>
      <c r="D4" s="197"/>
    </row>
    <row r="5" spans="1:7" s="341" customFormat="1" ht="13.8" outlineLevel="1" thickBot="1">
      <c r="A5" s="345" t="s">
        <v>260</v>
      </c>
      <c r="B5" s="346"/>
      <c r="C5" s="347"/>
      <c r="D5" s="348"/>
    </row>
    <row r="6" spans="1:7" ht="13.8" outlineLevel="2" thickBot="1">
      <c r="A6" s="221"/>
      <c r="B6" s="21" t="s">
        <v>261</v>
      </c>
      <c r="C6" s="349"/>
      <c r="D6" s="223">
        <f>Plt_Staff!H20</f>
        <v>508225.83971199999</v>
      </c>
      <c r="F6" s="22"/>
      <c r="G6" s="22"/>
    </row>
    <row r="7" spans="1:7" ht="13.8" outlineLevel="2" thickBot="1">
      <c r="A7" s="221"/>
      <c r="B7" s="21"/>
      <c r="C7" s="350"/>
      <c r="D7" s="223">
        <f>17*C7</f>
        <v>0</v>
      </c>
      <c r="F7" s="22"/>
      <c r="G7" s="22"/>
    </row>
    <row r="8" spans="1:7" ht="13.8" outlineLevel="2" thickBot="1">
      <c r="A8" s="221"/>
      <c r="B8" s="21"/>
      <c r="C8" s="349"/>
      <c r="D8" s="223">
        <f>C10*C8</f>
        <v>0</v>
      </c>
      <c r="F8" s="22"/>
      <c r="G8" s="22"/>
    </row>
    <row r="9" spans="1:7" ht="13.8" outlineLevel="2" thickBot="1">
      <c r="A9" s="221"/>
      <c r="B9" s="21"/>
      <c r="C9" s="349"/>
      <c r="D9" s="223">
        <f>(C11-C10)*C9</f>
        <v>0</v>
      </c>
      <c r="F9" s="22"/>
      <c r="G9" s="22"/>
    </row>
    <row r="10" spans="1:7" ht="13.8" outlineLevel="2" thickBot="1">
      <c r="A10" s="221"/>
      <c r="B10" s="21"/>
      <c r="C10" s="222"/>
      <c r="D10" s="223"/>
      <c r="F10" s="22"/>
      <c r="G10" s="22"/>
    </row>
    <row r="11" spans="1:7" ht="13.8" outlineLevel="2" thickBot="1">
      <c r="A11" s="221"/>
      <c r="B11" s="21"/>
      <c r="C11" s="222"/>
      <c r="D11" s="223"/>
      <c r="F11" s="22"/>
      <c r="G11" s="22"/>
    </row>
    <row r="12" spans="1:7" ht="13.8" outlineLevel="2" thickBot="1">
      <c r="A12" s="221"/>
      <c r="B12" s="21"/>
      <c r="C12" s="222"/>
      <c r="D12" s="223"/>
      <c r="F12" s="22"/>
      <c r="G12" s="22"/>
    </row>
    <row r="13" spans="1:7" s="341" customFormat="1" ht="13.8" outlineLevel="1" thickBot="1">
      <c r="A13" s="221" t="s">
        <v>262</v>
      </c>
      <c r="B13" s="21"/>
      <c r="C13" s="225" t="s">
        <v>1005</v>
      </c>
      <c r="D13" s="226">
        <f>SUBTOTAL(9,D6:D10)</f>
        <v>508225.83971199999</v>
      </c>
    </row>
    <row r="14" spans="1:7" s="341" customFormat="1" ht="13.8" outlineLevel="1" thickBot="1">
      <c r="A14" s="351" t="s">
        <v>785</v>
      </c>
      <c r="B14" s="352"/>
      <c r="C14" s="353"/>
      <c r="D14" s="348"/>
    </row>
    <row r="15" spans="1:7" ht="13.8" outlineLevel="2" thickBot="1">
      <c r="A15" s="221" t="s">
        <v>263</v>
      </c>
      <c r="B15" s="21" t="s">
        <v>291</v>
      </c>
      <c r="C15" s="222"/>
      <c r="D15" s="223">
        <f>4000+20*150+50*15</f>
        <v>7750</v>
      </c>
      <c r="F15" s="22"/>
      <c r="G15" s="22"/>
    </row>
    <row r="16" spans="1:7" ht="13.8" outlineLevel="2" thickBot="1">
      <c r="A16" s="221" t="s">
        <v>264</v>
      </c>
      <c r="B16" s="21" t="s">
        <v>292</v>
      </c>
      <c r="C16" s="222"/>
      <c r="D16" s="223">
        <f>7*1500</f>
        <v>10500</v>
      </c>
      <c r="F16" s="22"/>
      <c r="G16" s="22"/>
    </row>
    <row r="17" spans="1:7" ht="13.8" outlineLevel="2" thickBot="1">
      <c r="A17" s="221" t="s">
        <v>265</v>
      </c>
      <c r="B17" s="21"/>
      <c r="C17" s="222"/>
      <c r="D17" s="223">
        <v>500</v>
      </c>
      <c r="F17" s="22"/>
      <c r="G17" s="22"/>
    </row>
    <row r="18" spans="1:7" ht="13.8" outlineLevel="2" thickBot="1">
      <c r="A18" s="221" t="s">
        <v>266</v>
      </c>
      <c r="B18" s="21" t="s">
        <v>267</v>
      </c>
      <c r="C18" s="222"/>
      <c r="D18" s="223">
        <f>250*12</f>
        <v>3000</v>
      </c>
      <c r="F18" s="22"/>
      <c r="G18" s="22"/>
    </row>
    <row r="19" spans="1:7" ht="13.8" outlineLevel="2" thickBot="1">
      <c r="A19" s="221" t="s">
        <v>268</v>
      </c>
      <c r="B19" s="21" t="s">
        <v>269</v>
      </c>
      <c r="C19" s="222"/>
      <c r="D19" s="223">
        <f>150*Plt_Staff!B20</f>
        <v>750</v>
      </c>
      <c r="F19" s="22"/>
      <c r="G19" s="22"/>
    </row>
    <row r="20" spans="1:7" ht="13.8" outlineLevel="2" thickBot="1">
      <c r="A20" s="221" t="s">
        <v>270</v>
      </c>
      <c r="B20" s="21"/>
      <c r="C20" s="222"/>
      <c r="D20" s="223">
        <v>1200</v>
      </c>
      <c r="F20" s="22"/>
      <c r="G20" s="22"/>
    </row>
    <row r="21" spans="1:7" ht="13.8" outlineLevel="2" thickBot="1">
      <c r="A21" s="221"/>
      <c r="B21" s="21"/>
      <c r="C21" s="222"/>
      <c r="D21" s="223"/>
      <c r="F21" s="22"/>
      <c r="G21" s="22"/>
    </row>
    <row r="22" spans="1:7" s="341" customFormat="1" ht="13.8" outlineLevel="1" thickBot="1">
      <c r="A22" s="221" t="s">
        <v>271</v>
      </c>
      <c r="B22" s="21"/>
      <c r="C22" s="225" t="s">
        <v>1005</v>
      </c>
      <c r="D22" s="226">
        <f>SUBTOTAL(9,D15:D20)</f>
        <v>23700</v>
      </c>
    </row>
    <row r="23" spans="1:7" s="341" customFormat="1" ht="13.8" outlineLevel="1" thickBot="1">
      <c r="A23" s="351" t="s">
        <v>272</v>
      </c>
      <c r="B23" s="352"/>
      <c r="C23" s="353"/>
      <c r="D23" s="348"/>
    </row>
    <row r="24" spans="1:7" s="341" customFormat="1" ht="13.8" outlineLevel="1" thickBot="1">
      <c r="A24" s="221"/>
      <c r="B24" s="21"/>
      <c r="C24" s="222"/>
      <c r="D24" s="223">
        <v>0</v>
      </c>
    </row>
    <row r="25" spans="1:7" s="341" customFormat="1" ht="13.8" outlineLevel="1" thickBot="1">
      <c r="A25" s="221" t="s">
        <v>273</v>
      </c>
      <c r="B25" s="21" t="s">
        <v>274</v>
      </c>
      <c r="C25" s="222"/>
      <c r="D25" s="223">
        <f>800*12</f>
        <v>9600</v>
      </c>
    </row>
    <row r="26" spans="1:7" s="341" customFormat="1" ht="13.8" outlineLevel="1" thickBot="1">
      <c r="A26" s="221" t="s">
        <v>275</v>
      </c>
      <c r="B26" s="21" t="s">
        <v>276</v>
      </c>
      <c r="C26" s="222"/>
      <c r="D26" s="223">
        <f>400*12</f>
        <v>4800</v>
      </c>
    </row>
    <row r="27" spans="1:7" s="341" customFormat="1" ht="13.8" outlineLevel="1" thickBot="1">
      <c r="A27" s="221" t="s">
        <v>277</v>
      </c>
      <c r="B27" s="21" t="s">
        <v>278</v>
      </c>
      <c r="C27" s="222"/>
      <c r="D27" s="223">
        <v>3600</v>
      </c>
    </row>
    <row r="28" spans="1:7" s="341" customFormat="1" ht="13.8" outlineLevel="1" thickBot="1">
      <c r="A28" s="221" t="s">
        <v>279</v>
      </c>
      <c r="B28" s="21" t="s">
        <v>280</v>
      </c>
      <c r="C28" s="222"/>
      <c r="D28" s="223"/>
    </row>
    <row r="29" spans="1:7" s="341" customFormat="1" ht="13.8" outlineLevel="1" thickBot="1">
      <c r="A29" s="221"/>
      <c r="B29" s="21"/>
      <c r="C29" s="222"/>
      <c r="D29" s="226"/>
    </row>
    <row r="30" spans="1:7" s="341" customFormat="1" ht="13.8" outlineLevel="1" thickBot="1">
      <c r="A30" s="221" t="s">
        <v>281</v>
      </c>
      <c r="B30" s="21"/>
      <c r="C30" s="225" t="s">
        <v>1005</v>
      </c>
      <c r="D30" s="226">
        <f>SUBTOTAL(9,D24:D29)</f>
        <v>18000</v>
      </c>
    </row>
    <row r="31" spans="1:7" s="341" customFormat="1" ht="13.8" outlineLevel="1" thickBot="1">
      <c r="A31" s="351" t="s">
        <v>282</v>
      </c>
      <c r="B31" s="352"/>
      <c r="C31" s="353"/>
      <c r="D31" s="348"/>
    </row>
    <row r="32" spans="1:7" ht="13.8" outlineLevel="2" thickBot="1">
      <c r="A32" s="221" t="s">
        <v>283</v>
      </c>
      <c r="B32" s="21"/>
      <c r="C32" s="222"/>
      <c r="D32" s="223">
        <v>2500</v>
      </c>
      <c r="F32" s="22"/>
      <c r="G32" s="22"/>
    </row>
    <row r="33" spans="1:7" ht="13.8" outlineLevel="2" thickBot="1">
      <c r="A33" s="221" t="s">
        <v>794</v>
      </c>
      <c r="B33" s="21" t="s">
        <v>284</v>
      </c>
      <c r="C33" s="222"/>
      <c r="D33" s="223">
        <v>25000</v>
      </c>
      <c r="F33" s="22"/>
      <c r="G33" s="22"/>
    </row>
    <row r="34" spans="1:7" ht="13.8" outlineLevel="2" thickBot="1">
      <c r="A34" s="221" t="s">
        <v>285</v>
      </c>
      <c r="B34" s="21" t="s">
        <v>286</v>
      </c>
      <c r="C34" s="222"/>
      <c r="D34" s="223">
        <v>20000</v>
      </c>
      <c r="F34" s="22"/>
      <c r="G34" s="22"/>
    </row>
    <row r="35" spans="1:7" ht="13.8" outlineLevel="2" thickBot="1">
      <c r="A35" s="221" t="s">
        <v>287</v>
      </c>
      <c r="B35" s="21" t="s">
        <v>288</v>
      </c>
      <c r="C35" s="222"/>
      <c r="D35" s="223">
        <f>2000+4*125</f>
        <v>2500</v>
      </c>
      <c r="F35" s="22"/>
      <c r="G35" s="22"/>
    </row>
    <row r="36" spans="1:7" ht="13.8" outlineLevel="2" thickBot="1">
      <c r="A36" s="221" t="s">
        <v>287</v>
      </c>
      <c r="B36" s="21" t="s">
        <v>289</v>
      </c>
      <c r="C36" s="222" t="s">
        <v>290</v>
      </c>
      <c r="D36" s="223">
        <v>0</v>
      </c>
      <c r="F36" s="22"/>
      <c r="G36" s="22"/>
    </row>
    <row r="37" spans="1:7" ht="13.8" outlineLevel="2" thickBot="1">
      <c r="A37" s="221" t="s">
        <v>336</v>
      </c>
      <c r="B37" s="21"/>
      <c r="C37" s="222"/>
      <c r="D37" s="223">
        <v>0</v>
      </c>
      <c r="F37" s="22"/>
      <c r="G37" s="22"/>
    </row>
    <row r="38" spans="1:7" ht="13.8" outlineLevel="2" thickBot="1">
      <c r="A38" s="221" t="s">
        <v>337</v>
      </c>
      <c r="D38" s="223">
        <v>5000</v>
      </c>
      <c r="F38" s="22"/>
      <c r="G38" s="22"/>
    </row>
    <row r="39" spans="1:7" ht="13.8" outlineLevel="2" thickBot="1">
      <c r="A39" s="221" t="s">
        <v>338</v>
      </c>
      <c r="B39" s="21"/>
      <c r="C39" s="222"/>
      <c r="D39" s="223">
        <v>2000</v>
      </c>
      <c r="F39" s="22"/>
      <c r="G39" s="22"/>
    </row>
    <row r="40" spans="1:7" ht="13.8" outlineLevel="2" thickBot="1">
      <c r="A40" s="221"/>
      <c r="B40" s="21"/>
      <c r="C40" s="222"/>
      <c r="D40" s="223"/>
      <c r="F40" s="22"/>
      <c r="G40" s="22"/>
    </row>
    <row r="41" spans="1:7" s="341" customFormat="1" ht="13.8" outlineLevel="1" thickBot="1">
      <c r="A41" s="221" t="s">
        <v>271</v>
      </c>
      <c r="B41" s="21"/>
      <c r="C41" s="225" t="s">
        <v>1005</v>
      </c>
      <c r="D41" s="226">
        <f>SUBTOTAL(9,D32:D40)</f>
        <v>57000</v>
      </c>
    </row>
    <row r="42" spans="1:7" s="341" customFormat="1" ht="13.8" outlineLevel="1" thickBot="1">
      <c r="A42" s="351" t="s">
        <v>339</v>
      </c>
      <c r="B42" s="352"/>
      <c r="C42" s="353"/>
      <c r="D42" s="348"/>
    </row>
    <row r="43" spans="1:7" ht="13.8" outlineLevel="2" thickBot="1">
      <c r="A43" s="221" t="s">
        <v>283</v>
      </c>
      <c r="B43" s="21"/>
      <c r="C43" s="222"/>
      <c r="D43" s="223">
        <v>2500</v>
      </c>
      <c r="F43" s="22"/>
      <c r="G43" s="22"/>
    </row>
    <row r="44" spans="1:7" ht="13.8" outlineLevel="2" thickBot="1">
      <c r="A44" s="221" t="s">
        <v>794</v>
      </c>
      <c r="B44" s="21"/>
      <c r="C44" s="222"/>
      <c r="D44" s="223"/>
      <c r="F44" s="22"/>
      <c r="G44" s="22"/>
    </row>
    <row r="45" spans="1:7" ht="13.8" outlineLevel="2" thickBot="1">
      <c r="A45" s="221" t="s">
        <v>340</v>
      </c>
      <c r="B45" s="21"/>
      <c r="C45" s="222"/>
      <c r="D45" s="223">
        <v>1000</v>
      </c>
      <c r="F45" s="22"/>
      <c r="G45" s="22"/>
    </row>
    <row r="46" spans="1:7" ht="13.8" outlineLevel="2" thickBot="1">
      <c r="A46" s="221" t="s">
        <v>341</v>
      </c>
      <c r="B46" s="21"/>
      <c r="C46" s="222"/>
      <c r="D46" s="223">
        <v>4000</v>
      </c>
      <c r="F46" s="22"/>
      <c r="G46" s="22"/>
    </row>
    <row r="47" spans="1:7" ht="13.8" outlineLevel="2" thickBot="1">
      <c r="A47" s="221" t="s">
        <v>287</v>
      </c>
      <c r="B47" s="21" t="s">
        <v>342</v>
      </c>
      <c r="C47" s="222"/>
      <c r="D47" s="223">
        <f>2000+4*125</f>
        <v>2500</v>
      </c>
      <c r="F47" s="22"/>
      <c r="G47" s="22"/>
    </row>
    <row r="48" spans="1:7" ht="13.8" outlineLevel="2" thickBot="1">
      <c r="A48" s="221" t="s">
        <v>287</v>
      </c>
      <c r="B48" s="21" t="s">
        <v>343</v>
      </c>
      <c r="C48" s="222"/>
      <c r="D48" s="223"/>
      <c r="F48" s="22"/>
      <c r="G48" s="22"/>
    </row>
    <row r="49" spans="1:7" ht="13.8" outlineLevel="2" thickBot="1">
      <c r="A49" s="221" t="s">
        <v>344</v>
      </c>
      <c r="B49" s="21"/>
      <c r="C49" s="222"/>
      <c r="D49" s="223"/>
      <c r="F49" s="22"/>
      <c r="G49" s="22"/>
    </row>
    <row r="50" spans="1:7" s="341" customFormat="1" ht="13.8" outlineLevel="1" thickBot="1">
      <c r="A50" s="221" t="s">
        <v>271</v>
      </c>
      <c r="B50" s="21"/>
      <c r="C50" s="225" t="s">
        <v>1005</v>
      </c>
      <c r="D50" s="226">
        <f>SUBTOTAL(9,D43:D49)</f>
        <v>10000</v>
      </c>
    </row>
    <row r="51" spans="1:7" s="341" customFormat="1" ht="13.8" outlineLevel="1" thickBot="1">
      <c r="A51" s="351" t="s">
        <v>345</v>
      </c>
      <c r="B51" s="352"/>
      <c r="C51" s="353"/>
      <c r="D51" s="348"/>
    </row>
    <row r="52" spans="1:7" ht="13.8" outlineLevel="2" thickBot="1">
      <c r="A52" s="221" t="s">
        <v>346</v>
      </c>
      <c r="B52" s="21" t="s">
        <v>347</v>
      </c>
      <c r="C52" s="222"/>
      <c r="D52" s="223">
        <f>22900*(180/414)^0.6</f>
        <v>13893.087812823547</v>
      </c>
      <c r="F52" s="22"/>
      <c r="G52" s="22"/>
    </row>
    <row r="53" spans="1:7" ht="13.8" outlineLevel="2" thickBot="1">
      <c r="A53" s="221" t="s">
        <v>348</v>
      </c>
      <c r="B53" s="22" t="s">
        <v>293</v>
      </c>
      <c r="C53" s="222"/>
      <c r="D53" s="223"/>
      <c r="F53" s="22"/>
      <c r="G53" s="22"/>
    </row>
    <row r="54" spans="1:7" ht="13.8" outlineLevel="2" thickBot="1">
      <c r="A54" s="221" t="s">
        <v>349</v>
      </c>
      <c r="B54" s="21"/>
      <c r="C54" s="222"/>
      <c r="D54" s="223"/>
      <c r="F54" s="22"/>
      <c r="G54" s="22"/>
    </row>
    <row r="55" spans="1:7" ht="13.8" outlineLevel="2" thickBot="1">
      <c r="A55" s="221" t="s">
        <v>287</v>
      </c>
      <c r="B55" s="21"/>
      <c r="C55" s="222"/>
      <c r="D55" s="223"/>
      <c r="F55" s="22"/>
      <c r="G55" s="22"/>
    </row>
    <row r="56" spans="1:7" ht="13.8" outlineLevel="2" thickBot="1">
      <c r="A56" s="221" t="s">
        <v>350</v>
      </c>
      <c r="B56" s="21" t="s">
        <v>351</v>
      </c>
      <c r="C56" s="222"/>
      <c r="D56" s="223"/>
      <c r="F56" s="22"/>
      <c r="G56" s="22"/>
    </row>
    <row r="57" spans="1:7" ht="13.8" outlineLevel="2" thickBot="1">
      <c r="A57" s="221" t="s">
        <v>352</v>
      </c>
      <c r="B57" s="21" t="s">
        <v>353</v>
      </c>
      <c r="C57" s="222"/>
      <c r="D57" s="223"/>
      <c r="F57" s="22"/>
      <c r="G57" s="22"/>
    </row>
    <row r="58" spans="1:7" ht="13.8" outlineLevel="2" thickBot="1">
      <c r="A58" s="221" t="s">
        <v>354</v>
      </c>
      <c r="B58" s="21"/>
      <c r="C58" s="222"/>
      <c r="D58" s="223"/>
      <c r="F58" s="22"/>
      <c r="G58" s="22"/>
    </row>
    <row r="59" spans="1:7" ht="13.8" outlineLevel="2" thickBot="1">
      <c r="A59" s="221" t="s">
        <v>355</v>
      </c>
      <c r="B59" s="21"/>
      <c r="C59" s="222"/>
      <c r="D59" s="223"/>
      <c r="F59" s="22"/>
      <c r="G59" s="22"/>
    </row>
    <row r="60" spans="1:7" ht="13.8" outlineLevel="2" thickBot="1">
      <c r="A60" s="221"/>
      <c r="B60" s="21"/>
      <c r="C60" s="222"/>
      <c r="D60" s="223"/>
      <c r="F60" s="22"/>
      <c r="G60" s="22"/>
    </row>
    <row r="61" spans="1:7" s="341" customFormat="1" ht="13.8" outlineLevel="1" thickBot="1">
      <c r="A61" s="221" t="s">
        <v>356</v>
      </c>
      <c r="B61" s="21"/>
      <c r="C61" s="225" t="s">
        <v>1005</v>
      </c>
      <c r="D61" s="226">
        <f>SUBTOTAL(9,D52:D60)</f>
        <v>13893.087812823547</v>
      </c>
    </row>
    <row r="62" spans="1:7" s="341" customFormat="1" ht="13.8" outlineLevel="1" thickBot="1">
      <c r="A62" s="351" t="s">
        <v>789</v>
      </c>
      <c r="B62" s="352"/>
      <c r="C62" s="353"/>
      <c r="D62" s="348"/>
    </row>
    <row r="63" spans="1:7" ht="13.8" outlineLevel="2" thickBot="1">
      <c r="A63" s="221" t="s">
        <v>357</v>
      </c>
      <c r="B63" s="21" t="s">
        <v>294</v>
      </c>
      <c r="C63" s="222"/>
      <c r="D63" s="223">
        <v>2400</v>
      </c>
      <c r="F63" s="22"/>
      <c r="G63" s="22"/>
    </row>
    <row r="64" spans="1:7" ht="13.8" outlineLevel="2" thickBot="1">
      <c r="A64" s="221" t="s">
        <v>358</v>
      </c>
      <c r="B64" s="21" t="s">
        <v>295</v>
      </c>
      <c r="C64" s="222"/>
      <c r="D64" s="223">
        <v>1200</v>
      </c>
      <c r="F64" s="22"/>
      <c r="G64" s="22"/>
    </row>
    <row r="65" spans="1:7" ht="13.8" outlineLevel="2" thickBot="1">
      <c r="A65" s="221" t="s">
        <v>359</v>
      </c>
      <c r="B65" s="21" t="s">
        <v>360</v>
      </c>
      <c r="C65" s="222"/>
      <c r="D65" s="223">
        <f>80*12</f>
        <v>960</v>
      </c>
      <c r="F65" s="22"/>
      <c r="G65" s="22"/>
    </row>
    <row r="66" spans="1:7" ht="13.8" outlineLevel="2" thickBot="1">
      <c r="A66" s="221" t="s">
        <v>287</v>
      </c>
      <c r="B66" s="22" t="s">
        <v>361</v>
      </c>
      <c r="C66" s="222"/>
      <c r="D66" s="223">
        <f>40*100</f>
        <v>4000</v>
      </c>
      <c r="F66" s="22"/>
      <c r="G66" s="22"/>
    </row>
    <row r="67" spans="1:7" ht="13.8" outlineLevel="2" thickBot="1">
      <c r="A67" s="21" t="s">
        <v>1039</v>
      </c>
      <c r="B67" s="22" t="s">
        <v>362</v>
      </c>
      <c r="C67" s="222"/>
      <c r="D67" s="223">
        <v>0</v>
      </c>
      <c r="F67" s="22"/>
      <c r="G67" s="22"/>
    </row>
    <row r="68" spans="1:7" ht="13.8" outlineLevel="2" thickBot="1">
      <c r="A68" s="21" t="s">
        <v>1041</v>
      </c>
      <c r="B68" s="22" t="s">
        <v>362</v>
      </c>
      <c r="C68" s="222"/>
      <c r="D68" s="223">
        <v>0</v>
      </c>
      <c r="F68" s="22"/>
      <c r="G68" s="22"/>
    </row>
    <row r="69" spans="1:7" ht="13.8" outlineLevel="2" thickBot="1">
      <c r="A69" s="21" t="s">
        <v>363</v>
      </c>
      <c r="C69" s="222"/>
      <c r="D69" s="223">
        <v>500</v>
      </c>
      <c r="F69" s="22"/>
      <c r="G69" s="22"/>
    </row>
    <row r="70" spans="1:7" ht="13.8" outlineLevel="2" thickBot="1">
      <c r="A70" s="21" t="s">
        <v>1040</v>
      </c>
      <c r="B70" s="22" t="s">
        <v>362</v>
      </c>
      <c r="C70" s="222"/>
      <c r="D70" s="223">
        <v>0</v>
      </c>
      <c r="F70" s="22"/>
      <c r="G70" s="22"/>
    </row>
    <row r="71" spans="1:7" ht="13.8" outlineLevel="2" thickBot="1">
      <c r="A71" s="22" t="s">
        <v>364</v>
      </c>
      <c r="B71" s="22" t="s">
        <v>1023</v>
      </c>
      <c r="C71" s="222"/>
      <c r="D71" s="223">
        <v>0</v>
      </c>
      <c r="F71" s="22"/>
      <c r="G71" s="22"/>
    </row>
    <row r="72" spans="1:7" ht="13.8" hidden="1" outlineLevel="2" thickBot="1">
      <c r="A72" s="221" t="s">
        <v>1048</v>
      </c>
      <c r="B72" s="21"/>
      <c r="C72" s="222"/>
      <c r="D72" s="223"/>
      <c r="F72" s="22"/>
      <c r="G72" s="22"/>
    </row>
    <row r="73" spans="1:7" ht="13.8" outlineLevel="2" thickBot="1">
      <c r="A73" s="21" t="s">
        <v>365</v>
      </c>
      <c r="B73" s="21" t="s">
        <v>366</v>
      </c>
      <c r="C73" s="222"/>
      <c r="D73" s="223">
        <v>500</v>
      </c>
      <c r="F73" s="22"/>
      <c r="G73" s="22"/>
    </row>
    <row r="74" spans="1:7" ht="13.8" hidden="1" outlineLevel="2" thickBot="1">
      <c r="A74" s="21" t="s">
        <v>273</v>
      </c>
      <c r="B74" s="21"/>
      <c r="C74" s="222"/>
      <c r="D74" s="223"/>
      <c r="F74" s="22"/>
      <c r="G74" s="22"/>
    </row>
    <row r="75" spans="1:7" ht="13.8" outlineLevel="2" thickBot="1">
      <c r="A75" s="221" t="s">
        <v>336</v>
      </c>
      <c r="B75" s="21" t="s">
        <v>367</v>
      </c>
      <c r="C75" s="222"/>
      <c r="D75" s="223">
        <v>3000</v>
      </c>
      <c r="F75" s="22"/>
      <c r="G75" s="22"/>
    </row>
    <row r="76" spans="1:7" ht="13.8" outlineLevel="2" thickBot="1">
      <c r="A76" s="221" t="s">
        <v>368</v>
      </c>
      <c r="B76" s="21"/>
      <c r="C76" s="222"/>
      <c r="D76" s="223">
        <v>1200</v>
      </c>
      <c r="F76" s="22"/>
      <c r="G76" s="22"/>
    </row>
    <row r="77" spans="1:7" ht="13.8" outlineLevel="2" thickBot="1">
      <c r="A77" s="221" t="s">
        <v>354</v>
      </c>
      <c r="B77" s="21"/>
      <c r="C77" s="222"/>
      <c r="D77" s="223">
        <v>2000</v>
      </c>
      <c r="F77" s="22"/>
      <c r="G77" s="22"/>
    </row>
    <row r="78" spans="1:7" ht="13.8" outlineLevel="2" thickBot="1">
      <c r="A78" s="221" t="s">
        <v>369</v>
      </c>
      <c r="B78" s="21" t="s">
        <v>370</v>
      </c>
      <c r="C78" s="222"/>
      <c r="D78" s="223">
        <v>1800</v>
      </c>
      <c r="F78" s="22"/>
      <c r="G78" s="22"/>
    </row>
    <row r="79" spans="1:7" ht="13.8" outlineLevel="2" thickBot="1">
      <c r="A79" s="221" t="s">
        <v>371</v>
      </c>
      <c r="B79" s="21" t="s">
        <v>372</v>
      </c>
      <c r="C79" s="222"/>
      <c r="D79" s="223">
        <v>1000</v>
      </c>
      <c r="F79" s="22"/>
      <c r="G79" s="22"/>
    </row>
    <row r="80" spans="1:7" ht="13.8" outlineLevel="2" thickBot="1">
      <c r="A80" s="221" t="s">
        <v>373</v>
      </c>
      <c r="B80" s="21" t="s">
        <v>374</v>
      </c>
      <c r="C80" s="222"/>
      <c r="D80" s="223">
        <v>1500</v>
      </c>
      <c r="F80" s="22"/>
      <c r="G80" s="22"/>
    </row>
    <row r="81" spans="1:7" ht="13.8" outlineLevel="2" thickBot="1">
      <c r="A81" s="221" t="s">
        <v>375</v>
      </c>
      <c r="B81" s="21"/>
      <c r="C81" s="222"/>
      <c r="D81" s="223"/>
      <c r="F81" s="22"/>
      <c r="G81" s="22"/>
    </row>
    <row r="82" spans="1:7" ht="13.8" outlineLevel="2" thickBot="1">
      <c r="A82" s="221" t="s">
        <v>376</v>
      </c>
      <c r="B82" s="21"/>
      <c r="C82" s="222"/>
      <c r="D82" s="223">
        <v>2000</v>
      </c>
      <c r="F82" s="22"/>
      <c r="G82" s="22"/>
    </row>
    <row r="83" spans="1:7" ht="13.8" outlineLevel="2" thickBot="1">
      <c r="A83" s="221" t="s">
        <v>377</v>
      </c>
      <c r="B83" s="21"/>
      <c r="C83" s="222"/>
      <c r="D83" s="223">
        <v>5000</v>
      </c>
      <c r="F83" s="22"/>
      <c r="G83" s="22"/>
    </row>
    <row r="84" spans="1:7" ht="13.8" outlineLevel="2" thickBot="1">
      <c r="A84" s="221" t="s">
        <v>378</v>
      </c>
      <c r="B84" s="21" t="s">
        <v>379</v>
      </c>
      <c r="C84" s="222"/>
      <c r="D84" s="223">
        <v>0</v>
      </c>
      <c r="F84" s="22"/>
      <c r="G84" s="22"/>
    </row>
    <row r="85" spans="1:7" ht="13.8" outlineLevel="2" thickBot="1">
      <c r="A85" s="221" t="s">
        <v>380</v>
      </c>
      <c r="B85" s="21"/>
      <c r="C85" s="222"/>
      <c r="D85" s="223">
        <v>2500</v>
      </c>
      <c r="F85" s="22"/>
      <c r="G85" s="22"/>
    </row>
    <row r="86" spans="1:7" ht="13.8" outlineLevel="2" thickBot="1">
      <c r="A86" s="221" t="s">
        <v>381</v>
      </c>
      <c r="B86" s="21"/>
      <c r="C86" s="222"/>
      <c r="D86" s="223">
        <v>0</v>
      </c>
      <c r="F86" s="22"/>
      <c r="G86" s="22"/>
    </row>
    <row r="87" spans="1:7" ht="13.8" outlineLevel="2" thickBot="1">
      <c r="A87" s="221" t="s">
        <v>382</v>
      </c>
      <c r="B87" s="21" t="s">
        <v>296</v>
      </c>
      <c r="C87" s="222"/>
      <c r="D87" s="223">
        <v>0</v>
      </c>
      <c r="F87" s="22"/>
      <c r="G87" s="22"/>
    </row>
    <row r="88" spans="1:7" ht="13.8" outlineLevel="2" thickBot="1">
      <c r="A88" s="221" t="s">
        <v>383</v>
      </c>
      <c r="B88" s="21" t="s">
        <v>384</v>
      </c>
      <c r="C88" s="222"/>
      <c r="D88" s="223">
        <v>500</v>
      </c>
      <c r="F88" s="22"/>
      <c r="G88" s="22"/>
    </row>
    <row r="89" spans="1:7" ht="13.8" outlineLevel="2" thickBot="1">
      <c r="A89" s="221" t="s">
        <v>385</v>
      </c>
      <c r="B89" s="21" t="s">
        <v>386</v>
      </c>
      <c r="C89" s="222"/>
      <c r="D89" s="223">
        <f>SUM(D288:D294)</f>
        <v>3140</v>
      </c>
      <c r="F89" s="22"/>
      <c r="G89" s="22"/>
    </row>
    <row r="90" spans="1:7" ht="13.8" outlineLevel="2" thickBot="1">
      <c r="A90" s="221" t="s">
        <v>387</v>
      </c>
      <c r="B90" s="21" t="s">
        <v>921</v>
      </c>
      <c r="C90" s="222"/>
      <c r="D90" s="223">
        <f>D296</f>
        <v>0</v>
      </c>
      <c r="F90" s="22"/>
      <c r="G90" s="22"/>
    </row>
    <row r="91" spans="1:7" ht="13.8" outlineLevel="2" thickBot="1">
      <c r="A91" s="221"/>
      <c r="B91" s="21"/>
      <c r="C91" s="222"/>
      <c r="D91" s="223"/>
      <c r="F91" s="22"/>
      <c r="G91" s="22"/>
    </row>
    <row r="92" spans="1:7" s="341" customFormat="1" ht="13.8" outlineLevel="1" thickBot="1">
      <c r="A92" s="221"/>
      <c r="B92" s="21"/>
      <c r="C92" s="225" t="s">
        <v>1005</v>
      </c>
      <c r="D92" s="226">
        <f>SUBTOTAL(9,D63:D91)</f>
        <v>33200</v>
      </c>
    </row>
    <row r="93" spans="1:7" s="341" customFormat="1" ht="13.8" outlineLevel="1" thickBot="1">
      <c r="A93" s="351" t="s">
        <v>790</v>
      </c>
      <c r="B93" s="352"/>
      <c r="C93" s="353"/>
      <c r="D93" s="348"/>
    </row>
    <row r="94" spans="1:7" ht="13.8" outlineLevel="2" thickBot="1">
      <c r="A94" s="221" t="s">
        <v>388</v>
      </c>
      <c r="B94" s="21" t="s">
        <v>389</v>
      </c>
      <c r="C94" s="222"/>
      <c r="D94" s="223">
        <v>6000</v>
      </c>
      <c r="F94" s="22"/>
      <c r="G94" s="22"/>
    </row>
    <row r="95" spans="1:7" ht="13.8" outlineLevel="2" thickBot="1">
      <c r="A95" s="221" t="s">
        <v>390</v>
      </c>
      <c r="B95" s="21" t="s">
        <v>391</v>
      </c>
      <c r="C95" s="222"/>
      <c r="D95" s="223">
        <f>2*300*12</f>
        <v>7200</v>
      </c>
      <c r="F95" s="22"/>
      <c r="G95" s="22"/>
    </row>
    <row r="96" spans="1:7" ht="13.8" outlineLevel="2" thickBot="1">
      <c r="A96" s="221" t="s">
        <v>392</v>
      </c>
      <c r="B96" s="21" t="s">
        <v>393</v>
      </c>
      <c r="C96" s="222"/>
      <c r="D96" s="223"/>
      <c r="F96" s="22"/>
      <c r="G96" s="22"/>
    </row>
    <row r="97" spans="1:7" s="341" customFormat="1" ht="13.8" outlineLevel="1" thickBot="1">
      <c r="A97" s="221"/>
      <c r="B97" s="21"/>
      <c r="C97" s="225" t="s">
        <v>1005</v>
      </c>
      <c r="D97" s="226">
        <f>SUBTOTAL(9,D94:D96)</f>
        <v>13200</v>
      </c>
    </row>
    <row r="98" spans="1:7" s="341" customFormat="1" ht="13.8" outlineLevel="1" thickBot="1">
      <c r="A98" s="351" t="s">
        <v>394</v>
      </c>
      <c r="B98" s="352"/>
      <c r="C98" s="353"/>
      <c r="D98" s="348"/>
    </row>
    <row r="99" spans="1:7" ht="13.8" outlineLevel="2" thickBot="1">
      <c r="A99" s="221" t="s">
        <v>394</v>
      </c>
      <c r="B99" s="21"/>
      <c r="C99" s="222"/>
      <c r="D99" s="223">
        <v>0</v>
      </c>
      <c r="F99" s="22"/>
      <c r="G99" s="22"/>
    </row>
    <row r="100" spans="1:7" ht="13.8" outlineLevel="2" thickBot="1">
      <c r="A100" s="221"/>
      <c r="B100" s="21"/>
      <c r="C100" s="222"/>
      <c r="D100" s="223"/>
      <c r="F100" s="22"/>
      <c r="G100" s="22"/>
    </row>
    <row r="101" spans="1:7" s="341" customFormat="1" ht="13.8" outlineLevel="1" thickBot="1">
      <c r="A101" s="221" t="s">
        <v>395</v>
      </c>
      <c r="B101" s="21"/>
      <c r="C101" s="225" t="s">
        <v>1005</v>
      </c>
      <c r="D101" s="226">
        <f>SUBTOTAL(9,D99:D100)</f>
        <v>0</v>
      </c>
    </row>
    <row r="102" spans="1:7" s="341" customFormat="1" ht="13.8" outlineLevel="1" thickBot="1">
      <c r="A102" s="351" t="s">
        <v>396</v>
      </c>
      <c r="B102" s="352"/>
      <c r="C102" s="353"/>
      <c r="D102" s="348"/>
    </row>
    <row r="103" spans="1:7" ht="13.8" outlineLevel="2" thickBot="1">
      <c r="A103" s="221" t="s">
        <v>287</v>
      </c>
      <c r="B103" s="21" t="s">
        <v>397</v>
      </c>
      <c r="C103" s="222"/>
      <c r="D103" s="223">
        <v>2400</v>
      </c>
      <c r="F103" s="22"/>
      <c r="G103" s="22"/>
    </row>
    <row r="104" spans="1:7" ht="13.8" outlineLevel="2" thickBot="1">
      <c r="A104" s="221" t="s">
        <v>398</v>
      </c>
      <c r="B104" s="21"/>
      <c r="C104" s="222"/>
      <c r="D104" s="223">
        <v>1000</v>
      </c>
      <c r="F104" s="22"/>
      <c r="G104" s="22"/>
    </row>
    <row r="105" spans="1:7" ht="13.8" outlineLevel="2" thickBot="1">
      <c r="A105" s="221" t="s">
        <v>399</v>
      </c>
      <c r="B105" s="21"/>
      <c r="C105" s="222"/>
      <c r="D105" s="223"/>
      <c r="F105" s="22"/>
      <c r="G105" s="22"/>
    </row>
    <row r="106" spans="1:7" ht="13.8" outlineLevel="2" thickBot="1">
      <c r="A106" s="221" t="s">
        <v>400</v>
      </c>
      <c r="B106" s="21"/>
      <c r="C106" s="222"/>
      <c r="D106" s="223">
        <v>1000</v>
      </c>
      <c r="F106" s="22"/>
      <c r="G106" s="22"/>
    </row>
    <row r="107" spans="1:7" ht="13.8" outlineLevel="2" thickBot="1">
      <c r="A107" s="221" t="s">
        <v>401</v>
      </c>
      <c r="B107" s="21"/>
      <c r="C107" s="222"/>
      <c r="D107" s="223"/>
      <c r="F107" s="22"/>
      <c r="G107" s="22"/>
    </row>
    <row r="108" spans="1:7" ht="13.8" outlineLevel="2" thickBot="1">
      <c r="A108" s="221" t="s">
        <v>336</v>
      </c>
      <c r="B108" s="21"/>
      <c r="C108" s="222"/>
      <c r="D108" s="223"/>
      <c r="F108" s="22"/>
      <c r="G108" s="22"/>
    </row>
    <row r="109" spans="1:7" ht="13.8" outlineLevel="2" thickBot="1">
      <c r="A109" s="221" t="s">
        <v>1115</v>
      </c>
      <c r="B109" s="21" t="s">
        <v>402</v>
      </c>
      <c r="C109" s="222"/>
      <c r="D109" s="223">
        <f>0.05*0.75*D103</f>
        <v>90.000000000000014</v>
      </c>
      <c r="F109" s="22"/>
      <c r="G109" s="22"/>
    </row>
    <row r="110" spans="1:7" ht="13.8" outlineLevel="2" thickBot="1">
      <c r="A110" s="221"/>
      <c r="B110" s="21"/>
      <c r="C110" s="222"/>
      <c r="D110" s="223"/>
      <c r="F110" s="22"/>
      <c r="G110" s="22"/>
    </row>
    <row r="111" spans="1:7" s="341" customFormat="1" ht="13.8" outlineLevel="1" thickBot="1">
      <c r="A111" s="221" t="s">
        <v>403</v>
      </c>
      <c r="B111" s="21"/>
      <c r="C111" s="225" t="s">
        <v>1005</v>
      </c>
      <c r="D111" s="226">
        <f>SUBTOTAL(9,D103:D110)</f>
        <v>4490</v>
      </c>
    </row>
    <row r="112" spans="1:7" s="341" customFormat="1" ht="13.8" outlineLevel="1" thickBot="1">
      <c r="A112" s="351" t="s">
        <v>404</v>
      </c>
      <c r="B112" s="352"/>
      <c r="C112" s="353"/>
      <c r="D112" s="348"/>
    </row>
    <row r="113" spans="1:7" ht="13.8" outlineLevel="2" thickBot="1">
      <c r="A113" s="221" t="s">
        <v>796</v>
      </c>
      <c r="B113" s="21" t="s">
        <v>1124</v>
      </c>
      <c r="C113" s="222"/>
      <c r="D113" s="223">
        <f>1*350*30</f>
        <v>10500</v>
      </c>
      <c r="F113" s="22"/>
      <c r="G113" s="22"/>
    </row>
    <row r="114" spans="1:7" ht="13.8" outlineLevel="2" thickBot="1">
      <c r="A114" s="221" t="s">
        <v>1125</v>
      </c>
      <c r="B114" s="21" t="s">
        <v>405</v>
      </c>
      <c r="C114" s="222"/>
      <c r="D114" s="223">
        <f>1*125*30</f>
        <v>3750</v>
      </c>
      <c r="F114" s="22"/>
      <c r="G114" s="22"/>
    </row>
    <row r="115" spans="1:7" ht="13.8" outlineLevel="2" thickBot="1">
      <c r="A115" s="221" t="s">
        <v>1127</v>
      </c>
      <c r="B115" s="21" t="s">
        <v>406</v>
      </c>
      <c r="C115" s="222"/>
      <c r="D115" s="223">
        <v>1000</v>
      </c>
      <c r="F115" s="22"/>
      <c r="G115" s="22"/>
    </row>
    <row r="116" spans="1:7" ht="13.8" outlineLevel="2" thickBot="1">
      <c r="A116" s="221" t="s">
        <v>407</v>
      </c>
      <c r="B116" s="21" t="s">
        <v>408</v>
      </c>
      <c r="C116" s="222"/>
      <c r="D116" s="223">
        <v>0</v>
      </c>
      <c r="F116" s="22"/>
      <c r="G116" s="22"/>
    </row>
    <row r="117" spans="1:7" ht="13.8" outlineLevel="2" thickBot="1">
      <c r="A117" s="221"/>
      <c r="B117" s="21"/>
      <c r="C117" s="222"/>
      <c r="D117" s="223"/>
      <c r="F117" s="22"/>
      <c r="G117" s="22"/>
    </row>
    <row r="118" spans="1:7" s="341" customFormat="1" ht="13.8" outlineLevel="1" thickBot="1">
      <c r="A118" s="221" t="s">
        <v>409</v>
      </c>
      <c r="B118" s="21"/>
      <c r="C118" s="225" t="s">
        <v>1005</v>
      </c>
      <c r="D118" s="226">
        <f>SUBTOTAL(9,D113:D116)</f>
        <v>15250</v>
      </c>
    </row>
    <row r="119" spans="1:7" s="341" customFormat="1" ht="13.8" outlineLevel="1" thickBot="1">
      <c r="A119" s="351" t="s">
        <v>410</v>
      </c>
      <c r="B119" s="352"/>
      <c r="C119" s="353"/>
      <c r="D119" s="348"/>
    </row>
    <row r="120" spans="1:7" ht="13.8" outlineLevel="2" thickBot="1">
      <c r="A120" s="221" t="s">
        <v>287</v>
      </c>
      <c r="B120" s="21"/>
      <c r="C120" s="222"/>
      <c r="D120" s="223">
        <v>0</v>
      </c>
      <c r="F120" s="22"/>
      <c r="G120" s="22"/>
    </row>
    <row r="121" spans="1:7" ht="13.8" outlineLevel="2" thickBot="1">
      <c r="A121" s="221" t="s">
        <v>411</v>
      </c>
      <c r="B121" s="21"/>
      <c r="C121" s="354"/>
      <c r="D121" s="223">
        <v>2244</v>
      </c>
      <c r="F121" s="23"/>
    </row>
    <row r="122" spans="1:7" ht="13.8" outlineLevel="2" thickBot="1">
      <c r="A122" s="221" t="s">
        <v>298</v>
      </c>
      <c r="B122" s="21" t="s">
        <v>299</v>
      </c>
      <c r="C122" s="355"/>
      <c r="D122" s="223">
        <f>0.3/1000*4*67*60*1300</f>
        <v>6271.2</v>
      </c>
      <c r="F122" s="22"/>
      <c r="G122" s="22"/>
    </row>
    <row r="123" spans="1:7" ht="13.8" outlineLevel="2" thickBot="1">
      <c r="A123" s="221" t="s">
        <v>412</v>
      </c>
      <c r="C123" s="355"/>
      <c r="D123" s="223"/>
      <c r="F123" s="22"/>
      <c r="G123" s="22"/>
    </row>
    <row r="124" spans="1:7" ht="13.8" outlineLevel="2" thickBot="1">
      <c r="A124" s="221" t="s">
        <v>413</v>
      </c>
      <c r="B124" s="21" t="s">
        <v>414</v>
      </c>
      <c r="C124" s="355"/>
      <c r="D124" s="223">
        <v>23160</v>
      </c>
      <c r="F124" s="22"/>
      <c r="G124" s="22"/>
    </row>
    <row r="125" spans="1:7" ht="13.8" outlineLevel="2" thickBot="1">
      <c r="A125" s="221" t="s">
        <v>415</v>
      </c>
      <c r="B125" s="21"/>
      <c r="C125" s="355"/>
      <c r="D125" s="223"/>
      <c r="F125" s="22"/>
      <c r="G125" s="22"/>
    </row>
    <row r="126" spans="1:7" ht="13.8" outlineLevel="2" thickBot="1">
      <c r="A126" s="221" t="s">
        <v>416</v>
      </c>
      <c r="B126" s="21"/>
      <c r="C126" s="222"/>
      <c r="D126" s="223">
        <v>30095</v>
      </c>
      <c r="F126" s="22"/>
      <c r="G126" s="22"/>
    </row>
    <row r="127" spans="1:7" ht="13.8" outlineLevel="2" thickBot="1">
      <c r="A127" s="221" t="s">
        <v>417</v>
      </c>
      <c r="B127" s="21" t="s">
        <v>408</v>
      </c>
      <c r="C127" s="222"/>
      <c r="D127" s="223"/>
      <c r="F127" s="22"/>
      <c r="G127" s="22"/>
    </row>
    <row r="128" spans="1:7" ht="13.8" outlineLevel="2" thickBot="1">
      <c r="A128" s="221" t="s">
        <v>418</v>
      </c>
      <c r="B128" s="21" t="s">
        <v>297</v>
      </c>
      <c r="C128" s="222"/>
      <c r="D128" s="223">
        <f>4*46*1300*0.2</f>
        <v>47840</v>
      </c>
      <c r="F128" s="22"/>
      <c r="G128" s="22"/>
    </row>
    <row r="129" spans="1:7" ht="13.8" outlineLevel="2" thickBot="1">
      <c r="A129" s="221" t="s">
        <v>419</v>
      </c>
      <c r="B129" s="21" t="s">
        <v>420</v>
      </c>
      <c r="C129" s="222"/>
      <c r="D129" s="223"/>
      <c r="F129" s="22"/>
      <c r="G129" s="22"/>
    </row>
    <row r="130" spans="1:7" ht="13.8" outlineLevel="2" thickBot="1">
      <c r="A130" s="221" t="s">
        <v>421</v>
      </c>
      <c r="B130" s="21"/>
      <c r="C130" s="222"/>
      <c r="D130" s="223">
        <v>2000</v>
      </c>
      <c r="F130" s="22"/>
      <c r="G130" s="22"/>
    </row>
    <row r="131" spans="1:7" ht="13.8" outlineLevel="2" thickBot="1">
      <c r="A131" s="221" t="s">
        <v>422</v>
      </c>
      <c r="B131" s="21" t="s">
        <v>423</v>
      </c>
      <c r="C131" s="222"/>
      <c r="D131" s="223">
        <v>10000</v>
      </c>
      <c r="F131" s="22"/>
      <c r="G131" s="22"/>
    </row>
    <row r="132" spans="1:7" ht="13.8" outlineLevel="2" thickBot="1">
      <c r="A132" s="221" t="s">
        <v>424</v>
      </c>
      <c r="B132" s="21" t="s">
        <v>425</v>
      </c>
      <c r="C132" s="222"/>
      <c r="D132" s="223">
        <f>0.05*SUM(D121:D130)</f>
        <v>5580.51</v>
      </c>
      <c r="F132" s="22"/>
      <c r="G132" s="22"/>
    </row>
    <row r="133" spans="1:7" ht="13.8" outlineLevel="2" thickBot="1">
      <c r="A133" s="221"/>
      <c r="B133" s="21"/>
      <c r="C133" s="222"/>
      <c r="D133" s="223"/>
      <c r="F133" s="22"/>
      <c r="G133" s="22"/>
    </row>
    <row r="134" spans="1:7" s="341" customFormat="1" ht="13.8" outlineLevel="1" thickBot="1">
      <c r="A134" s="221" t="s">
        <v>426</v>
      </c>
      <c r="B134" s="21"/>
      <c r="C134" s="225" t="s">
        <v>1005</v>
      </c>
      <c r="D134" s="226">
        <f>SUBTOTAL(9,D120:D133)</f>
        <v>127190.70999999999</v>
      </c>
    </row>
    <row r="135" spans="1:7" s="341" customFormat="1" ht="13.8" outlineLevel="1" thickBot="1">
      <c r="A135" s="351" t="s">
        <v>427</v>
      </c>
      <c r="B135" s="352"/>
      <c r="C135" s="353"/>
      <c r="D135" s="348"/>
    </row>
    <row r="136" spans="1:7" ht="13.8" outlineLevel="2" thickBot="1">
      <c r="A136" s="221" t="s">
        <v>428</v>
      </c>
      <c r="B136" s="22" t="s">
        <v>300</v>
      </c>
      <c r="C136" s="222"/>
      <c r="D136" s="223">
        <f>70000*(180/414)^0.6</f>
        <v>42467.954012997739</v>
      </c>
      <c r="F136" s="22"/>
      <c r="G136" s="22"/>
    </row>
    <row r="137" spans="1:7" ht="13.8" outlineLevel="2" thickBot="1">
      <c r="A137" s="221" t="s">
        <v>287</v>
      </c>
      <c r="B137" s="21" t="s">
        <v>347</v>
      </c>
      <c r="C137" s="222"/>
      <c r="D137" s="223"/>
      <c r="F137" s="22"/>
      <c r="G137" s="22"/>
    </row>
    <row r="138" spans="1:7" ht="13.8" outlineLevel="2" thickBot="1">
      <c r="A138" s="221" t="s">
        <v>429</v>
      </c>
      <c r="B138" s="117"/>
      <c r="C138" s="222"/>
      <c r="D138" s="223"/>
      <c r="F138" s="22"/>
      <c r="G138" s="22"/>
    </row>
    <row r="139" spans="1:7" ht="13.8" outlineLevel="2" thickBot="1">
      <c r="A139" s="221" t="s">
        <v>430</v>
      </c>
      <c r="B139" s="21"/>
      <c r="C139" s="222"/>
      <c r="D139" s="223"/>
      <c r="G139" s="22"/>
    </row>
    <row r="140" spans="1:7" ht="13.8" outlineLevel="2" thickBot="1">
      <c r="A140" s="221" t="s">
        <v>1094</v>
      </c>
      <c r="B140" s="21"/>
      <c r="C140" s="222"/>
      <c r="D140" s="223"/>
      <c r="F140" s="22"/>
      <c r="G140" s="22"/>
    </row>
    <row r="141" spans="1:7" ht="13.8" outlineLevel="2" thickBot="1">
      <c r="A141" s="221"/>
      <c r="B141" s="21"/>
      <c r="C141" s="222"/>
      <c r="D141" s="223"/>
      <c r="F141" s="22"/>
      <c r="G141" s="22"/>
    </row>
    <row r="142" spans="1:7" s="341" customFormat="1" ht="13.8" outlineLevel="1" thickBot="1">
      <c r="A142" s="221" t="s">
        <v>431</v>
      </c>
      <c r="B142" s="21"/>
      <c r="C142" s="225" t="s">
        <v>1005</v>
      </c>
      <c r="D142" s="226">
        <f>SUBTOTAL(9,D136:D141)</f>
        <v>42467.954012997739</v>
      </c>
      <c r="F142" s="22"/>
    </row>
    <row r="143" spans="1:7" s="341" customFormat="1" ht="13.8" outlineLevel="1" thickBot="1">
      <c r="A143" s="351" t="s">
        <v>432</v>
      </c>
      <c r="B143" s="352"/>
      <c r="C143" s="353"/>
      <c r="D143" s="348"/>
    </row>
    <row r="144" spans="1:7" ht="13.8" outlineLevel="2" thickBot="1">
      <c r="A144" s="221" t="s">
        <v>433</v>
      </c>
      <c r="B144" s="21" t="s">
        <v>301</v>
      </c>
      <c r="C144" s="222" t="s">
        <v>436</v>
      </c>
      <c r="D144" s="223">
        <f>4*3375</f>
        <v>13500</v>
      </c>
      <c r="F144" s="22"/>
      <c r="G144" s="22"/>
    </row>
    <row r="145" spans="1:7" ht="13.8" outlineLevel="2" thickBot="1">
      <c r="A145" s="221" t="s">
        <v>435</v>
      </c>
      <c r="B145" s="21"/>
      <c r="D145" s="223"/>
      <c r="F145" s="22"/>
      <c r="G145" s="22"/>
    </row>
    <row r="146" spans="1:7" ht="13.8" outlineLevel="2" thickBot="1">
      <c r="A146" s="221" t="s">
        <v>287</v>
      </c>
      <c r="B146" s="117"/>
      <c r="C146" s="222"/>
      <c r="D146" s="223"/>
      <c r="F146" s="22"/>
      <c r="G146" s="22"/>
    </row>
    <row r="147" spans="1:7" ht="13.8" outlineLevel="2" thickBot="1">
      <c r="A147" s="221" t="s">
        <v>429</v>
      </c>
      <c r="B147" s="21"/>
      <c r="C147" s="222"/>
      <c r="D147" s="223"/>
      <c r="F147" s="22"/>
      <c r="G147" s="22"/>
    </row>
    <row r="148" spans="1:7" ht="13.8" outlineLevel="2" thickBot="1">
      <c r="A148" s="221" t="s">
        <v>430</v>
      </c>
      <c r="B148" s="21"/>
      <c r="C148" s="222"/>
      <c r="D148" s="223"/>
      <c r="F148" s="22"/>
      <c r="G148" s="22"/>
    </row>
    <row r="149" spans="1:7" ht="13.8" outlineLevel="2" thickBot="1">
      <c r="A149" s="221" t="s">
        <v>1094</v>
      </c>
      <c r="B149" s="21"/>
      <c r="C149" s="222"/>
      <c r="D149" s="223"/>
      <c r="F149" s="22"/>
      <c r="G149" s="22"/>
    </row>
    <row r="150" spans="1:7" ht="13.8" outlineLevel="2" thickBot="1">
      <c r="A150" s="221" t="s">
        <v>1115</v>
      </c>
      <c r="B150" s="21" t="s">
        <v>402</v>
      </c>
      <c r="C150" s="222"/>
      <c r="D150" s="223">
        <f>0.05*0.75*D144</f>
        <v>506.25000000000006</v>
      </c>
      <c r="F150" s="22"/>
      <c r="G150" s="22"/>
    </row>
    <row r="151" spans="1:7" ht="13.8" outlineLevel="2" thickBot="1">
      <c r="A151" s="221"/>
      <c r="B151" s="21"/>
      <c r="C151" s="222"/>
      <c r="D151" s="223"/>
      <c r="F151" s="22"/>
      <c r="G151" s="22"/>
    </row>
    <row r="152" spans="1:7" s="341" customFormat="1" ht="13.8" outlineLevel="1" thickBot="1">
      <c r="A152" s="221" t="s">
        <v>437</v>
      </c>
      <c r="B152" s="21"/>
      <c r="C152" s="225" t="s">
        <v>1005</v>
      </c>
      <c r="D152" s="226">
        <f>SUBTOTAL(9,D144:D151)</f>
        <v>14006.25</v>
      </c>
    </row>
    <row r="153" spans="1:7" s="341" customFormat="1" ht="13.8" outlineLevel="1" thickBot="1">
      <c r="A153" s="351" t="s">
        <v>438</v>
      </c>
      <c r="B153" s="352"/>
      <c r="C153" s="353"/>
      <c r="D153" s="348"/>
    </row>
    <row r="154" spans="1:7" ht="13.8" outlineLevel="2" thickBot="1">
      <c r="A154" s="221" t="s">
        <v>433</v>
      </c>
      <c r="B154" s="21" t="s">
        <v>302</v>
      </c>
      <c r="C154" s="222"/>
      <c r="D154" s="223">
        <f>9816*(133000/180000)^0.6*2500/2500</f>
        <v>8186.1939756039319</v>
      </c>
      <c r="F154" s="22">
        <f>67*4*60*8.3</f>
        <v>133464</v>
      </c>
      <c r="G154" s="22"/>
    </row>
    <row r="155" spans="1:7" ht="13.8" outlineLevel="2" thickBot="1">
      <c r="A155" s="221" t="s">
        <v>435</v>
      </c>
      <c r="B155" s="21" t="s">
        <v>439</v>
      </c>
      <c r="C155" s="222"/>
      <c r="D155" s="223"/>
      <c r="F155" s="22"/>
      <c r="G155" s="22"/>
    </row>
    <row r="156" spans="1:7" ht="13.8" outlineLevel="2" thickBot="1">
      <c r="A156" s="221" t="s">
        <v>287</v>
      </c>
      <c r="B156" s="117"/>
      <c r="C156" s="222"/>
      <c r="D156" s="223"/>
      <c r="F156" s="22"/>
      <c r="G156" s="22"/>
    </row>
    <row r="157" spans="1:7" ht="13.8" outlineLevel="2" thickBot="1">
      <c r="A157" s="221" t="s">
        <v>440</v>
      </c>
      <c r="B157" s="21" t="s">
        <v>314</v>
      </c>
      <c r="C157" s="222"/>
      <c r="D157" s="223"/>
      <c r="F157" s="22"/>
      <c r="G157" s="22"/>
    </row>
    <row r="158" spans="1:7" ht="13.8" outlineLevel="2" thickBot="1">
      <c r="A158" s="221" t="s">
        <v>430</v>
      </c>
      <c r="B158" s="21"/>
      <c r="C158" s="222"/>
      <c r="D158" s="223"/>
      <c r="F158" s="22"/>
      <c r="G158" s="22"/>
    </row>
    <row r="159" spans="1:7" ht="13.8" outlineLevel="2" thickBot="1">
      <c r="A159" s="221" t="s">
        <v>1094</v>
      </c>
      <c r="B159" s="21"/>
      <c r="C159" s="222"/>
      <c r="D159" s="223"/>
      <c r="F159" s="22"/>
      <c r="G159" s="22"/>
    </row>
    <row r="160" spans="1:7" ht="13.8" outlineLevel="2" thickBot="1">
      <c r="A160" s="221" t="s">
        <v>1115</v>
      </c>
      <c r="B160" s="21" t="s">
        <v>402</v>
      </c>
      <c r="C160" s="222"/>
      <c r="D160" s="223">
        <f>0.05*0.75*(D156+D154)</f>
        <v>306.98227408514748</v>
      </c>
      <c r="F160" s="22"/>
      <c r="G160" s="22"/>
    </row>
    <row r="161" spans="1:7" s="341" customFormat="1" ht="13.8" outlineLevel="1" thickBot="1">
      <c r="A161" s="221" t="s">
        <v>437</v>
      </c>
      <c r="B161" s="21"/>
      <c r="C161" s="225" t="s">
        <v>1005</v>
      </c>
      <c r="D161" s="226">
        <f>SUBTOTAL(9,D154:D160)</f>
        <v>8493.1762496890788</v>
      </c>
    </row>
    <row r="162" spans="1:7" s="341" customFormat="1" ht="13.8" outlineLevel="1" thickBot="1">
      <c r="A162" s="351" t="s">
        <v>441</v>
      </c>
      <c r="B162" s="352"/>
      <c r="C162" s="353"/>
      <c r="D162" s="348"/>
    </row>
    <row r="163" spans="1:7" ht="13.8" outlineLevel="2" thickBot="1">
      <c r="A163" s="221" t="s">
        <v>433</v>
      </c>
      <c r="B163" s="21" t="s">
        <v>442</v>
      </c>
      <c r="C163" s="222"/>
      <c r="D163" s="223">
        <f>179000*(180/414)^0.6*0.75</f>
        <v>81447.468946356385</v>
      </c>
      <c r="F163" s="22"/>
      <c r="G163" s="22"/>
    </row>
    <row r="164" spans="1:7" ht="13.8" outlineLevel="2" thickBot="1">
      <c r="A164" s="221" t="s">
        <v>435</v>
      </c>
      <c r="B164" s="21" t="s">
        <v>303</v>
      </c>
      <c r="C164" s="222"/>
      <c r="D164" s="223"/>
      <c r="F164" s="22"/>
      <c r="G164" s="22"/>
    </row>
    <row r="165" spans="1:7" ht="13.8" outlineLevel="2" thickBot="1">
      <c r="A165" s="221" t="s">
        <v>287</v>
      </c>
      <c r="B165" s="117" t="s">
        <v>443</v>
      </c>
      <c r="C165" s="222"/>
      <c r="D165" s="223"/>
      <c r="F165" s="22"/>
      <c r="G165" s="22"/>
    </row>
    <row r="166" spans="1:7" ht="13.8" outlineLevel="2" thickBot="1">
      <c r="A166" s="221" t="s">
        <v>440</v>
      </c>
      <c r="B166" s="21"/>
      <c r="C166" s="222"/>
      <c r="D166" s="223"/>
      <c r="F166" s="22"/>
      <c r="G166" s="22"/>
    </row>
    <row r="167" spans="1:7" ht="13.8" outlineLevel="2" thickBot="1">
      <c r="A167" s="221" t="s">
        <v>430</v>
      </c>
      <c r="B167" s="21"/>
      <c r="C167" s="222"/>
      <c r="D167" s="223"/>
      <c r="F167" s="22"/>
      <c r="G167" s="22"/>
    </row>
    <row r="168" spans="1:7" ht="13.8" outlineLevel="2" thickBot="1">
      <c r="A168" s="221" t="s">
        <v>1094</v>
      </c>
      <c r="B168" s="21"/>
      <c r="C168" s="222"/>
      <c r="D168" s="223"/>
      <c r="F168" s="22"/>
      <c r="G168" s="22"/>
    </row>
    <row r="169" spans="1:7" ht="13.8" outlineLevel="2" thickBot="1">
      <c r="A169" s="221" t="s">
        <v>1115</v>
      </c>
      <c r="B169" s="21" t="s">
        <v>402</v>
      </c>
      <c r="C169" s="222"/>
      <c r="D169" s="223">
        <f>0.05*0.75*D163</f>
        <v>3054.2800854883649</v>
      </c>
      <c r="F169" s="22"/>
      <c r="G169" s="22"/>
    </row>
    <row r="170" spans="1:7" ht="13.8" outlineLevel="2" thickBot="1">
      <c r="A170" s="221"/>
      <c r="B170" s="21"/>
      <c r="C170" s="222"/>
      <c r="D170" s="223"/>
      <c r="F170" s="22"/>
      <c r="G170" s="22"/>
    </row>
    <row r="171" spans="1:7" s="341" customFormat="1" ht="13.8" outlineLevel="1" thickBot="1">
      <c r="A171" s="221" t="s">
        <v>431</v>
      </c>
      <c r="B171" s="21"/>
      <c r="C171" s="225" t="s">
        <v>1005</v>
      </c>
      <c r="D171" s="226">
        <f>SUBTOTAL(9,D163:D170)</f>
        <v>84501.749031844753</v>
      </c>
    </row>
    <row r="172" spans="1:7" s="341" customFormat="1" ht="13.8" outlineLevel="1" thickBot="1">
      <c r="A172" s="351" t="s">
        <v>444</v>
      </c>
      <c r="B172" s="352"/>
      <c r="C172" s="353"/>
      <c r="D172" s="348"/>
    </row>
    <row r="173" spans="1:7" ht="13.8" outlineLevel="2" thickBot="1">
      <c r="A173" s="221" t="s">
        <v>433</v>
      </c>
      <c r="B173" s="21" t="s">
        <v>445</v>
      </c>
      <c r="C173" s="222"/>
      <c r="D173" s="223">
        <f>94000*0.25+0.75*94000*(4/4.5)*(46.5/104)^0.6</f>
        <v>62162.36020522863</v>
      </c>
      <c r="F173" s="22"/>
      <c r="G173" s="22"/>
    </row>
    <row r="174" spans="1:7" ht="13.8" outlineLevel="2" thickBot="1">
      <c r="A174" s="221" t="s">
        <v>446</v>
      </c>
      <c r="B174" s="21" t="s">
        <v>447</v>
      </c>
      <c r="C174" s="222"/>
      <c r="D174" s="223"/>
      <c r="F174" s="22"/>
      <c r="G174" s="22"/>
    </row>
    <row r="175" spans="1:7" ht="13.8" outlineLevel="2" thickBot="1">
      <c r="A175" s="221" t="s">
        <v>435</v>
      </c>
      <c r="B175" s="21" t="s">
        <v>448</v>
      </c>
      <c r="C175" s="222"/>
      <c r="D175" s="223"/>
      <c r="F175" s="22"/>
      <c r="G175" s="22"/>
    </row>
    <row r="176" spans="1:7" ht="13.8" outlineLevel="2" thickBot="1">
      <c r="A176" s="221" t="s">
        <v>287</v>
      </c>
      <c r="B176" s="21" t="s">
        <v>449</v>
      </c>
      <c r="C176" s="222"/>
      <c r="D176" s="223"/>
      <c r="F176" s="22"/>
      <c r="G176" s="22"/>
    </row>
    <row r="177" spans="1:7" ht="13.8" outlineLevel="2" thickBot="1">
      <c r="A177" s="221" t="s">
        <v>440</v>
      </c>
      <c r="B177" s="21" t="s">
        <v>450</v>
      </c>
      <c r="C177" s="222"/>
      <c r="D177" s="223"/>
      <c r="F177" s="22"/>
      <c r="G177" s="22"/>
    </row>
    <row r="178" spans="1:7" ht="13.8" outlineLevel="2" thickBot="1">
      <c r="A178" s="221" t="s">
        <v>430</v>
      </c>
      <c r="B178" s="21"/>
      <c r="C178" s="222"/>
      <c r="D178" s="223"/>
      <c r="F178" s="22"/>
      <c r="G178" s="22"/>
    </row>
    <row r="179" spans="1:7" ht="13.8" outlineLevel="2" thickBot="1">
      <c r="A179" s="221" t="s">
        <v>1094</v>
      </c>
      <c r="B179" s="21"/>
      <c r="C179" s="222"/>
      <c r="D179" s="223"/>
      <c r="F179" s="22"/>
      <c r="G179" s="22"/>
    </row>
    <row r="180" spans="1:7" ht="13.8" outlineLevel="2" thickBot="1">
      <c r="A180" s="221" t="s">
        <v>1115</v>
      </c>
      <c r="B180" s="21" t="s">
        <v>451</v>
      </c>
      <c r="C180" s="222"/>
      <c r="D180" s="223">
        <f>0.05*0.11*D173</f>
        <v>341.89298112875747</v>
      </c>
      <c r="F180" s="22"/>
      <c r="G180" s="22"/>
    </row>
    <row r="181" spans="1:7" ht="13.8" outlineLevel="2" thickBot="1">
      <c r="A181" s="221"/>
      <c r="B181" s="21"/>
      <c r="C181" s="222"/>
      <c r="D181" s="223"/>
      <c r="F181" s="22"/>
      <c r="G181" s="22"/>
    </row>
    <row r="182" spans="1:7" s="341" customFormat="1" ht="13.8" outlineLevel="1" thickBot="1">
      <c r="A182" s="221" t="s">
        <v>437</v>
      </c>
      <c r="B182" s="21"/>
      <c r="C182" s="225" t="s">
        <v>1005</v>
      </c>
      <c r="D182" s="226">
        <f>SUBTOTAL(9,D173:D181)</f>
        <v>62504.253186357389</v>
      </c>
    </row>
    <row r="183" spans="1:7" s="341" customFormat="1" ht="13.8" outlineLevel="1" thickBot="1">
      <c r="A183" s="351" t="s">
        <v>452</v>
      </c>
      <c r="B183" s="352"/>
      <c r="C183" s="353"/>
      <c r="D183" s="348"/>
    </row>
    <row r="184" spans="1:7" ht="13.8" outlineLevel="2" thickBot="1">
      <c r="A184" s="221" t="s">
        <v>433</v>
      </c>
      <c r="B184" s="356" t="s">
        <v>304</v>
      </c>
      <c r="C184" s="222" t="s">
        <v>436</v>
      </c>
      <c r="D184" s="223">
        <f>4*35000</f>
        <v>140000</v>
      </c>
      <c r="F184" s="22"/>
      <c r="G184" s="22"/>
    </row>
    <row r="185" spans="1:7" ht="13.8" outlineLevel="2" thickBot="1">
      <c r="A185" s="221" t="s">
        <v>435</v>
      </c>
      <c r="B185" s="22" t="s">
        <v>305</v>
      </c>
      <c r="C185" s="222" t="s">
        <v>434</v>
      </c>
      <c r="D185" s="223">
        <f>22000/2000*1300*4</f>
        <v>57200</v>
      </c>
      <c r="F185" s="22"/>
      <c r="G185" s="22"/>
    </row>
    <row r="186" spans="1:7" ht="13.8" outlineLevel="2" thickBot="1">
      <c r="A186" s="221" t="s">
        <v>287</v>
      </c>
      <c r="B186" s="21" t="s">
        <v>453</v>
      </c>
      <c r="C186" s="222"/>
      <c r="D186" s="223"/>
      <c r="F186" s="22"/>
      <c r="G186" s="22"/>
    </row>
    <row r="187" spans="1:7" ht="13.8" outlineLevel="2" thickBot="1">
      <c r="A187" s="221" t="s">
        <v>440</v>
      </c>
      <c r="B187" s="21" t="s">
        <v>454</v>
      </c>
      <c r="C187" s="222"/>
      <c r="D187" s="223"/>
      <c r="F187" s="22"/>
      <c r="G187" s="22"/>
    </row>
    <row r="188" spans="1:7" ht="13.8" outlineLevel="2" thickBot="1">
      <c r="A188" s="221" t="s">
        <v>455</v>
      </c>
      <c r="B188" s="117" t="s">
        <v>456</v>
      </c>
      <c r="C188" s="222"/>
      <c r="D188" s="223"/>
      <c r="F188" s="22" t="s">
        <v>307</v>
      </c>
      <c r="G188" s="22"/>
    </row>
    <row r="189" spans="1:7" ht="13.8" outlineLevel="2" thickBot="1">
      <c r="A189" s="221" t="s">
        <v>1094</v>
      </c>
      <c r="B189" s="21" t="s">
        <v>457</v>
      </c>
      <c r="C189" s="222"/>
      <c r="D189" s="223"/>
      <c r="F189" s="22"/>
      <c r="G189" s="22"/>
    </row>
    <row r="190" spans="1:7" ht="13.8" outlineLevel="2" thickBot="1">
      <c r="A190" s="221" t="s">
        <v>1115</v>
      </c>
      <c r="B190" s="21" t="s">
        <v>402</v>
      </c>
      <c r="C190" s="222"/>
      <c r="D190" s="223">
        <f>0.05*0.75*(D185+D184)</f>
        <v>7395.0000000000009</v>
      </c>
      <c r="F190" s="22"/>
      <c r="G190" s="22"/>
    </row>
    <row r="191" spans="1:7" ht="13.8" outlineLevel="2" thickBot="1">
      <c r="A191" s="221"/>
      <c r="B191" s="21"/>
      <c r="C191" s="222"/>
      <c r="D191" s="223"/>
      <c r="F191" s="22"/>
      <c r="G191" s="22"/>
    </row>
    <row r="192" spans="1:7" s="341" customFormat="1" ht="13.8" outlineLevel="1" thickBot="1">
      <c r="A192" s="221" t="s">
        <v>306</v>
      </c>
      <c r="B192" s="21"/>
      <c r="C192" s="225" t="s">
        <v>1005</v>
      </c>
      <c r="D192" s="226">
        <f>SUBTOTAL(9,D184:D191)</f>
        <v>204595</v>
      </c>
    </row>
    <row r="193" spans="1:7" s="341" customFormat="1" ht="13.8" outlineLevel="1" thickBot="1">
      <c r="A193" s="351" t="s">
        <v>310</v>
      </c>
      <c r="B193" s="352"/>
      <c r="C193" s="353"/>
      <c r="D193" s="348"/>
    </row>
    <row r="194" spans="1:7" ht="13.8" outlineLevel="2" thickBot="1">
      <c r="A194" s="221" t="s">
        <v>458</v>
      </c>
      <c r="C194" s="222"/>
      <c r="D194" s="223">
        <v>0</v>
      </c>
      <c r="F194" s="22">
        <f>337000/3*(47/104)^0.6</f>
        <v>69750.505167877549</v>
      </c>
      <c r="G194" s="22"/>
    </row>
    <row r="195" spans="1:7" ht="13.8" outlineLevel="2" thickBot="1">
      <c r="A195" s="221" t="s">
        <v>459</v>
      </c>
      <c r="B195" s="22" t="s">
        <v>460</v>
      </c>
      <c r="C195" s="222"/>
      <c r="D195" s="223">
        <v>0</v>
      </c>
      <c r="F195" s="22"/>
      <c r="G195" s="22"/>
    </row>
    <row r="196" spans="1:7" ht="13.8" outlineLevel="2" thickBot="1">
      <c r="A196" s="221" t="s">
        <v>461</v>
      </c>
      <c r="B196" s="21"/>
      <c r="C196" s="222"/>
      <c r="D196" s="223">
        <v>0</v>
      </c>
      <c r="F196" s="22"/>
      <c r="G196" s="22"/>
    </row>
    <row r="197" spans="1:7" ht="13.8" outlineLevel="2" thickBot="1">
      <c r="A197" s="221" t="s">
        <v>462</v>
      </c>
      <c r="B197" s="357"/>
      <c r="C197" s="222"/>
      <c r="D197" s="223">
        <v>0</v>
      </c>
      <c r="F197" s="22"/>
      <c r="G197" s="22"/>
    </row>
    <row r="198" spans="1:7" ht="13.8" outlineLevel="2" thickBot="1">
      <c r="A198" s="221" t="s">
        <v>463</v>
      </c>
      <c r="B198" s="117"/>
      <c r="C198" s="222"/>
      <c r="D198" s="223">
        <v>0</v>
      </c>
      <c r="F198" s="22"/>
      <c r="G198" s="22"/>
    </row>
    <row r="199" spans="1:7" ht="13.8" outlineLevel="2" thickBot="1">
      <c r="A199" s="221" t="s">
        <v>464</v>
      </c>
      <c r="B199" s="21" t="s">
        <v>465</v>
      </c>
      <c r="C199" s="222"/>
      <c r="D199" s="223">
        <v>0</v>
      </c>
      <c r="F199" s="22"/>
      <c r="G199" s="22"/>
    </row>
    <row r="200" spans="1:7" ht="13.8" outlineLevel="2" thickBot="1">
      <c r="A200" s="221" t="s">
        <v>308</v>
      </c>
      <c r="B200" s="21" t="s">
        <v>309</v>
      </c>
      <c r="C200" s="222"/>
      <c r="D200" s="223">
        <f>0.02*1200000*4</f>
        <v>96000</v>
      </c>
      <c r="F200" s="22"/>
      <c r="G200" s="22"/>
    </row>
    <row r="201" spans="1:7" ht="13.8" outlineLevel="2" thickBot="1">
      <c r="A201" s="221" t="s">
        <v>1115</v>
      </c>
      <c r="B201" s="21"/>
      <c r="C201" s="222"/>
      <c r="D201" s="223">
        <f>0.05*0.75*SUM(D194:D199)</f>
        <v>0</v>
      </c>
      <c r="F201" s="22"/>
      <c r="G201" s="22"/>
    </row>
    <row r="202" spans="1:7" ht="13.8" outlineLevel="2" thickBot="1">
      <c r="A202" s="221"/>
      <c r="B202" s="21"/>
      <c r="C202" s="222"/>
      <c r="D202" s="223"/>
      <c r="F202" s="22"/>
      <c r="G202" s="22"/>
    </row>
    <row r="203" spans="1:7" s="341" customFormat="1" ht="13.8" outlineLevel="1" thickBot="1">
      <c r="A203" s="221" t="s">
        <v>466</v>
      </c>
      <c r="B203" s="21"/>
      <c r="C203" s="225" t="s">
        <v>1005</v>
      </c>
      <c r="D203" s="226">
        <f>SUBTOTAL(9,D194:D202)</f>
        <v>96000</v>
      </c>
    </row>
    <row r="204" spans="1:7" s="341" customFormat="1" ht="13.8" outlineLevel="1" thickBot="1">
      <c r="A204" s="351" t="s">
        <v>467</v>
      </c>
      <c r="B204" s="352"/>
      <c r="C204" s="353"/>
      <c r="D204" s="348"/>
    </row>
    <row r="205" spans="1:7" ht="13.8" outlineLevel="2" thickBot="1">
      <c r="A205" s="221" t="s">
        <v>468</v>
      </c>
      <c r="B205" s="21"/>
      <c r="C205" s="222"/>
      <c r="D205" s="223">
        <v>0</v>
      </c>
      <c r="F205" s="22"/>
      <c r="G205" s="22"/>
    </row>
    <row r="206" spans="1:7" ht="13.8" outlineLevel="2" thickBot="1">
      <c r="A206" s="221" t="s">
        <v>435</v>
      </c>
      <c r="B206" s="21"/>
      <c r="C206" s="222"/>
      <c r="D206" s="223"/>
      <c r="F206" s="22"/>
      <c r="G206" s="22"/>
    </row>
    <row r="207" spans="1:7" ht="13.8" outlineLevel="2" thickBot="1">
      <c r="A207" s="221" t="s">
        <v>287</v>
      </c>
      <c r="B207" s="117"/>
      <c r="C207" s="222"/>
      <c r="D207" s="223"/>
      <c r="F207" s="22"/>
      <c r="G207" s="22"/>
    </row>
    <row r="208" spans="1:7" ht="13.8" outlineLevel="2" thickBot="1">
      <c r="A208" s="221" t="s">
        <v>469</v>
      </c>
      <c r="B208" s="21"/>
      <c r="C208" s="222"/>
      <c r="D208" s="223"/>
      <c r="F208" s="22"/>
      <c r="G208" s="22"/>
    </row>
    <row r="209" spans="1:7" ht="13.8" outlineLevel="2" thickBot="1">
      <c r="A209" s="221" t="s">
        <v>430</v>
      </c>
      <c r="B209" s="21"/>
      <c r="C209" s="222"/>
      <c r="D209" s="223"/>
      <c r="F209" s="22"/>
      <c r="G209" s="22"/>
    </row>
    <row r="210" spans="1:7" ht="13.8" outlineLevel="2" thickBot="1">
      <c r="A210" s="221" t="s">
        <v>1094</v>
      </c>
      <c r="B210" s="357" t="s">
        <v>470</v>
      </c>
      <c r="C210" s="222"/>
      <c r="D210" s="223"/>
      <c r="F210" s="22"/>
      <c r="G210" s="22"/>
    </row>
    <row r="211" spans="1:7" ht="13.8" outlineLevel="2" thickBot="1">
      <c r="A211" s="221" t="s">
        <v>471</v>
      </c>
      <c r="B211" s="21"/>
      <c r="C211" s="222"/>
      <c r="D211" s="223"/>
      <c r="F211" s="22"/>
      <c r="G211" s="22"/>
    </row>
    <row r="212" spans="1:7" ht="13.8" outlineLevel="2" thickBot="1">
      <c r="A212" s="221" t="s">
        <v>1115</v>
      </c>
      <c r="B212" s="21"/>
      <c r="C212" s="222"/>
      <c r="D212" s="223">
        <f>0.01*0.75*D205</f>
        <v>0</v>
      </c>
      <c r="F212" s="22"/>
      <c r="G212" s="22"/>
    </row>
    <row r="213" spans="1:7" ht="13.8" outlineLevel="2" thickBot="1">
      <c r="A213" s="221"/>
      <c r="B213" s="21"/>
      <c r="C213" s="222"/>
      <c r="D213" s="223"/>
      <c r="F213" s="22"/>
      <c r="G213" s="22"/>
    </row>
    <row r="214" spans="1:7" s="341" customFormat="1" ht="13.8" outlineLevel="1" thickBot="1">
      <c r="A214" s="221"/>
      <c r="B214" s="21"/>
      <c r="C214" s="225" t="s">
        <v>1005</v>
      </c>
      <c r="D214" s="226">
        <f>SUBTOTAL(9,D205:D213)</f>
        <v>0</v>
      </c>
    </row>
    <row r="215" spans="1:7" s="341" customFormat="1" ht="13.8" outlineLevel="1" thickBot="1">
      <c r="A215" s="351" t="s">
        <v>472</v>
      </c>
      <c r="B215" s="352"/>
      <c r="C215" s="353"/>
      <c r="D215" s="348"/>
    </row>
    <row r="216" spans="1:7" ht="13.8" outlineLevel="2" thickBot="1">
      <c r="A216" s="221" t="s">
        <v>433</v>
      </c>
      <c r="B216" s="21"/>
      <c r="C216" s="222"/>
      <c r="D216" s="223">
        <v>1850</v>
      </c>
      <c r="F216" s="22"/>
      <c r="G216" s="22"/>
    </row>
    <row r="217" spans="1:7" ht="13.8" outlineLevel="2" thickBot="1">
      <c r="A217" s="221" t="s">
        <v>435</v>
      </c>
      <c r="B217" s="21"/>
      <c r="C217" s="222"/>
      <c r="D217" s="223"/>
      <c r="F217" s="22"/>
      <c r="G217" s="22"/>
    </row>
    <row r="218" spans="1:7" ht="13.8" outlineLevel="2" thickBot="1">
      <c r="A218" s="221" t="s">
        <v>287</v>
      </c>
      <c r="B218" s="21"/>
      <c r="C218" s="222"/>
      <c r="D218" s="223"/>
      <c r="F218" s="22"/>
      <c r="G218" s="22"/>
    </row>
    <row r="219" spans="1:7" ht="13.8" outlineLevel="2" thickBot="1">
      <c r="A219" s="221" t="s">
        <v>440</v>
      </c>
      <c r="B219" s="21"/>
      <c r="C219" s="222"/>
      <c r="D219" s="223"/>
      <c r="F219" s="22"/>
      <c r="G219" s="22"/>
    </row>
    <row r="220" spans="1:7" ht="13.8" outlineLevel="2" thickBot="1">
      <c r="A220" s="221" t="s">
        <v>430</v>
      </c>
      <c r="B220" s="357"/>
      <c r="C220" s="222"/>
      <c r="D220" s="223"/>
      <c r="F220" s="22"/>
      <c r="G220" s="22"/>
    </row>
    <row r="221" spans="1:7" ht="13.8" outlineLevel="2" thickBot="1">
      <c r="A221" s="221" t="s">
        <v>1094</v>
      </c>
      <c r="B221" s="21"/>
      <c r="C221" s="222"/>
      <c r="D221" s="223"/>
      <c r="F221" s="22"/>
      <c r="G221" s="22"/>
    </row>
    <row r="222" spans="1:7" ht="13.8" outlineLevel="2" thickBot="1">
      <c r="A222" s="221" t="s">
        <v>1115</v>
      </c>
      <c r="B222" s="21"/>
      <c r="C222" s="222"/>
      <c r="D222" s="223">
        <f>0.05*0.75*D216</f>
        <v>69.375000000000014</v>
      </c>
      <c r="F222" s="22"/>
      <c r="G222" s="22"/>
    </row>
    <row r="223" spans="1:7" ht="13.8" outlineLevel="2" thickBot="1">
      <c r="A223" s="221"/>
      <c r="B223" s="21"/>
      <c r="C223" s="222"/>
      <c r="D223" s="223"/>
      <c r="F223" s="22"/>
      <c r="G223" s="22"/>
    </row>
    <row r="224" spans="1:7" s="341" customFormat="1" ht="13.8" outlineLevel="1" thickBot="1">
      <c r="A224" s="221" t="s">
        <v>466</v>
      </c>
      <c r="B224" s="21"/>
      <c r="C224" s="225" t="s">
        <v>1005</v>
      </c>
      <c r="D224" s="226">
        <f>SUBTOTAL(9,D216:D223)</f>
        <v>1919.375</v>
      </c>
    </row>
    <row r="225" spans="1:7" s="341" customFormat="1" ht="13.8" outlineLevel="1" thickBot="1">
      <c r="A225" s="351" t="s">
        <v>473</v>
      </c>
      <c r="B225" s="352"/>
      <c r="C225" s="353"/>
      <c r="D225" s="348"/>
    </row>
    <row r="226" spans="1:7" ht="13.8" outlineLevel="2" thickBot="1">
      <c r="A226" s="221" t="s">
        <v>433</v>
      </c>
      <c r="B226" s="21"/>
      <c r="C226" s="222"/>
      <c r="D226" s="223">
        <v>2500</v>
      </c>
      <c r="F226" s="22"/>
      <c r="G226" s="22"/>
    </row>
    <row r="227" spans="1:7" ht="13.8" outlineLevel="2" thickBot="1">
      <c r="A227" s="221" t="s">
        <v>435</v>
      </c>
      <c r="B227" s="21"/>
      <c r="C227" s="222"/>
      <c r="D227" s="223">
        <v>0</v>
      </c>
      <c r="F227" s="22"/>
      <c r="G227" s="22"/>
    </row>
    <row r="228" spans="1:7" ht="13.8" outlineLevel="2" thickBot="1">
      <c r="A228" s="221" t="s">
        <v>287</v>
      </c>
      <c r="B228" s="21"/>
      <c r="C228" s="222"/>
      <c r="D228" s="223"/>
      <c r="F228" s="22"/>
      <c r="G228" s="22"/>
    </row>
    <row r="229" spans="1:7" ht="13.8" outlineLevel="2" thickBot="1">
      <c r="A229" s="221" t="s">
        <v>440</v>
      </c>
      <c r="B229" s="21"/>
      <c r="C229" s="222"/>
      <c r="D229" s="223"/>
      <c r="F229" s="22"/>
      <c r="G229" s="22"/>
    </row>
    <row r="230" spans="1:7" ht="13.8" outlineLevel="2" thickBot="1">
      <c r="A230" s="221" t="s">
        <v>430</v>
      </c>
      <c r="B230" s="21"/>
      <c r="C230" s="222"/>
      <c r="D230" s="223"/>
      <c r="F230" s="22"/>
      <c r="G230" s="22"/>
    </row>
    <row r="231" spans="1:7" ht="13.8" outlineLevel="2" thickBot="1">
      <c r="A231" s="221" t="s">
        <v>1094</v>
      </c>
      <c r="B231" s="357"/>
      <c r="C231" s="222"/>
      <c r="D231" s="223"/>
      <c r="F231" s="22"/>
      <c r="G231" s="22"/>
    </row>
    <row r="232" spans="1:7" ht="13.8" outlineLevel="2" thickBot="1">
      <c r="A232" s="221" t="s">
        <v>1115</v>
      </c>
      <c r="B232" s="21"/>
      <c r="C232" s="222"/>
      <c r="D232" s="223">
        <f>0.05*0.75*D226</f>
        <v>93.750000000000014</v>
      </c>
      <c r="F232" s="22"/>
      <c r="G232" s="22"/>
    </row>
    <row r="233" spans="1:7" ht="13.8" outlineLevel="2" thickBot="1">
      <c r="A233" s="221"/>
      <c r="B233" s="21"/>
      <c r="C233" s="222"/>
      <c r="D233" s="223"/>
      <c r="F233" s="22"/>
      <c r="G233" s="22"/>
    </row>
    <row r="234" spans="1:7" s="341" customFormat="1" ht="13.8" outlineLevel="1" thickBot="1">
      <c r="A234" s="221" t="s">
        <v>474</v>
      </c>
      <c r="B234" s="21"/>
      <c r="C234" s="225" t="s">
        <v>1005</v>
      </c>
      <c r="D234" s="226">
        <f>SUBTOTAL(9,D226:D233)</f>
        <v>2593.75</v>
      </c>
    </row>
    <row r="235" spans="1:7" s="341" customFormat="1" ht="13.8" outlineLevel="1" thickBot="1">
      <c r="A235" s="351" t="s">
        <v>475</v>
      </c>
      <c r="B235" s="352"/>
      <c r="C235" s="353"/>
      <c r="D235" s="348"/>
    </row>
    <row r="236" spans="1:7" ht="13.8" outlineLevel="2" thickBot="1">
      <c r="A236" s="221" t="s">
        <v>476</v>
      </c>
      <c r="B236"/>
      <c r="C236" s="222"/>
      <c r="D236" s="223">
        <v>5000</v>
      </c>
      <c r="F236" s="22"/>
      <c r="G236" s="22"/>
    </row>
    <row r="237" spans="1:7" ht="13.8" hidden="1" outlineLevel="2" thickBot="1">
      <c r="A237" s="221" t="s">
        <v>477</v>
      </c>
      <c r="B237" s="21"/>
      <c r="C237" s="222"/>
      <c r="D237" s="223"/>
      <c r="F237" s="22"/>
      <c r="G237" s="22"/>
    </row>
    <row r="238" spans="1:7" ht="13.8" hidden="1" outlineLevel="2" thickBot="1">
      <c r="A238" s="221" t="s">
        <v>478</v>
      </c>
      <c r="B238" s="117"/>
      <c r="C238" s="222"/>
      <c r="D238" s="223"/>
      <c r="F238" s="22"/>
      <c r="G238" s="22"/>
    </row>
    <row r="239" spans="1:7" ht="13.8" hidden="1" outlineLevel="2" thickBot="1">
      <c r="A239" s="221" t="s">
        <v>479</v>
      </c>
      <c r="B239" s="21"/>
      <c r="C239" s="222"/>
      <c r="D239" s="223"/>
      <c r="F239" s="22"/>
      <c r="G239" s="22"/>
    </row>
    <row r="240" spans="1:7" ht="13.8" outlineLevel="2" thickBot="1">
      <c r="A240" s="221" t="s">
        <v>480</v>
      </c>
      <c r="B240" s="21"/>
      <c r="C240" s="222"/>
      <c r="D240" s="223">
        <v>6000</v>
      </c>
      <c r="F240" s="22"/>
      <c r="G240" s="22"/>
    </row>
    <row r="241" spans="1:7" ht="13.8" outlineLevel="2" thickBot="1">
      <c r="A241" s="221" t="s">
        <v>481</v>
      </c>
      <c r="B241" s="21"/>
      <c r="C241" s="222"/>
      <c r="D241" s="223">
        <v>24000</v>
      </c>
      <c r="F241" s="22"/>
      <c r="G241" s="22"/>
    </row>
    <row r="242" spans="1:7" ht="13.8" outlineLevel="2" thickBot="1">
      <c r="A242" s="221" t="s">
        <v>482</v>
      </c>
      <c r="B242" s="21"/>
      <c r="C242" s="222"/>
      <c r="D242" s="223">
        <v>10500</v>
      </c>
      <c r="F242" s="22"/>
      <c r="G242" s="22"/>
    </row>
    <row r="243" spans="1:7" ht="13.8" outlineLevel="2" thickBot="1">
      <c r="A243" s="221" t="s">
        <v>483</v>
      </c>
      <c r="B243" s="21"/>
      <c r="C243" s="222"/>
      <c r="D243" s="223">
        <v>50000</v>
      </c>
      <c r="F243" s="22"/>
      <c r="G243" s="22"/>
    </row>
    <row r="244" spans="1:7" ht="13.8" outlineLevel="2" thickBot="1">
      <c r="A244" s="221" t="s">
        <v>484</v>
      </c>
      <c r="B244" s="21"/>
      <c r="C244" s="222"/>
      <c r="D244" s="223">
        <v>20000</v>
      </c>
      <c r="F244" s="22"/>
      <c r="G244" s="22"/>
    </row>
    <row r="245" spans="1:7" ht="13.8" outlineLevel="2" thickBot="1">
      <c r="A245" s="221" t="s">
        <v>485</v>
      </c>
      <c r="B245" s="21"/>
      <c r="C245" s="222"/>
      <c r="D245" s="223">
        <v>4000</v>
      </c>
      <c r="F245" s="22"/>
      <c r="G245" s="22"/>
    </row>
    <row r="246" spans="1:7" ht="13.8" outlineLevel="2" thickBot="1">
      <c r="A246" s="221" t="s">
        <v>486</v>
      </c>
      <c r="B246" s="21"/>
      <c r="C246" s="222"/>
      <c r="D246" s="223">
        <v>5000</v>
      </c>
      <c r="F246" s="22"/>
      <c r="G246" s="22"/>
    </row>
    <row r="247" spans="1:7" ht="13.8" outlineLevel="2" thickBot="1">
      <c r="A247" s="221" t="s">
        <v>487</v>
      </c>
      <c r="B247" s="21"/>
      <c r="C247" s="222"/>
      <c r="D247" s="223">
        <v>500</v>
      </c>
      <c r="F247" s="22"/>
      <c r="G247" s="22"/>
    </row>
    <row r="248" spans="1:7" ht="13.8" outlineLevel="2" thickBot="1">
      <c r="A248" s="221" t="s">
        <v>488</v>
      </c>
      <c r="B248" s="21"/>
      <c r="C248" s="222"/>
      <c r="D248" s="223"/>
      <c r="F248" s="22"/>
      <c r="G248" s="22"/>
    </row>
    <row r="249" spans="1:7" ht="13.8" outlineLevel="2" thickBot="1">
      <c r="A249" s="221" t="s">
        <v>489</v>
      </c>
      <c r="B249" s="21"/>
      <c r="C249" s="222"/>
      <c r="D249" s="223"/>
      <c r="F249" s="22"/>
      <c r="G249" s="22"/>
    </row>
    <row r="250" spans="1:7" ht="13.8" outlineLevel="2" thickBot="1">
      <c r="A250" s="221" t="s">
        <v>490</v>
      </c>
      <c r="B250" s="21"/>
      <c r="C250" s="222"/>
      <c r="D250" s="223"/>
      <c r="F250" s="22"/>
      <c r="G250" s="22"/>
    </row>
    <row r="251" spans="1:7" ht="13.8" outlineLevel="2" thickBot="1">
      <c r="A251" s="221" t="s">
        <v>1115</v>
      </c>
      <c r="B251" s="21" t="s">
        <v>402</v>
      </c>
      <c r="C251" s="222"/>
      <c r="D251" s="223">
        <f>0.05*0.75*SUM(D236:D247)</f>
        <v>4687.5000000000009</v>
      </c>
      <c r="F251" s="22"/>
      <c r="G251" s="22"/>
    </row>
    <row r="252" spans="1:7" ht="13.8" outlineLevel="2" thickBot="1">
      <c r="A252" s="221"/>
      <c r="B252" s="21"/>
      <c r="C252" s="222"/>
      <c r="D252" s="223"/>
      <c r="F252" s="22"/>
      <c r="G252" s="22"/>
    </row>
    <row r="253" spans="1:7" s="341" customFormat="1" ht="13.8" outlineLevel="1" thickBot="1">
      <c r="A253" s="221" t="s">
        <v>466</v>
      </c>
      <c r="B253" s="21"/>
      <c r="C253" s="225" t="s">
        <v>1005</v>
      </c>
      <c r="D253" s="226">
        <f>SUBTOTAL(9,D236:D252)</f>
        <v>129687.5</v>
      </c>
      <c r="F253" s="358">
        <f>D253+D285+D192+D182+D171+D161+D152+D142</f>
        <v>558895.35748088895</v>
      </c>
    </row>
    <row r="254" spans="1:7" s="341" customFormat="1" ht="13.8" outlineLevel="1" thickBot="1">
      <c r="A254" s="351" t="s">
        <v>491</v>
      </c>
      <c r="B254" s="352"/>
      <c r="C254" s="353"/>
      <c r="D254" s="348"/>
    </row>
    <row r="255" spans="1:7" ht="13.8" outlineLevel="2" thickBot="1">
      <c r="A255" s="221" t="s">
        <v>201</v>
      </c>
      <c r="B255" s="21"/>
      <c r="C255" s="222"/>
      <c r="D255" s="223">
        <v>200000</v>
      </c>
      <c r="F255" s="22"/>
      <c r="G255" s="22"/>
    </row>
    <row r="256" spans="1:7" ht="13.8" outlineLevel="2" thickBot="1">
      <c r="A256" s="221"/>
      <c r="B256" s="21"/>
      <c r="C256" s="222"/>
      <c r="D256" s="223"/>
      <c r="F256" s="22"/>
      <c r="G256" s="22"/>
    </row>
    <row r="257" spans="1:7" ht="13.8" outlineLevel="2" thickBot="1">
      <c r="A257" s="221"/>
      <c r="B257" s="21"/>
      <c r="C257" s="222"/>
      <c r="D257" s="223"/>
      <c r="F257" s="22"/>
      <c r="G257" s="22"/>
    </row>
    <row r="258" spans="1:7" ht="13.8" outlineLevel="2" thickBot="1">
      <c r="A258" s="221"/>
      <c r="B258" s="21"/>
      <c r="C258" s="222"/>
      <c r="D258" s="223"/>
      <c r="F258" s="22"/>
      <c r="G258" s="22"/>
    </row>
    <row r="259" spans="1:7" ht="13.8" outlineLevel="2" thickBot="1">
      <c r="A259" s="221"/>
      <c r="B259" s="21"/>
      <c r="C259" s="222"/>
      <c r="D259" s="223"/>
      <c r="F259" s="22"/>
      <c r="G259" s="22"/>
    </row>
    <row r="260" spans="1:7" ht="13.8" outlineLevel="2" thickBot="1">
      <c r="A260" s="221"/>
      <c r="B260" s="21"/>
      <c r="C260" s="222"/>
      <c r="D260" s="223"/>
      <c r="F260" s="22"/>
      <c r="G260" s="22"/>
    </row>
    <row r="261" spans="1:7" ht="13.8" outlineLevel="2" thickBot="1">
      <c r="A261" s="221"/>
      <c r="B261" s="21"/>
      <c r="C261" s="222"/>
      <c r="D261" s="223"/>
      <c r="F261" s="22"/>
      <c r="G261" s="22"/>
    </row>
    <row r="262" spans="1:7" s="341" customFormat="1" ht="13.8" outlineLevel="1" thickBot="1">
      <c r="A262" s="221"/>
      <c r="B262" s="21"/>
      <c r="C262" s="225" t="s">
        <v>1005</v>
      </c>
      <c r="D262" s="226">
        <f>SUBTOTAL(9,D255:D257)</f>
        <v>200000</v>
      </c>
    </row>
    <row r="263" spans="1:7" s="341" customFormat="1" ht="13.8" outlineLevel="1" thickBot="1">
      <c r="A263" s="359" t="s">
        <v>770</v>
      </c>
      <c r="B263" s="360"/>
      <c r="C263" s="361"/>
      <c r="D263" s="348"/>
    </row>
    <row r="264" spans="1:7" ht="13.8" outlineLevel="2" thickBot="1">
      <c r="A264" s="204" t="s">
        <v>492</v>
      </c>
      <c r="B264" s="41"/>
      <c r="C264" s="246"/>
      <c r="D264" s="247"/>
      <c r="F264" s="22"/>
      <c r="G264" s="22"/>
    </row>
    <row r="265" spans="1:7" ht="13.8" outlineLevel="2" thickBot="1">
      <c r="A265" s="204"/>
      <c r="B265" s="41"/>
      <c r="C265" s="246"/>
      <c r="D265" s="247">
        <f>C265</f>
        <v>0</v>
      </c>
      <c r="F265" s="22"/>
      <c r="G265" s="22"/>
    </row>
    <row r="266" spans="1:7" ht="13.8" outlineLevel="2" thickBot="1">
      <c r="A266" s="204"/>
      <c r="B266" s="41"/>
      <c r="C266" s="246"/>
      <c r="D266" s="247"/>
      <c r="F266" s="22"/>
      <c r="G266" s="22"/>
    </row>
    <row r="267" spans="1:7" ht="13.8" outlineLevel="2" thickBot="1">
      <c r="A267" s="204"/>
      <c r="B267" s="41"/>
      <c r="C267" s="205"/>
      <c r="D267" s="206"/>
      <c r="F267" s="22"/>
      <c r="G267" s="22"/>
    </row>
    <row r="268" spans="1:7" s="341" customFormat="1" ht="13.8" outlineLevel="1" thickBot="1">
      <c r="A268" s="204"/>
      <c r="B268" s="41"/>
      <c r="C268" s="207" t="s">
        <v>1005</v>
      </c>
      <c r="D268" s="248">
        <f>SUBTOTAL(9,D264:D267)</f>
        <v>0</v>
      </c>
    </row>
    <row r="269" spans="1:7" s="341" customFormat="1" ht="13.8" outlineLevel="1" thickBot="1">
      <c r="A269" s="351" t="s">
        <v>494</v>
      </c>
      <c r="B269" s="352"/>
      <c r="C269" s="353"/>
      <c r="D269" s="348"/>
    </row>
    <row r="270" spans="1:7" ht="13.8" outlineLevel="2" thickBot="1">
      <c r="A270" s="221"/>
      <c r="B270" s="21"/>
      <c r="C270" s="222"/>
      <c r="D270" s="223"/>
      <c r="F270" s="22"/>
      <c r="G270" s="22"/>
    </row>
    <row r="271" spans="1:7" ht="13.8" outlineLevel="2" thickBot="1">
      <c r="A271" s="221"/>
      <c r="B271" s="21"/>
      <c r="C271" s="222"/>
      <c r="D271" s="223"/>
      <c r="F271" s="22"/>
      <c r="G271" s="22"/>
    </row>
    <row r="272" spans="1:7" ht="13.8" outlineLevel="2" thickBot="1">
      <c r="A272" s="221"/>
      <c r="B272" s="21"/>
      <c r="C272" s="362"/>
      <c r="D272" s="223"/>
      <c r="F272" s="22"/>
      <c r="G272" s="22"/>
    </row>
    <row r="273" spans="1:7" ht="13.8" outlineLevel="2" thickBot="1">
      <c r="A273" s="357"/>
      <c r="C273" s="222"/>
      <c r="D273" s="223"/>
      <c r="F273" s="22"/>
      <c r="G273" s="22"/>
    </row>
    <row r="274" spans="1:7" ht="13.8" outlineLevel="2" thickBot="1">
      <c r="A274" s="357"/>
      <c r="C274" s="222"/>
      <c r="D274" s="223"/>
      <c r="F274" s="22"/>
      <c r="G274" s="22"/>
    </row>
    <row r="275" spans="1:7" ht="13.8" outlineLevel="2" thickBot="1">
      <c r="A275" s="357"/>
      <c r="C275" s="222"/>
      <c r="D275" s="223"/>
      <c r="F275" s="22"/>
      <c r="G275" s="22"/>
    </row>
    <row r="276" spans="1:7" s="341" customFormat="1" ht="13.8" outlineLevel="1" thickBot="1">
      <c r="A276" s="357"/>
      <c r="C276" s="225" t="s">
        <v>1005</v>
      </c>
      <c r="D276" s="226">
        <f>SUBTOTAL(9,D270:D275)</f>
        <v>0</v>
      </c>
    </row>
    <row r="277" spans="1:7" s="341" customFormat="1" ht="13.8" outlineLevel="1" thickBot="1">
      <c r="A277" s="351" t="s">
        <v>495</v>
      </c>
      <c r="B277" s="352"/>
      <c r="C277" s="353"/>
      <c r="D277" s="348"/>
    </row>
    <row r="278" spans="1:7" ht="13.8" outlineLevel="2" thickBot="1">
      <c r="A278" s="221" t="s">
        <v>496</v>
      </c>
      <c r="B278" s="21"/>
      <c r="C278" s="222"/>
      <c r="D278" s="223">
        <v>0</v>
      </c>
      <c r="F278" s="22"/>
      <c r="G278" s="22"/>
    </row>
    <row r="279" spans="1:7" ht="13.8" outlineLevel="2" thickBot="1">
      <c r="A279" s="221"/>
      <c r="B279" s="357" t="s">
        <v>470</v>
      </c>
      <c r="C279" s="222"/>
      <c r="D279" s="223"/>
      <c r="F279" s="22"/>
      <c r="G279" s="22"/>
    </row>
    <row r="280" spans="1:7" s="341" customFormat="1" ht="13.8" outlineLevel="1" thickBot="1">
      <c r="A280" s="221" t="s">
        <v>281</v>
      </c>
      <c r="B280" s="21"/>
      <c r="C280" s="225" t="s">
        <v>1005</v>
      </c>
      <c r="D280" s="226">
        <f>SUBTOTAL(9,D278:D278)</f>
        <v>0</v>
      </c>
    </row>
    <row r="281" spans="1:7" s="341" customFormat="1" ht="13.8" outlineLevel="1" thickBot="1">
      <c r="A281" s="351" t="s">
        <v>497</v>
      </c>
      <c r="B281" s="352"/>
      <c r="C281" s="353"/>
      <c r="D281" s="348"/>
    </row>
    <row r="282" spans="1:7" ht="13.8" outlineLevel="2" thickBot="1">
      <c r="A282" s="221"/>
      <c r="B282" s="21" t="s">
        <v>498</v>
      </c>
      <c r="C282" s="363"/>
      <c r="D282" s="223">
        <f>0.1*Mob_Estimate!D36</f>
        <v>12639.475</v>
      </c>
      <c r="F282" s="22"/>
      <c r="G282" s="22"/>
    </row>
    <row r="283" spans="1:7" ht="13.8" outlineLevel="2" thickBot="1">
      <c r="A283" s="21"/>
      <c r="B283" s="21"/>
      <c r="C283" s="222"/>
      <c r="D283" s="223"/>
      <c r="F283" s="22"/>
      <c r="G283" s="22"/>
    </row>
    <row r="284" spans="1:7" ht="13.8" outlineLevel="2" thickBot="1">
      <c r="A284" s="221"/>
      <c r="B284" s="21"/>
      <c r="C284" s="222"/>
      <c r="D284" s="223"/>
      <c r="F284" s="22"/>
      <c r="G284" s="22"/>
    </row>
    <row r="285" spans="1:7" s="341" customFormat="1" ht="13.8" outlineLevel="1" thickBot="1">
      <c r="A285" s="21" t="s">
        <v>493</v>
      </c>
      <c r="C285" s="364" t="s">
        <v>1005</v>
      </c>
      <c r="D285" s="226">
        <f>SUBTOTAL(9,D282:D284)</f>
        <v>12639.475</v>
      </c>
    </row>
    <row r="286" spans="1:7" ht="13.8" thickBot="1">
      <c r="A286" s="351" t="s">
        <v>499</v>
      </c>
      <c r="B286" s="352"/>
      <c r="C286" s="353"/>
      <c r="D286" s="348"/>
      <c r="F286" s="22"/>
      <c r="G286" s="22"/>
    </row>
    <row r="287" spans="1:7" ht="13.8" thickBot="1">
      <c r="A287" s="221" t="s">
        <v>500</v>
      </c>
      <c r="B287" s="21"/>
      <c r="C287" s="222"/>
      <c r="D287" s="223"/>
      <c r="F287" s="22"/>
      <c r="G287" s="22"/>
    </row>
    <row r="288" spans="1:7" ht="13.8" thickBot="1">
      <c r="A288" s="221" t="s">
        <v>501</v>
      </c>
      <c r="B288" s="21"/>
      <c r="C288" s="222"/>
      <c r="D288" s="223">
        <f>1*1.3*30000/15</f>
        <v>2600</v>
      </c>
      <c r="F288" s="22"/>
      <c r="G288" s="22"/>
    </row>
    <row r="289" spans="1:4" ht="13.8" thickBot="1">
      <c r="A289" s="221" t="s">
        <v>502</v>
      </c>
      <c r="B289" s="21"/>
      <c r="C289" s="222"/>
      <c r="D289" s="223"/>
    </row>
    <row r="290" spans="1:4" ht="13.8" thickBot="1">
      <c r="A290" s="221" t="s">
        <v>503</v>
      </c>
      <c r="B290" s="21"/>
      <c r="C290" s="222"/>
      <c r="D290" s="223">
        <v>0</v>
      </c>
    </row>
    <row r="291" spans="1:4" ht="13.8" thickBot="1">
      <c r="A291" s="221" t="s">
        <v>504</v>
      </c>
      <c r="B291" s="21"/>
      <c r="C291" s="222"/>
      <c r="D291" s="223"/>
    </row>
    <row r="292" spans="1:4" ht="13.8" thickBot="1">
      <c r="A292" s="221" t="s">
        <v>505</v>
      </c>
      <c r="B292" s="21"/>
      <c r="C292" s="222"/>
      <c r="D292" s="223">
        <f>1*2*1.5*1*180</f>
        <v>540</v>
      </c>
    </row>
    <row r="293" spans="1:4" ht="13.8" thickBot="1">
      <c r="A293" s="221" t="s">
        <v>506</v>
      </c>
      <c r="B293" s="21"/>
      <c r="C293" s="222"/>
      <c r="D293" s="223"/>
    </row>
    <row r="294" spans="1:4" ht="13.8" thickBot="1">
      <c r="A294" s="221" t="s">
        <v>507</v>
      </c>
      <c r="B294" s="21"/>
      <c r="C294" s="222"/>
      <c r="D294" s="223">
        <v>0</v>
      </c>
    </row>
    <row r="295" spans="1:4" ht="13.8" thickBot="1">
      <c r="A295" s="221" t="s">
        <v>508</v>
      </c>
      <c r="B295" s="21"/>
      <c r="C295" s="222"/>
      <c r="D295" s="223"/>
    </row>
    <row r="296" spans="1:4" ht="13.8" thickBot="1">
      <c r="A296" s="221" t="s">
        <v>509</v>
      </c>
      <c r="B296" s="21"/>
      <c r="C296" s="222"/>
      <c r="D296" s="223">
        <v>0</v>
      </c>
    </row>
    <row r="297" spans="1:4" ht="13.8" thickBot="1">
      <c r="A297" s="221"/>
      <c r="B297" s="21"/>
      <c r="C297" s="363"/>
      <c r="D297" s="223"/>
    </row>
    <row r="298" spans="1:4" ht="13.8" thickBot="1">
      <c r="A298" s="365" t="s">
        <v>510</v>
      </c>
      <c r="B298" s="21"/>
      <c r="C298" s="222"/>
      <c r="D298" s="223"/>
    </row>
    <row r="299" spans="1:4" ht="13.8" thickBot="1">
      <c r="A299" s="366" t="s">
        <v>511</v>
      </c>
      <c r="B299" s="367"/>
      <c r="C299" s="364" t="s">
        <v>1005</v>
      </c>
      <c r="D299" s="226">
        <f>SUM(D288:D297)</f>
        <v>3140</v>
      </c>
    </row>
    <row r="300" spans="1:4" ht="13.8" thickBot="1">
      <c r="A300" s="351"/>
      <c r="B300" s="352"/>
      <c r="C300" s="353"/>
      <c r="D300" s="348"/>
    </row>
    <row r="301" spans="1:4">
      <c r="D301" s="368"/>
    </row>
    <row r="302" spans="1:4">
      <c r="D302" s="23"/>
    </row>
    <row r="303" spans="1:4">
      <c r="A303" s="22" t="s">
        <v>846</v>
      </c>
    </row>
    <row r="304" spans="1:4">
      <c r="A304" s="22" t="s">
        <v>512</v>
      </c>
    </row>
    <row r="699" spans="2:2">
      <c r="B699" s="22" t="s">
        <v>513</v>
      </c>
    </row>
    <row r="875" spans="1:4">
      <c r="A875" s="369"/>
    </row>
    <row r="876" spans="1:4">
      <c r="B876" s="369"/>
      <c r="C876" s="369"/>
      <c r="D876" s="369"/>
    </row>
  </sheetData>
  <dataConsolidate/>
  <printOptions horizontalCentered="1"/>
  <pageMargins left="0.75" right="0.75" top="1" bottom="1" header="0.5" footer="0.5"/>
  <pageSetup scale="75" firstPageNumber="26" fitToHeight="5" orientation="portrait" horizontalDpi="4294967292" verticalDpi="4294967292" r:id="rId1"/>
  <headerFooter alignWithMargins="0">
    <oddHeader>&amp;CENRON PROPRIETARY 
AND  CONFIDENTIAL INFORMATION</oddHeader>
    <oddFooter>&amp;LScot Chambers
&amp;D&amp;CPage _____&amp;R&amp;F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zoomScale="75" workbookViewId="0">
      <selection activeCell="E31" sqref="E31"/>
    </sheetView>
  </sheetViews>
  <sheetFormatPr defaultRowHeight="13.2"/>
  <cols>
    <col min="1" max="1" width="32.88671875" customWidth="1"/>
    <col min="2" max="2" width="11.109375" customWidth="1"/>
    <col min="3" max="3" width="12.33203125" customWidth="1"/>
    <col min="4" max="4" width="14" customWidth="1"/>
    <col min="5" max="6" width="11.109375" customWidth="1"/>
    <col min="7" max="7" width="13.6640625" customWidth="1"/>
    <col min="8" max="8" width="15.33203125" customWidth="1"/>
    <col min="9" max="9" width="11.109375" customWidth="1"/>
    <col min="10" max="10" width="11.6640625" customWidth="1"/>
    <col min="11" max="11" width="20.44140625" customWidth="1"/>
    <col min="12" max="12" width="11.109375" customWidth="1"/>
    <col min="13" max="13" width="13.6640625" customWidth="1"/>
    <col min="14" max="22" width="11.109375" customWidth="1"/>
    <col min="23" max="23" width="12.109375" bestFit="1" customWidth="1"/>
    <col min="24" max="24" width="10.109375" customWidth="1"/>
  </cols>
  <sheetData>
    <row r="1" spans="1:23" ht="21">
      <c r="A1" s="471" t="str">
        <f>'Table of Contents'!A1</f>
        <v>City of Austin 4 x LM6000 Power Project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</row>
    <row r="2" spans="1:23" ht="21">
      <c r="A2" s="471" t="s">
        <v>514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</row>
    <row r="3" spans="1:23" ht="21">
      <c r="A3" s="370"/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</row>
    <row r="4" spans="1:23" ht="18" thickBot="1">
      <c r="A4" s="473"/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371"/>
      <c r="O4" s="371"/>
      <c r="P4" s="371"/>
      <c r="Q4" s="371"/>
      <c r="R4" s="371"/>
      <c r="S4" s="371"/>
      <c r="T4" s="371"/>
      <c r="U4" s="371"/>
      <c r="V4" s="371"/>
      <c r="W4" s="371"/>
    </row>
    <row r="5" spans="1:23" ht="18" thickBot="1">
      <c r="A5" s="372" t="s">
        <v>515</v>
      </c>
      <c r="B5" s="373"/>
      <c r="C5" s="373"/>
      <c r="D5" s="373"/>
      <c r="E5" s="373"/>
      <c r="F5" s="474" t="s">
        <v>516</v>
      </c>
      <c r="G5" s="474"/>
      <c r="H5" s="374">
        <v>20</v>
      </c>
      <c r="I5" s="375" t="s">
        <v>517</v>
      </c>
      <c r="J5" s="373"/>
      <c r="K5" s="376"/>
    </row>
    <row r="6" spans="1:23" ht="18">
      <c r="A6" s="377" t="s">
        <v>518</v>
      </c>
      <c r="B6" s="117"/>
      <c r="C6" s="117"/>
      <c r="D6" s="117"/>
      <c r="E6" s="117"/>
      <c r="F6" s="117"/>
      <c r="G6" s="117"/>
      <c r="H6" s="378">
        <f>W29</f>
        <v>5652000</v>
      </c>
      <c r="I6" s="379" t="s">
        <v>519</v>
      </c>
      <c r="J6" s="117"/>
      <c r="K6" s="380"/>
    </row>
    <row r="7" spans="1:23" ht="18.600000000000001" thickBot="1">
      <c r="A7" s="381"/>
      <c r="B7" s="117"/>
      <c r="C7" s="117"/>
      <c r="D7" s="117"/>
      <c r="E7" s="117"/>
      <c r="F7" s="117"/>
      <c r="G7" s="117"/>
      <c r="H7" s="378">
        <f>H6/$D$8</f>
        <v>1413000</v>
      </c>
      <c r="I7" s="379" t="s">
        <v>520</v>
      </c>
      <c r="J7" s="117"/>
      <c r="K7" s="380"/>
    </row>
    <row r="8" spans="1:23" ht="18.600000000000001" thickBot="1">
      <c r="A8" s="377" t="s">
        <v>521</v>
      </c>
      <c r="B8" s="382"/>
      <c r="C8" s="382"/>
      <c r="D8" s="374">
        <v>4</v>
      </c>
      <c r="E8" s="117"/>
      <c r="F8" s="117"/>
      <c r="G8" s="117"/>
      <c r="H8" s="383">
        <f>H7/H5</f>
        <v>70650</v>
      </c>
      <c r="I8" s="379" t="s">
        <v>627</v>
      </c>
      <c r="J8" s="117"/>
      <c r="K8" s="380"/>
    </row>
    <row r="9" spans="1:23" ht="18.600000000000001" thickBot="1">
      <c r="A9" s="381"/>
      <c r="B9" s="117"/>
      <c r="C9" s="117"/>
      <c r="D9" s="117"/>
      <c r="E9" s="117"/>
      <c r="F9" s="117"/>
      <c r="G9" s="117"/>
      <c r="H9" s="384">
        <f>H8/C20</f>
        <v>54.346153846153847</v>
      </c>
      <c r="I9" s="379" t="s">
        <v>628</v>
      </c>
      <c r="J9" s="117"/>
      <c r="K9" s="380"/>
    </row>
    <row r="10" spans="1:23" ht="13.8" thickBot="1">
      <c r="A10" s="385"/>
      <c r="B10" s="386"/>
      <c r="C10" s="386"/>
      <c r="D10" s="386"/>
      <c r="E10" s="386"/>
      <c r="F10" s="386"/>
      <c r="G10" s="386"/>
      <c r="H10" s="386"/>
      <c r="I10" s="386"/>
      <c r="J10" s="386"/>
      <c r="K10" s="387"/>
    </row>
    <row r="11" spans="1:23" ht="15.6">
      <c r="A11" s="388"/>
      <c r="B11" s="389"/>
      <c r="C11" s="389"/>
      <c r="D11" s="390" t="s">
        <v>524</v>
      </c>
      <c r="E11" s="389"/>
      <c r="F11" s="389"/>
      <c r="G11" s="389"/>
      <c r="H11" s="389"/>
      <c r="I11" s="389"/>
      <c r="J11" s="389"/>
      <c r="K11" s="389"/>
      <c r="L11" s="373"/>
      <c r="M11" s="391"/>
      <c r="N11" s="391"/>
      <c r="O11" s="391"/>
      <c r="P11" s="391"/>
      <c r="Q11" s="391"/>
      <c r="R11" s="391"/>
      <c r="S11" s="391"/>
      <c r="T11" s="391"/>
      <c r="U11" s="391"/>
      <c r="V11" s="373"/>
      <c r="W11" s="376"/>
    </row>
    <row r="12" spans="1:23">
      <c r="A12" s="392" t="s">
        <v>525</v>
      </c>
      <c r="B12" s="393"/>
      <c r="C12" s="394"/>
      <c r="D12" s="395">
        <v>0</v>
      </c>
      <c r="E12" s="396" t="s">
        <v>526</v>
      </c>
      <c r="F12" s="389"/>
      <c r="G12" s="389"/>
      <c r="H12" s="397" t="s">
        <v>527</v>
      </c>
      <c r="I12" s="397"/>
      <c r="J12" s="389"/>
      <c r="K12" s="389"/>
      <c r="L12" s="117"/>
      <c r="M12" s="389"/>
      <c r="N12" s="389"/>
      <c r="O12" s="389"/>
      <c r="P12" s="389"/>
      <c r="Q12" s="389"/>
      <c r="R12" s="389"/>
      <c r="S12" s="389"/>
      <c r="T12" s="389"/>
      <c r="U12" s="389"/>
      <c r="V12" s="117"/>
      <c r="W12" s="380"/>
    </row>
    <row r="13" spans="1:23">
      <c r="A13" s="392" t="s">
        <v>528</v>
      </c>
      <c r="B13" s="393"/>
      <c r="C13" s="394"/>
      <c r="D13" s="395">
        <f>3.5*23900</f>
        <v>83650</v>
      </c>
      <c r="E13" s="398" t="s">
        <v>529</v>
      </c>
      <c r="F13" s="389"/>
      <c r="G13" s="389"/>
      <c r="H13" s="397" t="s">
        <v>630</v>
      </c>
      <c r="I13" s="117"/>
      <c r="J13" s="389"/>
      <c r="K13" s="389"/>
      <c r="L13" s="117"/>
      <c r="M13" s="389"/>
      <c r="N13" s="389"/>
      <c r="O13" s="389"/>
      <c r="P13" s="389"/>
      <c r="Q13" s="389"/>
      <c r="R13" s="389"/>
      <c r="S13" s="389"/>
      <c r="T13" s="389"/>
      <c r="U13" s="389"/>
      <c r="V13" s="117"/>
      <c r="W13" s="380"/>
    </row>
    <row r="14" spans="1:23">
      <c r="A14" s="392" t="s">
        <v>530</v>
      </c>
      <c r="B14" s="393"/>
      <c r="C14" s="394"/>
      <c r="D14" s="395">
        <v>0</v>
      </c>
      <c r="E14" s="398" t="s">
        <v>531</v>
      </c>
      <c r="F14" s="389"/>
      <c r="G14" s="389"/>
      <c r="H14" s="397" t="s">
        <v>622</v>
      </c>
      <c r="I14" s="397"/>
      <c r="J14" s="389"/>
      <c r="K14" s="389"/>
      <c r="L14" s="117"/>
      <c r="M14" s="389"/>
      <c r="N14" s="389"/>
      <c r="O14" s="389"/>
      <c r="P14" s="389"/>
      <c r="Q14" s="389"/>
      <c r="R14" s="389"/>
      <c r="S14" s="389"/>
      <c r="T14" s="389"/>
      <c r="U14" s="389"/>
      <c r="V14" s="117"/>
      <c r="W14" s="380"/>
    </row>
    <row r="15" spans="1:23">
      <c r="A15" s="392" t="s">
        <v>533</v>
      </c>
      <c r="B15" s="393"/>
      <c r="C15" s="394"/>
      <c r="D15" s="395">
        <v>1403000</v>
      </c>
      <c r="E15" s="398" t="s">
        <v>534</v>
      </c>
      <c r="G15" s="389"/>
      <c r="H15" s="397" t="s">
        <v>625</v>
      </c>
      <c r="I15" s="117"/>
      <c r="J15" s="389"/>
      <c r="K15" s="389"/>
      <c r="L15" s="117"/>
      <c r="M15" s="389"/>
      <c r="N15" s="389"/>
      <c r="O15" s="389"/>
      <c r="P15" s="389"/>
      <c r="Q15" s="389"/>
      <c r="R15" s="389"/>
      <c r="S15" s="389"/>
      <c r="T15" s="389"/>
      <c r="U15" s="389"/>
      <c r="V15" s="117"/>
      <c r="W15" s="380"/>
    </row>
    <row r="16" spans="1:23">
      <c r="A16" s="392" t="s">
        <v>624</v>
      </c>
      <c r="B16" s="393"/>
      <c r="C16" s="394"/>
      <c r="D16" s="395">
        <v>3000000</v>
      </c>
      <c r="E16" s="398" t="s">
        <v>534</v>
      </c>
      <c r="F16" s="389"/>
      <c r="G16" s="389"/>
      <c r="H16" s="397" t="s">
        <v>626</v>
      </c>
      <c r="I16" s="117"/>
      <c r="J16" s="389"/>
      <c r="K16" s="389"/>
      <c r="L16" s="117"/>
      <c r="M16" s="389"/>
      <c r="N16" s="389"/>
      <c r="O16" s="389"/>
      <c r="P16" s="389"/>
      <c r="Q16" s="389"/>
      <c r="R16" s="389"/>
      <c r="S16" s="389"/>
      <c r="T16" s="389"/>
      <c r="U16" s="389"/>
      <c r="V16" s="117"/>
      <c r="W16" s="380"/>
    </row>
    <row r="17" spans="1:23">
      <c r="A17" s="392" t="s">
        <v>538</v>
      </c>
      <c r="B17" s="393"/>
      <c r="C17" s="394"/>
      <c r="D17" s="399">
        <v>10000</v>
      </c>
      <c r="E17" s="400"/>
      <c r="F17" s="389"/>
      <c r="G17" s="389"/>
      <c r="H17" s="397" t="s">
        <v>623</v>
      </c>
      <c r="I17" s="389"/>
      <c r="J17" s="389"/>
      <c r="K17" s="389"/>
      <c r="L17" s="117"/>
      <c r="M17" s="389"/>
      <c r="N17" s="389"/>
      <c r="O17" s="389"/>
      <c r="P17" s="389"/>
      <c r="Q17" s="389"/>
      <c r="R17" s="389"/>
      <c r="S17" s="389"/>
      <c r="T17" s="389"/>
      <c r="U17" s="389"/>
      <c r="V17" s="117"/>
      <c r="W17" s="380"/>
    </row>
    <row r="18" spans="1:23">
      <c r="A18" s="392" t="s">
        <v>540</v>
      </c>
      <c r="B18" s="393"/>
      <c r="C18" s="394"/>
      <c r="D18" s="399">
        <v>25000</v>
      </c>
      <c r="E18" s="400"/>
      <c r="F18" s="389"/>
      <c r="G18" s="389"/>
      <c r="H18" s="397" t="s">
        <v>623</v>
      </c>
      <c r="I18" s="389"/>
      <c r="J18" s="389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380"/>
    </row>
    <row r="19" spans="1:23">
      <c r="A19" s="381"/>
      <c r="B19" s="389"/>
      <c r="C19" s="389"/>
      <c r="D19" s="389"/>
      <c r="E19" s="389"/>
      <c r="F19" s="389"/>
      <c r="G19" s="389"/>
      <c r="H19" s="389"/>
      <c r="I19" s="389"/>
      <c r="J19" s="389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380"/>
    </row>
    <row r="20" spans="1:23">
      <c r="A20" s="401" t="s">
        <v>541</v>
      </c>
      <c r="B20" s="402"/>
      <c r="C20" s="403">
        <v>1300</v>
      </c>
      <c r="D20" s="404" t="s">
        <v>542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380"/>
    </row>
    <row r="21" spans="1:23">
      <c r="A21" s="381" t="s">
        <v>543</v>
      </c>
      <c r="B21" s="179">
        <v>0</v>
      </c>
      <c r="C21" s="179">
        <v>1</v>
      </c>
      <c r="D21" s="179">
        <v>2</v>
      </c>
      <c r="E21" s="179">
        <v>3</v>
      </c>
      <c r="F21" s="179">
        <v>4</v>
      </c>
      <c r="G21" s="179">
        <v>5</v>
      </c>
      <c r="H21" s="179">
        <v>6</v>
      </c>
      <c r="I21" s="179">
        <v>7</v>
      </c>
      <c r="J21" s="179">
        <v>8</v>
      </c>
      <c r="K21" s="179">
        <v>9</v>
      </c>
      <c r="L21" s="179">
        <v>10</v>
      </c>
      <c r="M21" s="179">
        <v>11</v>
      </c>
      <c r="N21" s="179">
        <v>12</v>
      </c>
      <c r="O21" s="179">
        <v>13</v>
      </c>
      <c r="P21" s="179">
        <v>14</v>
      </c>
      <c r="Q21" s="179">
        <v>15</v>
      </c>
      <c r="R21" s="179">
        <v>16</v>
      </c>
      <c r="S21" s="179">
        <v>17</v>
      </c>
      <c r="T21" s="179">
        <v>18</v>
      </c>
      <c r="U21" s="179">
        <v>19</v>
      </c>
      <c r="V21" s="179">
        <v>20</v>
      </c>
      <c r="W21" s="380"/>
    </row>
    <row r="22" spans="1:23">
      <c r="A22" s="381" t="s">
        <v>544</v>
      </c>
      <c r="B22" s="405"/>
      <c r="C22" s="405">
        <f>$C20</f>
        <v>1300</v>
      </c>
      <c r="D22" s="405">
        <f t="shared" ref="D22:V22" si="0">C22+$C20</f>
        <v>2600</v>
      </c>
      <c r="E22" s="405">
        <f t="shared" si="0"/>
        <v>3900</v>
      </c>
      <c r="F22" s="405">
        <f t="shared" si="0"/>
        <v>5200</v>
      </c>
      <c r="G22" s="405">
        <f t="shared" si="0"/>
        <v>6500</v>
      </c>
      <c r="H22" s="405">
        <f t="shared" si="0"/>
        <v>7800</v>
      </c>
      <c r="I22" s="405">
        <f t="shared" si="0"/>
        <v>9100</v>
      </c>
      <c r="J22" s="405">
        <f t="shared" si="0"/>
        <v>10400</v>
      </c>
      <c r="K22" s="405">
        <f t="shared" si="0"/>
        <v>11700</v>
      </c>
      <c r="L22" s="405">
        <f t="shared" si="0"/>
        <v>13000</v>
      </c>
      <c r="M22" s="405">
        <f t="shared" si="0"/>
        <v>14300</v>
      </c>
      <c r="N22" s="405">
        <f t="shared" si="0"/>
        <v>15600</v>
      </c>
      <c r="O22" s="405">
        <f t="shared" si="0"/>
        <v>16900</v>
      </c>
      <c r="P22" s="405">
        <f t="shared" si="0"/>
        <v>18200</v>
      </c>
      <c r="Q22" s="405">
        <f t="shared" si="0"/>
        <v>19500</v>
      </c>
      <c r="R22" s="405">
        <f t="shared" si="0"/>
        <v>20800</v>
      </c>
      <c r="S22" s="405">
        <f t="shared" si="0"/>
        <v>22100</v>
      </c>
      <c r="T22" s="405">
        <f t="shared" si="0"/>
        <v>23400</v>
      </c>
      <c r="U22" s="405">
        <f t="shared" si="0"/>
        <v>24700</v>
      </c>
      <c r="V22" s="405">
        <f t="shared" si="0"/>
        <v>26000</v>
      </c>
      <c r="W22" s="380"/>
    </row>
    <row r="23" spans="1:23">
      <c r="A23" s="381" t="s">
        <v>545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 t="s">
        <v>546</v>
      </c>
      <c r="V23" s="179"/>
      <c r="W23" s="380"/>
    </row>
    <row r="24" spans="1:23">
      <c r="A24" s="381" t="s">
        <v>547</v>
      </c>
      <c r="B24" s="406">
        <f t="shared" ref="B24:V24" si="1">IF(B23="H",$D$8*$D15,IF(B23="M",$D$8*$D16,0))</f>
        <v>0</v>
      </c>
      <c r="C24" s="406">
        <f t="shared" si="1"/>
        <v>0</v>
      </c>
      <c r="D24" s="406">
        <f t="shared" si="1"/>
        <v>0</v>
      </c>
      <c r="E24" s="406">
        <f t="shared" si="1"/>
        <v>0</v>
      </c>
      <c r="F24" s="406">
        <f t="shared" si="1"/>
        <v>0</v>
      </c>
      <c r="G24" s="406">
        <f t="shared" si="1"/>
        <v>0</v>
      </c>
      <c r="H24" s="406">
        <f t="shared" si="1"/>
        <v>0</v>
      </c>
      <c r="I24" s="406">
        <f t="shared" si="1"/>
        <v>0</v>
      </c>
      <c r="J24" s="406">
        <f t="shared" si="1"/>
        <v>0</v>
      </c>
      <c r="K24" s="406">
        <f t="shared" si="1"/>
        <v>0</v>
      </c>
      <c r="L24" s="406">
        <f t="shared" si="1"/>
        <v>0</v>
      </c>
      <c r="M24" s="406">
        <f t="shared" si="1"/>
        <v>0</v>
      </c>
      <c r="N24" s="406">
        <f t="shared" si="1"/>
        <v>0</v>
      </c>
      <c r="O24" s="406">
        <f t="shared" si="1"/>
        <v>0</v>
      </c>
      <c r="P24" s="406">
        <f t="shared" si="1"/>
        <v>0</v>
      </c>
      <c r="Q24" s="406">
        <f t="shared" si="1"/>
        <v>0</v>
      </c>
      <c r="R24" s="406">
        <f t="shared" si="1"/>
        <v>0</v>
      </c>
      <c r="S24" s="406">
        <f t="shared" si="1"/>
        <v>0</v>
      </c>
      <c r="T24" s="406">
        <f t="shared" si="1"/>
        <v>0</v>
      </c>
      <c r="U24" s="406">
        <f t="shared" si="1"/>
        <v>5612000</v>
      </c>
      <c r="V24" s="406">
        <f t="shared" si="1"/>
        <v>0</v>
      </c>
      <c r="W24" s="380"/>
    </row>
    <row r="25" spans="1:23">
      <c r="A25" s="381" t="s">
        <v>548</v>
      </c>
      <c r="B25" s="406"/>
      <c r="C25" s="406">
        <f t="shared" ref="C25:V25" si="2">$D$14*$D$8</f>
        <v>0</v>
      </c>
      <c r="D25" s="406">
        <f t="shared" si="2"/>
        <v>0</v>
      </c>
      <c r="E25" s="406">
        <f t="shared" si="2"/>
        <v>0</v>
      </c>
      <c r="F25" s="406">
        <f t="shared" si="2"/>
        <v>0</v>
      </c>
      <c r="G25" s="406">
        <f t="shared" si="2"/>
        <v>0</v>
      </c>
      <c r="H25" s="406">
        <f t="shared" si="2"/>
        <v>0</v>
      </c>
      <c r="I25" s="406">
        <f t="shared" si="2"/>
        <v>0</v>
      </c>
      <c r="J25" s="406">
        <f t="shared" si="2"/>
        <v>0</v>
      </c>
      <c r="K25" s="406">
        <f t="shared" si="2"/>
        <v>0</v>
      </c>
      <c r="L25" s="406">
        <f t="shared" si="2"/>
        <v>0</v>
      </c>
      <c r="M25" s="406">
        <f t="shared" si="2"/>
        <v>0</v>
      </c>
      <c r="N25" s="406">
        <f t="shared" si="2"/>
        <v>0</v>
      </c>
      <c r="O25" s="406">
        <f t="shared" si="2"/>
        <v>0</v>
      </c>
      <c r="P25" s="406">
        <f t="shared" si="2"/>
        <v>0</v>
      </c>
      <c r="Q25" s="406">
        <f t="shared" si="2"/>
        <v>0</v>
      </c>
      <c r="R25" s="406">
        <f t="shared" si="2"/>
        <v>0</v>
      </c>
      <c r="S25" s="406">
        <f t="shared" si="2"/>
        <v>0</v>
      </c>
      <c r="T25" s="406">
        <f t="shared" si="2"/>
        <v>0</v>
      </c>
      <c r="U25" s="406">
        <f t="shared" si="2"/>
        <v>0</v>
      </c>
      <c r="V25" s="406">
        <f t="shared" si="2"/>
        <v>0</v>
      </c>
      <c r="W25" s="380"/>
    </row>
    <row r="26" spans="1:23">
      <c r="A26" s="381" t="s">
        <v>549</v>
      </c>
      <c r="B26" s="406">
        <f t="shared" ref="B26:V26" si="3">IF(B23="H",$D17*$D$8,IF(B23="M",$D18*$D$8,0))</f>
        <v>0</v>
      </c>
      <c r="C26" s="406">
        <f t="shared" si="3"/>
        <v>0</v>
      </c>
      <c r="D26" s="406">
        <f t="shared" si="3"/>
        <v>0</v>
      </c>
      <c r="E26" s="406">
        <f t="shared" si="3"/>
        <v>0</v>
      </c>
      <c r="F26" s="406">
        <f t="shared" si="3"/>
        <v>0</v>
      </c>
      <c r="G26" s="406">
        <f t="shared" si="3"/>
        <v>0</v>
      </c>
      <c r="H26" s="406">
        <f t="shared" si="3"/>
        <v>0</v>
      </c>
      <c r="I26" s="406">
        <f t="shared" si="3"/>
        <v>0</v>
      </c>
      <c r="J26" s="406">
        <f t="shared" si="3"/>
        <v>0</v>
      </c>
      <c r="K26" s="406">
        <f t="shared" si="3"/>
        <v>0</v>
      </c>
      <c r="L26" s="406">
        <f t="shared" si="3"/>
        <v>0</v>
      </c>
      <c r="M26" s="406">
        <f t="shared" si="3"/>
        <v>0</v>
      </c>
      <c r="N26" s="406">
        <f t="shared" si="3"/>
        <v>0</v>
      </c>
      <c r="O26" s="406">
        <f t="shared" si="3"/>
        <v>0</v>
      </c>
      <c r="P26" s="406">
        <f t="shared" si="3"/>
        <v>0</v>
      </c>
      <c r="Q26" s="406">
        <f t="shared" si="3"/>
        <v>0</v>
      </c>
      <c r="R26" s="406">
        <f t="shared" si="3"/>
        <v>0</v>
      </c>
      <c r="S26" s="406">
        <f t="shared" si="3"/>
        <v>0</v>
      </c>
      <c r="T26" s="406">
        <f t="shared" si="3"/>
        <v>0</v>
      </c>
      <c r="U26" s="406">
        <f t="shared" si="3"/>
        <v>40000</v>
      </c>
      <c r="V26" s="406">
        <f t="shared" si="3"/>
        <v>0</v>
      </c>
      <c r="W26" s="380"/>
    </row>
    <row r="27" spans="1:23">
      <c r="A27" s="381" t="s">
        <v>550</v>
      </c>
      <c r="B27" s="179"/>
      <c r="C27" s="406">
        <f t="shared" ref="C27:V27" si="4">$D12*$D$8</f>
        <v>0</v>
      </c>
      <c r="D27" s="406">
        <f t="shared" si="4"/>
        <v>0</v>
      </c>
      <c r="E27" s="406">
        <f t="shared" si="4"/>
        <v>0</v>
      </c>
      <c r="F27" s="406">
        <f t="shared" si="4"/>
        <v>0</v>
      </c>
      <c r="G27" s="406">
        <f t="shared" si="4"/>
        <v>0</v>
      </c>
      <c r="H27" s="406">
        <f t="shared" si="4"/>
        <v>0</v>
      </c>
      <c r="I27" s="406">
        <f t="shared" si="4"/>
        <v>0</v>
      </c>
      <c r="J27" s="406">
        <f t="shared" si="4"/>
        <v>0</v>
      </c>
      <c r="K27" s="406">
        <f t="shared" si="4"/>
        <v>0</v>
      </c>
      <c r="L27" s="406">
        <f t="shared" si="4"/>
        <v>0</v>
      </c>
      <c r="M27" s="406">
        <f t="shared" si="4"/>
        <v>0</v>
      </c>
      <c r="N27" s="406">
        <f t="shared" si="4"/>
        <v>0</v>
      </c>
      <c r="O27" s="406">
        <f t="shared" si="4"/>
        <v>0</v>
      </c>
      <c r="P27" s="406">
        <f t="shared" si="4"/>
        <v>0</v>
      </c>
      <c r="Q27" s="406">
        <f t="shared" si="4"/>
        <v>0</v>
      </c>
      <c r="R27" s="406">
        <f t="shared" si="4"/>
        <v>0</v>
      </c>
      <c r="S27" s="406">
        <f t="shared" si="4"/>
        <v>0</v>
      </c>
      <c r="T27" s="406">
        <f t="shared" si="4"/>
        <v>0</v>
      </c>
      <c r="U27" s="406">
        <f t="shared" si="4"/>
        <v>0</v>
      </c>
      <c r="V27" s="406">
        <f t="shared" si="4"/>
        <v>0</v>
      </c>
      <c r="W27" s="380"/>
    </row>
    <row r="28" spans="1:23" ht="13.8" thickBot="1">
      <c r="A28" s="381" t="s">
        <v>551</v>
      </c>
      <c r="B28" s="406">
        <f>IF(B23="M",$D$8*($D13*16),0)</f>
        <v>0</v>
      </c>
      <c r="C28" s="406">
        <f t="shared" ref="C28:V28" si="5">IF(C23="M",$D$8*($D13*16),0)</f>
        <v>0</v>
      </c>
      <c r="D28" s="406">
        <f t="shared" si="5"/>
        <v>0</v>
      </c>
      <c r="E28" s="406">
        <f t="shared" si="5"/>
        <v>0</v>
      </c>
      <c r="F28" s="406">
        <f t="shared" si="5"/>
        <v>0</v>
      </c>
      <c r="G28" s="406">
        <f t="shared" si="5"/>
        <v>0</v>
      </c>
      <c r="H28" s="406">
        <f t="shared" si="5"/>
        <v>0</v>
      </c>
      <c r="I28" s="406">
        <f t="shared" si="5"/>
        <v>0</v>
      </c>
      <c r="J28" s="406">
        <f t="shared" si="5"/>
        <v>0</v>
      </c>
      <c r="K28" s="406">
        <f t="shared" si="5"/>
        <v>0</v>
      </c>
      <c r="L28" s="406">
        <f t="shared" si="5"/>
        <v>0</v>
      </c>
      <c r="M28" s="406">
        <f t="shared" si="5"/>
        <v>0</v>
      </c>
      <c r="N28" s="406">
        <f t="shared" si="5"/>
        <v>0</v>
      </c>
      <c r="O28" s="406">
        <f t="shared" si="5"/>
        <v>0</v>
      </c>
      <c r="P28" s="406">
        <f t="shared" si="5"/>
        <v>0</v>
      </c>
      <c r="Q28" s="406">
        <f t="shared" si="5"/>
        <v>0</v>
      </c>
      <c r="R28" s="406">
        <f t="shared" si="5"/>
        <v>0</v>
      </c>
      <c r="S28" s="406">
        <f t="shared" si="5"/>
        <v>0</v>
      </c>
      <c r="T28" s="406">
        <f t="shared" si="5"/>
        <v>0</v>
      </c>
      <c r="U28" s="406">
        <f t="shared" si="5"/>
        <v>0</v>
      </c>
      <c r="V28" s="406">
        <f t="shared" si="5"/>
        <v>0</v>
      </c>
      <c r="W28" s="380"/>
    </row>
    <row r="29" spans="1:23" ht="16.2" thickBot="1">
      <c r="A29" s="407" t="s">
        <v>552</v>
      </c>
      <c r="B29" s="408">
        <f t="shared" ref="B29:V29" si="6">SUM(B24:B28)</f>
        <v>0</v>
      </c>
      <c r="C29" s="408">
        <f t="shared" si="6"/>
        <v>0</v>
      </c>
      <c r="D29" s="408">
        <f t="shared" si="6"/>
        <v>0</v>
      </c>
      <c r="E29" s="408">
        <f t="shared" si="6"/>
        <v>0</v>
      </c>
      <c r="F29" s="408">
        <f t="shared" si="6"/>
        <v>0</v>
      </c>
      <c r="G29" s="408">
        <f t="shared" si="6"/>
        <v>0</v>
      </c>
      <c r="H29" s="408">
        <f t="shared" si="6"/>
        <v>0</v>
      </c>
      <c r="I29" s="408">
        <f t="shared" si="6"/>
        <v>0</v>
      </c>
      <c r="J29" s="408">
        <f t="shared" si="6"/>
        <v>0</v>
      </c>
      <c r="K29" s="408">
        <f t="shared" si="6"/>
        <v>0</v>
      </c>
      <c r="L29" s="408">
        <f t="shared" si="6"/>
        <v>0</v>
      </c>
      <c r="M29" s="408">
        <f t="shared" si="6"/>
        <v>0</v>
      </c>
      <c r="N29" s="408">
        <f t="shared" si="6"/>
        <v>0</v>
      </c>
      <c r="O29" s="408">
        <f t="shared" si="6"/>
        <v>0</v>
      </c>
      <c r="P29" s="408">
        <f t="shared" si="6"/>
        <v>0</v>
      </c>
      <c r="Q29" s="408">
        <f t="shared" si="6"/>
        <v>0</v>
      </c>
      <c r="R29" s="408">
        <f t="shared" si="6"/>
        <v>0</v>
      </c>
      <c r="S29" s="408">
        <f t="shared" si="6"/>
        <v>0</v>
      </c>
      <c r="T29" s="408">
        <f t="shared" si="6"/>
        <v>0</v>
      </c>
      <c r="U29" s="408">
        <f t="shared" si="6"/>
        <v>5652000</v>
      </c>
      <c r="V29" s="408">
        <f t="shared" si="6"/>
        <v>0</v>
      </c>
      <c r="W29" s="409">
        <f>SUM(B29:V29)</f>
        <v>5652000</v>
      </c>
    </row>
    <row r="30" spans="1:23" ht="15.6">
      <c r="A30" s="410"/>
      <c r="B30" s="408"/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11"/>
    </row>
    <row r="31" spans="1:23">
      <c r="A31" s="381" t="s">
        <v>553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380"/>
    </row>
    <row r="32" spans="1:23">
      <c r="A32" s="381" t="s">
        <v>554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380"/>
    </row>
    <row r="33" spans="1:26">
      <c r="A33" s="381" t="s">
        <v>629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380"/>
    </row>
    <row r="34" spans="1:26">
      <c r="A34" s="381" t="s">
        <v>631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380"/>
    </row>
    <row r="35" spans="1:26" ht="13.8" thickBot="1">
      <c r="A35" s="385" t="s">
        <v>632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7"/>
    </row>
    <row r="36" spans="1:2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3.8" hidden="1" thickBo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8" hidden="1" thickBot="1">
      <c r="A38" s="475" t="s">
        <v>556</v>
      </c>
      <c r="B38" s="476"/>
      <c r="C38" s="476"/>
      <c r="D38" s="476"/>
      <c r="E38" s="476"/>
      <c r="F38" s="476"/>
      <c r="G38" s="476"/>
      <c r="H38" s="476"/>
      <c r="I38" s="476"/>
      <c r="J38" s="476"/>
      <c r="K38" s="477"/>
      <c r="L38" s="117"/>
      <c r="M38" s="117"/>
    </row>
    <row r="39" spans="1:26" ht="18" hidden="1" thickBot="1">
      <c r="A39" s="377" t="s">
        <v>515</v>
      </c>
      <c r="B39" s="117"/>
      <c r="C39" s="117"/>
      <c r="D39" s="117"/>
      <c r="E39" s="117"/>
      <c r="F39" s="472" t="s">
        <v>516</v>
      </c>
      <c r="G39" s="472"/>
      <c r="H39" s="412">
        <v>20</v>
      </c>
      <c r="I39" s="413" t="s">
        <v>517</v>
      </c>
      <c r="J39" s="117"/>
      <c r="K39" s="380"/>
    </row>
    <row r="40" spans="1:26" ht="18" hidden="1">
      <c r="A40" s="377" t="s">
        <v>557</v>
      </c>
      <c r="B40" s="117"/>
      <c r="C40" s="117"/>
      <c r="D40" s="117"/>
      <c r="E40" s="117"/>
      <c r="F40" s="117"/>
      <c r="G40" s="117"/>
      <c r="H40" s="378">
        <f>V64</f>
        <v>56877600</v>
      </c>
      <c r="I40" s="379" t="s">
        <v>519</v>
      </c>
      <c r="J40" s="117"/>
      <c r="K40" s="380"/>
    </row>
    <row r="41" spans="1:26" ht="18.600000000000001" hidden="1" thickBot="1">
      <c r="A41" s="381"/>
      <c r="B41" s="117"/>
      <c r="C41" s="117"/>
      <c r="D41" s="117"/>
      <c r="E41" s="117"/>
      <c r="F41" s="117"/>
      <c r="G41" s="117"/>
      <c r="H41" s="378">
        <f>H40/$D$8</f>
        <v>14219400</v>
      </c>
      <c r="I41" s="379" t="s">
        <v>520</v>
      </c>
      <c r="J41" s="117"/>
      <c r="K41" s="380"/>
    </row>
    <row r="42" spans="1:26" ht="18.600000000000001" hidden="1" thickBot="1">
      <c r="A42" s="377" t="s">
        <v>521</v>
      </c>
      <c r="B42" s="382"/>
      <c r="C42" s="382"/>
      <c r="D42" s="374">
        <v>1</v>
      </c>
      <c r="E42" s="117"/>
      <c r="F42" s="117"/>
      <c r="G42" s="117"/>
      <c r="H42" s="378">
        <f>H41/H39</f>
        <v>710970</v>
      </c>
      <c r="I42" s="379" t="s">
        <v>522</v>
      </c>
      <c r="J42" s="117"/>
      <c r="K42" s="380"/>
    </row>
    <row r="43" spans="1:26" ht="18.600000000000001" hidden="1" thickBot="1">
      <c r="A43" s="381"/>
      <c r="B43" s="117"/>
      <c r="C43" s="117"/>
      <c r="D43" s="117"/>
      <c r="E43" s="117"/>
      <c r="F43" s="117"/>
      <c r="G43" s="117"/>
      <c r="H43" s="414">
        <f>H42/C54</f>
        <v>88.871250000000003</v>
      </c>
      <c r="I43" s="379" t="s">
        <v>523</v>
      </c>
      <c r="J43" s="117"/>
      <c r="K43" s="380"/>
    </row>
    <row r="44" spans="1:26" ht="13.8" hidden="1" thickBot="1">
      <c r="A44" s="381"/>
      <c r="B44" s="117"/>
      <c r="C44" s="117"/>
      <c r="D44" s="117"/>
      <c r="E44" s="117"/>
      <c r="F44" s="117"/>
      <c r="G44" s="117"/>
      <c r="H44" s="117"/>
      <c r="I44" s="117"/>
      <c r="J44" s="117"/>
      <c r="K44" s="380"/>
    </row>
    <row r="45" spans="1:26" ht="15.6" hidden="1">
      <c r="A45" s="415"/>
      <c r="B45" s="391"/>
      <c r="C45" s="391"/>
      <c r="D45" s="416" t="s">
        <v>524</v>
      </c>
      <c r="E45" s="391"/>
      <c r="F45" s="391"/>
      <c r="G45" s="391"/>
      <c r="H45" s="391"/>
      <c r="I45" s="391"/>
      <c r="J45" s="391"/>
      <c r="K45" s="391"/>
      <c r="L45" s="373"/>
      <c r="M45" s="391"/>
      <c r="N45" s="391"/>
      <c r="O45" s="391"/>
      <c r="P45" s="391"/>
      <c r="Q45" s="391"/>
      <c r="R45" s="391"/>
      <c r="S45" s="391"/>
      <c r="T45" s="391"/>
      <c r="U45" s="391"/>
      <c r="V45" s="373"/>
      <c r="W45" s="376"/>
    </row>
    <row r="46" spans="1:26" hidden="1">
      <c r="A46" s="392" t="s">
        <v>525</v>
      </c>
      <c r="B46" s="393"/>
      <c r="C46" s="394"/>
      <c r="D46" s="395">
        <v>0</v>
      </c>
      <c r="E46" s="396" t="s">
        <v>526</v>
      </c>
      <c r="F46" s="389"/>
      <c r="G46" s="389"/>
      <c r="H46" s="397" t="s">
        <v>527</v>
      </c>
      <c r="I46" s="397"/>
      <c r="J46" s="389"/>
      <c r="K46" s="389"/>
      <c r="L46" s="117"/>
      <c r="M46" s="389"/>
      <c r="N46" s="389"/>
      <c r="O46" s="389"/>
      <c r="P46" s="389"/>
      <c r="Q46" s="389"/>
      <c r="R46" s="389"/>
      <c r="S46" s="389"/>
      <c r="T46" s="389"/>
      <c r="U46" s="389"/>
      <c r="V46" s="117"/>
      <c r="W46" s="380"/>
    </row>
    <row r="47" spans="1:26" hidden="1">
      <c r="A47" s="392" t="s">
        <v>528</v>
      </c>
      <c r="B47" s="393"/>
      <c r="C47" s="394"/>
      <c r="D47" s="395">
        <v>23900</v>
      </c>
      <c r="E47" s="398" t="s">
        <v>529</v>
      </c>
      <c r="F47" s="389"/>
      <c r="G47" s="389"/>
      <c r="H47" s="397" t="s">
        <v>558</v>
      </c>
      <c r="I47" s="117"/>
      <c r="J47" s="389"/>
      <c r="K47" s="389"/>
      <c r="L47" s="117"/>
      <c r="M47" s="389"/>
      <c r="N47" s="389"/>
      <c r="O47" s="389"/>
      <c r="P47" s="389"/>
      <c r="Q47" s="389"/>
      <c r="R47" s="389"/>
      <c r="S47" s="389"/>
      <c r="T47" s="389"/>
      <c r="U47" s="389"/>
      <c r="V47" s="117"/>
      <c r="W47" s="380"/>
    </row>
    <row r="48" spans="1:26" hidden="1">
      <c r="A48" s="392" t="s">
        <v>530</v>
      </c>
      <c r="B48" s="393"/>
      <c r="C48" s="394"/>
      <c r="D48" s="395">
        <v>0</v>
      </c>
      <c r="E48" s="398" t="s">
        <v>531</v>
      </c>
      <c r="F48" s="389"/>
      <c r="G48" s="389"/>
      <c r="H48" s="397" t="s">
        <v>532</v>
      </c>
      <c r="I48" s="397"/>
      <c r="J48" s="389"/>
      <c r="K48" s="389"/>
      <c r="L48" s="117"/>
      <c r="M48" s="389"/>
      <c r="N48" s="389"/>
      <c r="O48" s="389"/>
      <c r="P48" s="389"/>
      <c r="Q48" s="389"/>
      <c r="R48" s="389"/>
      <c r="S48" s="389"/>
      <c r="T48" s="389"/>
      <c r="U48" s="389"/>
      <c r="V48" s="117"/>
      <c r="W48" s="380"/>
    </row>
    <row r="49" spans="1:23" hidden="1">
      <c r="A49" s="392" t="s">
        <v>533</v>
      </c>
      <c r="B49" s="393"/>
      <c r="C49" s="394"/>
      <c r="D49" s="395">
        <v>1403000</v>
      </c>
      <c r="E49" s="398" t="s">
        <v>534</v>
      </c>
      <c r="F49" s="397" t="s">
        <v>559</v>
      </c>
      <c r="G49" s="389"/>
      <c r="H49" s="397" t="s">
        <v>535</v>
      </c>
      <c r="I49" s="117"/>
      <c r="J49" s="389"/>
      <c r="K49" s="389"/>
      <c r="L49" s="117"/>
      <c r="M49" s="389"/>
      <c r="N49" s="389"/>
      <c r="O49" s="389"/>
      <c r="P49" s="389"/>
      <c r="Q49" s="389"/>
      <c r="R49" s="389"/>
      <c r="S49" s="389"/>
      <c r="T49" s="389"/>
      <c r="U49" s="389"/>
      <c r="V49" s="117"/>
      <c r="W49" s="380"/>
    </row>
    <row r="50" spans="1:23" hidden="1">
      <c r="A50" s="392" t="s">
        <v>536</v>
      </c>
      <c r="B50" s="393"/>
      <c r="C50" s="394"/>
      <c r="D50" s="395">
        <v>3000000</v>
      </c>
      <c r="E50" s="398" t="s">
        <v>534</v>
      </c>
      <c r="F50" s="389"/>
      <c r="G50" s="389"/>
      <c r="H50" s="397" t="s">
        <v>537</v>
      </c>
      <c r="I50" s="117"/>
      <c r="J50" s="389"/>
      <c r="K50" s="389"/>
      <c r="L50" s="117"/>
      <c r="M50" s="389"/>
      <c r="N50" s="389"/>
      <c r="O50" s="389"/>
      <c r="P50" s="389"/>
      <c r="Q50" s="389"/>
      <c r="R50" s="389"/>
      <c r="S50" s="389"/>
      <c r="T50" s="389"/>
      <c r="U50" s="389"/>
      <c r="V50" s="117"/>
      <c r="W50" s="380"/>
    </row>
    <row r="51" spans="1:23" hidden="1">
      <c r="A51" s="392" t="s">
        <v>538</v>
      </c>
      <c r="B51" s="393"/>
      <c r="C51" s="394"/>
      <c r="D51" s="399">
        <v>25000</v>
      </c>
      <c r="E51" s="400"/>
      <c r="F51" s="389"/>
      <c r="G51" s="389"/>
      <c r="H51" s="397" t="s">
        <v>539</v>
      </c>
      <c r="I51" s="389"/>
      <c r="J51" s="389"/>
      <c r="K51" s="389"/>
      <c r="L51" s="117"/>
      <c r="M51" s="389"/>
      <c r="N51" s="389"/>
      <c r="O51" s="389"/>
      <c r="P51" s="389"/>
      <c r="Q51" s="389"/>
      <c r="R51" s="389"/>
      <c r="S51" s="389"/>
      <c r="T51" s="389"/>
      <c r="U51" s="389"/>
      <c r="V51" s="117"/>
      <c r="W51" s="380"/>
    </row>
    <row r="52" spans="1:23" hidden="1">
      <c r="A52" s="392" t="s">
        <v>540</v>
      </c>
      <c r="B52" s="393"/>
      <c r="C52" s="394"/>
      <c r="D52" s="399">
        <v>25000</v>
      </c>
      <c r="E52" s="400"/>
      <c r="F52" s="389"/>
      <c r="G52" s="389"/>
      <c r="H52" s="397" t="s">
        <v>539</v>
      </c>
      <c r="I52" s="389"/>
      <c r="J52" s="389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380"/>
    </row>
    <row r="53" spans="1:23" hidden="1">
      <c r="A53" s="381"/>
      <c r="B53" s="389"/>
      <c r="C53" s="389"/>
      <c r="D53" s="389"/>
      <c r="E53" s="389"/>
      <c r="F53" s="389"/>
      <c r="G53" s="389"/>
      <c r="H53" s="389"/>
      <c r="I53" s="389"/>
      <c r="J53" s="389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380"/>
    </row>
    <row r="54" spans="1:23" hidden="1">
      <c r="A54" s="401" t="s">
        <v>541</v>
      </c>
      <c r="B54" s="402"/>
      <c r="C54" s="403">
        <v>8000</v>
      </c>
      <c r="D54" s="404" t="s">
        <v>542</v>
      </c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380"/>
    </row>
    <row r="55" spans="1:23" hidden="1">
      <c r="A55" s="381" t="s">
        <v>543</v>
      </c>
      <c r="B55" s="179">
        <v>0</v>
      </c>
      <c r="C55" s="179">
        <v>1</v>
      </c>
      <c r="D55" s="179">
        <v>2</v>
      </c>
      <c r="E55" s="179">
        <v>3</v>
      </c>
      <c r="F55" s="179">
        <v>4</v>
      </c>
      <c r="G55" s="179">
        <v>5</v>
      </c>
      <c r="H55" s="179">
        <v>6</v>
      </c>
      <c r="I55" s="179">
        <v>7</v>
      </c>
      <c r="J55" s="179">
        <v>8</v>
      </c>
      <c r="K55" s="179">
        <v>9</v>
      </c>
      <c r="L55" s="179">
        <v>10</v>
      </c>
      <c r="M55" s="179">
        <v>11</v>
      </c>
      <c r="N55" s="179">
        <v>12</v>
      </c>
      <c r="O55" s="179">
        <v>13</v>
      </c>
      <c r="P55" s="179">
        <v>14</v>
      </c>
      <c r="Q55" s="179">
        <v>15</v>
      </c>
      <c r="R55" s="179">
        <v>16</v>
      </c>
      <c r="S55" s="179">
        <v>17</v>
      </c>
      <c r="T55" s="179">
        <v>18</v>
      </c>
      <c r="U55" s="179">
        <v>19</v>
      </c>
      <c r="V55" s="179">
        <v>20</v>
      </c>
      <c r="W55" s="380"/>
    </row>
    <row r="56" spans="1:23" hidden="1">
      <c r="A56" s="381" t="s">
        <v>544</v>
      </c>
      <c r="B56" s="405"/>
      <c r="C56" s="405">
        <f>$C54</f>
        <v>8000</v>
      </c>
      <c r="D56" s="405">
        <f t="shared" ref="D56:V56" si="7">C56+$C54</f>
        <v>16000</v>
      </c>
      <c r="E56" s="405">
        <f t="shared" si="7"/>
        <v>24000</v>
      </c>
      <c r="F56" s="405">
        <f t="shared" si="7"/>
        <v>32000</v>
      </c>
      <c r="G56" s="405">
        <f t="shared" si="7"/>
        <v>40000</v>
      </c>
      <c r="H56" s="405">
        <f t="shared" si="7"/>
        <v>48000</v>
      </c>
      <c r="I56" s="405">
        <f t="shared" si="7"/>
        <v>56000</v>
      </c>
      <c r="J56" s="405">
        <f t="shared" si="7"/>
        <v>64000</v>
      </c>
      <c r="K56" s="405">
        <f t="shared" si="7"/>
        <v>72000</v>
      </c>
      <c r="L56" s="405">
        <f t="shared" si="7"/>
        <v>80000</v>
      </c>
      <c r="M56" s="405">
        <f t="shared" si="7"/>
        <v>88000</v>
      </c>
      <c r="N56" s="405">
        <f t="shared" si="7"/>
        <v>96000</v>
      </c>
      <c r="O56" s="405">
        <f t="shared" si="7"/>
        <v>104000</v>
      </c>
      <c r="P56" s="405">
        <f t="shared" si="7"/>
        <v>112000</v>
      </c>
      <c r="Q56" s="405">
        <f t="shared" si="7"/>
        <v>120000</v>
      </c>
      <c r="R56" s="405">
        <f t="shared" si="7"/>
        <v>128000</v>
      </c>
      <c r="S56" s="405">
        <f t="shared" si="7"/>
        <v>136000</v>
      </c>
      <c r="T56" s="405">
        <f t="shared" si="7"/>
        <v>144000</v>
      </c>
      <c r="U56" s="405">
        <f t="shared" si="7"/>
        <v>152000</v>
      </c>
      <c r="V56" s="405">
        <f t="shared" si="7"/>
        <v>160000</v>
      </c>
      <c r="W56" s="380"/>
    </row>
    <row r="57" spans="1:23" hidden="1">
      <c r="A57" s="381" t="s">
        <v>560</v>
      </c>
      <c r="B57" s="179"/>
      <c r="C57" s="179"/>
      <c r="D57" s="179"/>
      <c r="E57" s="179" t="s">
        <v>561</v>
      </c>
      <c r="F57" s="179"/>
      <c r="G57" s="179"/>
      <c r="H57" s="179" t="s">
        <v>837</v>
      </c>
      <c r="I57" s="179"/>
      <c r="J57" s="179"/>
      <c r="K57" s="179"/>
      <c r="L57" s="179" t="s">
        <v>561</v>
      </c>
      <c r="M57" s="179"/>
      <c r="N57" s="179" t="s">
        <v>837</v>
      </c>
      <c r="O57" s="179"/>
      <c r="P57" s="179"/>
      <c r="Q57" s="179" t="s">
        <v>561</v>
      </c>
      <c r="R57" s="179"/>
      <c r="S57" s="179"/>
      <c r="T57" s="179" t="s">
        <v>837</v>
      </c>
      <c r="U57" s="179"/>
      <c r="V57" s="179"/>
      <c r="W57" s="380"/>
    </row>
    <row r="58" spans="1:23" hidden="1">
      <c r="A58" s="381" t="s">
        <v>562</v>
      </c>
      <c r="B58" s="406">
        <f t="shared" ref="B58:V58" si="8">IF(B57="H",$D$8*$D49,IF(B57="M",$D$8*$D50,0))</f>
        <v>0</v>
      </c>
      <c r="C58" s="406">
        <f t="shared" si="8"/>
        <v>0</v>
      </c>
      <c r="D58" s="406">
        <f t="shared" si="8"/>
        <v>0</v>
      </c>
      <c r="E58" s="406">
        <f t="shared" si="8"/>
        <v>5612000</v>
      </c>
      <c r="F58" s="406">
        <f t="shared" si="8"/>
        <v>0</v>
      </c>
      <c r="G58" s="406">
        <f t="shared" si="8"/>
        <v>0</v>
      </c>
      <c r="H58" s="406">
        <f t="shared" si="8"/>
        <v>12000000</v>
      </c>
      <c r="I58" s="406">
        <f t="shared" si="8"/>
        <v>0</v>
      </c>
      <c r="J58" s="406">
        <f t="shared" si="8"/>
        <v>0</v>
      </c>
      <c r="K58" s="406">
        <f t="shared" si="8"/>
        <v>0</v>
      </c>
      <c r="L58" s="406">
        <f t="shared" si="8"/>
        <v>5612000</v>
      </c>
      <c r="M58" s="406">
        <f t="shared" si="8"/>
        <v>0</v>
      </c>
      <c r="N58" s="406">
        <f t="shared" si="8"/>
        <v>12000000</v>
      </c>
      <c r="O58" s="406">
        <f t="shared" si="8"/>
        <v>0</v>
      </c>
      <c r="P58" s="406">
        <f t="shared" si="8"/>
        <v>0</v>
      </c>
      <c r="Q58" s="406">
        <f t="shared" si="8"/>
        <v>5612000</v>
      </c>
      <c r="R58" s="406">
        <f t="shared" si="8"/>
        <v>0</v>
      </c>
      <c r="S58" s="406">
        <f t="shared" si="8"/>
        <v>0</v>
      </c>
      <c r="T58" s="406">
        <f t="shared" si="8"/>
        <v>12000000</v>
      </c>
      <c r="U58" s="406">
        <f t="shared" si="8"/>
        <v>0</v>
      </c>
      <c r="V58" s="406">
        <f t="shared" si="8"/>
        <v>0</v>
      </c>
      <c r="W58" s="380"/>
    </row>
    <row r="59" spans="1:23" hidden="1">
      <c r="A59" s="381" t="s">
        <v>548</v>
      </c>
      <c r="B59" s="406"/>
      <c r="C59" s="406">
        <f t="shared" ref="C59:V59" si="9">$D48*$D$8</f>
        <v>0</v>
      </c>
      <c r="D59" s="406">
        <f t="shared" si="9"/>
        <v>0</v>
      </c>
      <c r="E59" s="406">
        <f t="shared" si="9"/>
        <v>0</v>
      </c>
      <c r="F59" s="406">
        <f t="shared" si="9"/>
        <v>0</v>
      </c>
      <c r="G59" s="406">
        <f t="shared" si="9"/>
        <v>0</v>
      </c>
      <c r="H59" s="406">
        <f t="shared" si="9"/>
        <v>0</v>
      </c>
      <c r="I59" s="406">
        <f t="shared" si="9"/>
        <v>0</v>
      </c>
      <c r="J59" s="406">
        <f t="shared" si="9"/>
        <v>0</v>
      </c>
      <c r="K59" s="406">
        <f t="shared" si="9"/>
        <v>0</v>
      </c>
      <c r="L59" s="406">
        <f t="shared" si="9"/>
        <v>0</v>
      </c>
      <c r="M59" s="406">
        <f t="shared" si="9"/>
        <v>0</v>
      </c>
      <c r="N59" s="406">
        <f t="shared" si="9"/>
        <v>0</v>
      </c>
      <c r="O59" s="406">
        <f t="shared" si="9"/>
        <v>0</v>
      </c>
      <c r="P59" s="406">
        <f t="shared" si="9"/>
        <v>0</v>
      </c>
      <c r="Q59" s="406">
        <f t="shared" si="9"/>
        <v>0</v>
      </c>
      <c r="R59" s="406">
        <f t="shared" si="9"/>
        <v>0</v>
      </c>
      <c r="S59" s="406">
        <f t="shared" si="9"/>
        <v>0</v>
      </c>
      <c r="T59" s="406">
        <f t="shared" si="9"/>
        <v>0</v>
      </c>
      <c r="U59" s="406">
        <f t="shared" si="9"/>
        <v>0</v>
      </c>
      <c r="V59" s="406">
        <f t="shared" si="9"/>
        <v>0</v>
      </c>
      <c r="W59" s="380"/>
    </row>
    <row r="60" spans="1:23" hidden="1">
      <c r="A60" s="381" t="s">
        <v>549</v>
      </c>
      <c r="B60" s="406">
        <f t="shared" ref="B60:V60" si="10">IF(B57="H",$D51*$D$8,IF(B57="M",$D52*$D$8,0))</f>
        <v>0</v>
      </c>
      <c r="C60" s="406">
        <f t="shared" si="10"/>
        <v>0</v>
      </c>
      <c r="D60" s="406">
        <f t="shared" si="10"/>
        <v>0</v>
      </c>
      <c r="E60" s="406">
        <f t="shared" si="10"/>
        <v>100000</v>
      </c>
      <c r="F60" s="406">
        <f t="shared" si="10"/>
        <v>0</v>
      </c>
      <c r="G60" s="406">
        <f t="shared" si="10"/>
        <v>0</v>
      </c>
      <c r="H60" s="406">
        <f t="shared" si="10"/>
        <v>100000</v>
      </c>
      <c r="I60" s="406">
        <f t="shared" si="10"/>
        <v>0</v>
      </c>
      <c r="J60" s="406">
        <f t="shared" si="10"/>
        <v>0</v>
      </c>
      <c r="K60" s="406">
        <f t="shared" si="10"/>
        <v>0</v>
      </c>
      <c r="L60" s="406">
        <f t="shared" si="10"/>
        <v>100000</v>
      </c>
      <c r="M60" s="406">
        <f t="shared" si="10"/>
        <v>0</v>
      </c>
      <c r="N60" s="406">
        <f t="shared" si="10"/>
        <v>100000</v>
      </c>
      <c r="O60" s="406">
        <f t="shared" si="10"/>
        <v>0</v>
      </c>
      <c r="P60" s="406">
        <f t="shared" si="10"/>
        <v>0</v>
      </c>
      <c r="Q60" s="406">
        <f t="shared" si="10"/>
        <v>100000</v>
      </c>
      <c r="R60" s="406">
        <f t="shared" si="10"/>
        <v>0</v>
      </c>
      <c r="S60" s="406">
        <f t="shared" si="10"/>
        <v>0</v>
      </c>
      <c r="T60" s="406">
        <f t="shared" si="10"/>
        <v>100000</v>
      </c>
      <c r="U60" s="406">
        <f t="shared" si="10"/>
        <v>0</v>
      </c>
      <c r="V60" s="406">
        <f t="shared" si="10"/>
        <v>0</v>
      </c>
      <c r="W60" s="380"/>
    </row>
    <row r="61" spans="1:23" hidden="1">
      <c r="A61" s="381" t="s">
        <v>550</v>
      </c>
      <c r="B61" s="179"/>
      <c r="C61" s="406">
        <f t="shared" ref="C61:V61" si="11">$D46*$D$8</f>
        <v>0</v>
      </c>
      <c r="D61" s="406">
        <f t="shared" si="11"/>
        <v>0</v>
      </c>
      <c r="E61" s="406">
        <f t="shared" si="11"/>
        <v>0</v>
      </c>
      <c r="F61" s="406">
        <f t="shared" si="11"/>
        <v>0</v>
      </c>
      <c r="G61" s="406">
        <f t="shared" si="11"/>
        <v>0</v>
      </c>
      <c r="H61" s="406">
        <f t="shared" si="11"/>
        <v>0</v>
      </c>
      <c r="I61" s="406">
        <f t="shared" si="11"/>
        <v>0</v>
      </c>
      <c r="J61" s="406">
        <f t="shared" si="11"/>
        <v>0</v>
      </c>
      <c r="K61" s="406">
        <f t="shared" si="11"/>
        <v>0</v>
      </c>
      <c r="L61" s="406">
        <f t="shared" si="11"/>
        <v>0</v>
      </c>
      <c r="M61" s="406">
        <f t="shared" si="11"/>
        <v>0</v>
      </c>
      <c r="N61" s="406">
        <f t="shared" si="11"/>
        <v>0</v>
      </c>
      <c r="O61" s="406">
        <f t="shared" si="11"/>
        <v>0</v>
      </c>
      <c r="P61" s="406">
        <f t="shared" si="11"/>
        <v>0</v>
      </c>
      <c r="Q61" s="406">
        <f t="shared" si="11"/>
        <v>0</v>
      </c>
      <c r="R61" s="406">
        <f t="shared" si="11"/>
        <v>0</v>
      </c>
      <c r="S61" s="406">
        <f t="shared" si="11"/>
        <v>0</v>
      </c>
      <c r="T61" s="406">
        <f t="shared" si="11"/>
        <v>0</v>
      </c>
      <c r="U61" s="406">
        <f t="shared" si="11"/>
        <v>0</v>
      </c>
      <c r="V61" s="406">
        <f t="shared" si="11"/>
        <v>0</v>
      </c>
      <c r="W61" s="380"/>
    </row>
    <row r="62" spans="1:23" hidden="1">
      <c r="A62" s="381" t="s">
        <v>551</v>
      </c>
      <c r="B62" s="406">
        <f t="shared" ref="B62:V62" si="12">IF(B57="M",$D$8*($D47*12),0)</f>
        <v>0</v>
      </c>
      <c r="C62" s="406">
        <f t="shared" si="12"/>
        <v>0</v>
      </c>
      <c r="D62" s="406">
        <f t="shared" si="12"/>
        <v>0</v>
      </c>
      <c r="E62" s="406">
        <f t="shared" si="12"/>
        <v>0</v>
      </c>
      <c r="F62" s="406">
        <f t="shared" si="12"/>
        <v>0</v>
      </c>
      <c r="G62" s="406">
        <f t="shared" si="12"/>
        <v>0</v>
      </c>
      <c r="H62" s="406">
        <f t="shared" si="12"/>
        <v>1147200</v>
      </c>
      <c r="I62" s="406">
        <f t="shared" si="12"/>
        <v>0</v>
      </c>
      <c r="J62" s="406">
        <f t="shared" si="12"/>
        <v>0</v>
      </c>
      <c r="K62" s="406">
        <f t="shared" si="12"/>
        <v>0</v>
      </c>
      <c r="L62" s="406">
        <f t="shared" si="12"/>
        <v>0</v>
      </c>
      <c r="M62" s="406">
        <f t="shared" si="12"/>
        <v>0</v>
      </c>
      <c r="N62" s="406">
        <f t="shared" si="12"/>
        <v>1147200</v>
      </c>
      <c r="O62" s="406">
        <f t="shared" si="12"/>
        <v>0</v>
      </c>
      <c r="P62" s="406">
        <f t="shared" si="12"/>
        <v>0</v>
      </c>
      <c r="Q62" s="406">
        <f t="shared" si="12"/>
        <v>0</v>
      </c>
      <c r="R62" s="406">
        <f t="shared" si="12"/>
        <v>0</v>
      </c>
      <c r="S62" s="406">
        <f t="shared" si="12"/>
        <v>0</v>
      </c>
      <c r="T62" s="406">
        <f t="shared" si="12"/>
        <v>1147200</v>
      </c>
      <c r="U62" s="406">
        <f t="shared" si="12"/>
        <v>0</v>
      </c>
      <c r="V62" s="406">
        <f t="shared" si="12"/>
        <v>0</v>
      </c>
      <c r="W62" s="380"/>
    </row>
    <row r="63" spans="1:23" ht="15.6" hidden="1">
      <c r="A63" s="381"/>
      <c r="B63" s="408">
        <f t="shared" ref="B63:V63" si="13">SUM(B58:B62)</f>
        <v>0</v>
      </c>
      <c r="C63" s="408">
        <f t="shared" si="13"/>
        <v>0</v>
      </c>
      <c r="D63" s="408">
        <f t="shared" si="13"/>
        <v>0</v>
      </c>
      <c r="E63" s="408">
        <f t="shared" si="13"/>
        <v>5712000</v>
      </c>
      <c r="F63" s="408">
        <f t="shared" si="13"/>
        <v>0</v>
      </c>
      <c r="G63" s="408">
        <f t="shared" si="13"/>
        <v>0</v>
      </c>
      <c r="H63" s="408">
        <f t="shared" si="13"/>
        <v>13247200</v>
      </c>
      <c r="I63" s="408">
        <f t="shared" si="13"/>
        <v>0</v>
      </c>
      <c r="J63" s="408">
        <f t="shared" si="13"/>
        <v>0</v>
      </c>
      <c r="K63" s="408">
        <f t="shared" si="13"/>
        <v>0</v>
      </c>
      <c r="L63" s="408">
        <f t="shared" si="13"/>
        <v>5712000</v>
      </c>
      <c r="M63" s="408">
        <f t="shared" si="13"/>
        <v>0</v>
      </c>
      <c r="N63" s="408">
        <f t="shared" si="13"/>
        <v>13247200</v>
      </c>
      <c r="O63" s="408">
        <f t="shared" si="13"/>
        <v>0</v>
      </c>
      <c r="P63" s="408">
        <f t="shared" si="13"/>
        <v>0</v>
      </c>
      <c r="Q63" s="408">
        <f t="shared" si="13"/>
        <v>5712000</v>
      </c>
      <c r="R63" s="408">
        <f t="shared" si="13"/>
        <v>0</v>
      </c>
      <c r="S63" s="408">
        <f t="shared" si="13"/>
        <v>0</v>
      </c>
      <c r="T63" s="408">
        <f t="shared" si="13"/>
        <v>13247200</v>
      </c>
      <c r="U63" s="408">
        <f t="shared" si="13"/>
        <v>0</v>
      </c>
      <c r="V63" s="408">
        <f t="shared" si="13"/>
        <v>0</v>
      </c>
      <c r="W63" s="380"/>
    </row>
    <row r="64" spans="1:23" ht="15.6" hidden="1">
      <c r="A64" s="381"/>
      <c r="B64" s="408"/>
      <c r="C64" s="408">
        <f t="shared" ref="C64:V64" si="14">B64+C63</f>
        <v>0</v>
      </c>
      <c r="D64" s="408">
        <f t="shared" si="14"/>
        <v>0</v>
      </c>
      <c r="E64" s="408">
        <f t="shared" si="14"/>
        <v>5712000</v>
      </c>
      <c r="F64" s="408">
        <f t="shared" si="14"/>
        <v>5712000</v>
      </c>
      <c r="G64" s="408">
        <f t="shared" si="14"/>
        <v>5712000</v>
      </c>
      <c r="H64" s="408">
        <f t="shared" si="14"/>
        <v>18959200</v>
      </c>
      <c r="I64" s="408">
        <f t="shared" si="14"/>
        <v>18959200</v>
      </c>
      <c r="J64" s="408">
        <f t="shared" si="14"/>
        <v>18959200</v>
      </c>
      <c r="K64" s="408">
        <f t="shared" si="14"/>
        <v>18959200</v>
      </c>
      <c r="L64" s="408">
        <f t="shared" si="14"/>
        <v>24671200</v>
      </c>
      <c r="M64" s="408">
        <f t="shared" si="14"/>
        <v>24671200</v>
      </c>
      <c r="N64" s="408">
        <f t="shared" si="14"/>
        <v>37918400</v>
      </c>
      <c r="O64" s="408">
        <f t="shared" si="14"/>
        <v>37918400</v>
      </c>
      <c r="P64" s="408">
        <f t="shared" si="14"/>
        <v>37918400</v>
      </c>
      <c r="Q64" s="408">
        <f t="shared" si="14"/>
        <v>43630400</v>
      </c>
      <c r="R64" s="408">
        <f t="shared" si="14"/>
        <v>43630400</v>
      </c>
      <c r="S64" s="408">
        <f t="shared" si="14"/>
        <v>43630400</v>
      </c>
      <c r="T64" s="408">
        <f t="shared" si="14"/>
        <v>56877600</v>
      </c>
      <c r="U64" s="408">
        <f t="shared" si="14"/>
        <v>56877600</v>
      </c>
      <c r="V64" s="408">
        <f t="shared" si="14"/>
        <v>56877600</v>
      </c>
      <c r="W64" s="380"/>
    </row>
    <row r="65" spans="1:23" hidden="1">
      <c r="A65" s="381" t="s">
        <v>553</v>
      </c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380"/>
    </row>
    <row r="66" spans="1:23" hidden="1">
      <c r="A66" s="381" t="s">
        <v>563</v>
      </c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380"/>
    </row>
    <row r="67" spans="1:23" hidden="1">
      <c r="A67" s="381" t="s">
        <v>564</v>
      </c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380"/>
    </row>
    <row r="68" spans="1:23" ht="13.8" hidden="1" thickBot="1">
      <c r="A68" s="385" t="s">
        <v>555</v>
      </c>
      <c r="B68" s="386"/>
      <c r="C68" s="386"/>
      <c r="D68" s="386"/>
      <c r="E68" s="386"/>
      <c r="F68" s="386"/>
      <c r="G68" s="386"/>
      <c r="H68" s="386"/>
      <c r="I68" s="386"/>
      <c r="J68" s="386"/>
      <c r="K68" s="386"/>
      <c r="L68" s="386"/>
      <c r="M68" s="386"/>
      <c r="N68" s="386"/>
      <c r="O68" s="386"/>
      <c r="P68" s="386"/>
      <c r="Q68" s="386"/>
      <c r="R68" s="386"/>
      <c r="S68" s="386"/>
      <c r="T68" s="386"/>
      <c r="U68" s="386"/>
      <c r="V68" s="386"/>
      <c r="W68" s="387"/>
    </row>
    <row r="69" spans="1:23" hidden="1"/>
    <row r="70" spans="1:23" hidden="1"/>
  </sheetData>
  <mergeCells count="6">
    <mergeCell ref="A1:W1"/>
    <mergeCell ref="F39:G39"/>
    <mergeCell ref="A2:W2"/>
    <mergeCell ref="A4:M4"/>
    <mergeCell ref="F5:G5"/>
    <mergeCell ref="A38:K38"/>
  </mergeCells>
  <printOptions horizontalCentered="1"/>
  <pageMargins left="0.75" right="0.75" top="1" bottom="1" header="0.5" footer="0.5"/>
  <pageSetup scale="40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opLeftCell="A16" zoomScale="75" workbookViewId="0"/>
  </sheetViews>
  <sheetFormatPr defaultRowHeight="13.2"/>
  <cols>
    <col min="7" max="7" width="14.109375" bestFit="1" customWidth="1"/>
  </cols>
  <sheetData>
    <row r="1" spans="1:12" ht="15.6">
      <c r="A1" s="4" t="s">
        <v>659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6">
      <c r="A2" s="10" t="s">
        <v>636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5" spans="1:12">
      <c r="A5" s="11" t="s">
        <v>660</v>
      </c>
      <c r="D5" t="s">
        <v>661</v>
      </c>
    </row>
    <row r="6" spans="1:12">
      <c r="D6" t="s">
        <v>662</v>
      </c>
    </row>
    <row r="8" spans="1:12">
      <c r="A8" s="8" t="s">
        <v>663</v>
      </c>
      <c r="D8" t="s">
        <v>664</v>
      </c>
    </row>
    <row r="9" spans="1:12">
      <c r="A9" s="8"/>
      <c r="D9" t="s">
        <v>665</v>
      </c>
    </row>
    <row r="10" spans="1:12">
      <c r="D10" t="s">
        <v>666</v>
      </c>
    </row>
    <row r="12" spans="1:12">
      <c r="A12" s="11" t="s">
        <v>667</v>
      </c>
      <c r="D12" t="s">
        <v>668</v>
      </c>
    </row>
    <row r="15" spans="1:12">
      <c r="A15" s="8" t="s">
        <v>669</v>
      </c>
      <c r="D15" s="12">
        <f>4*45</f>
        <v>180</v>
      </c>
      <c r="E15" t="s">
        <v>670</v>
      </c>
    </row>
    <row r="17" spans="1:4">
      <c r="A17" s="8" t="s">
        <v>671</v>
      </c>
      <c r="D17" t="s">
        <v>672</v>
      </c>
    </row>
    <row r="18" spans="1:4">
      <c r="A18" s="8"/>
      <c r="D18" t="s">
        <v>673</v>
      </c>
    </row>
    <row r="19" spans="1:4">
      <c r="D19" t="s">
        <v>674</v>
      </c>
    </row>
    <row r="20" spans="1:4">
      <c r="D20" t="s">
        <v>675</v>
      </c>
    </row>
    <row r="21" spans="1:4" ht="15" customHeight="1">
      <c r="D21" t="s">
        <v>676</v>
      </c>
    </row>
    <row r="22" spans="1:4" ht="15" customHeight="1">
      <c r="D22" t="s">
        <v>677</v>
      </c>
    </row>
    <row r="23" spans="1:4" ht="15" customHeight="1">
      <c r="D23" t="s">
        <v>678</v>
      </c>
    </row>
    <row r="24" spans="1:4">
      <c r="D24" t="s">
        <v>679</v>
      </c>
    </row>
    <row r="25" spans="1:4">
      <c r="D25" t="s">
        <v>680</v>
      </c>
    </row>
    <row r="26" spans="1:4">
      <c r="D26" t="s">
        <v>681</v>
      </c>
    </row>
    <row r="27" spans="1:4">
      <c r="D27" t="s">
        <v>682</v>
      </c>
    </row>
    <row r="28" spans="1:4">
      <c r="D28" t="s">
        <v>683</v>
      </c>
    </row>
    <row r="29" spans="1:4">
      <c r="D29" t="s">
        <v>684</v>
      </c>
    </row>
    <row r="30" spans="1:4">
      <c r="D30" t="s">
        <v>685</v>
      </c>
    </row>
    <row r="33" spans="1:7">
      <c r="A33" s="11" t="s">
        <v>686</v>
      </c>
      <c r="D33" t="s">
        <v>687</v>
      </c>
    </row>
    <row r="34" spans="1:7">
      <c r="D34" t="s">
        <v>688</v>
      </c>
    </row>
    <row r="35" spans="1:7">
      <c r="D35" t="s">
        <v>689</v>
      </c>
    </row>
    <row r="36" spans="1:7">
      <c r="D36" t="s">
        <v>690</v>
      </c>
    </row>
    <row r="37" spans="1:7">
      <c r="D37" t="s">
        <v>691</v>
      </c>
    </row>
    <row r="39" spans="1:7">
      <c r="A39" s="8" t="s">
        <v>692</v>
      </c>
      <c r="D39" s="13" t="s">
        <v>693</v>
      </c>
    </row>
    <row r="40" spans="1:7">
      <c r="D40" t="s">
        <v>694</v>
      </c>
    </row>
    <row r="42" spans="1:7">
      <c r="A42" s="8" t="s">
        <v>695</v>
      </c>
      <c r="D42" s="13" t="s">
        <v>696</v>
      </c>
    </row>
    <row r="43" spans="1:7">
      <c r="D43" t="s">
        <v>697</v>
      </c>
    </row>
    <row r="45" spans="1:7">
      <c r="A45" s="8" t="s">
        <v>698</v>
      </c>
      <c r="D45" t="s">
        <v>699</v>
      </c>
    </row>
    <row r="46" spans="1:7">
      <c r="D46" t="s">
        <v>322</v>
      </c>
    </row>
    <row r="48" spans="1:7">
      <c r="A48" s="8" t="s">
        <v>700</v>
      </c>
      <c r="D48" t="s">
        <v>701</v>
      </c>
      <c r="G48" s="14">
        <v>37012</v>
      </c>
    </row>
    <row r="49" spans="1:7">
      <c r="G49" s="15"/>
    </row>
    <row r="50" spans="1:7">
      <c r="A50" s="8" t="s">
        <v>702</v>
      </c>
      <c r="D50" t="s">
        <v>703</v>
      </c>
    </row>
    <row r="52" spans="1:7" ht="12" hidden="1" customHeight="1">
      <c r="A52" s="8" t="s">
        <v>704</v>
      </c>
      <c r="D52" t="s">
        <v>705</v>
      </c>
    </row>
    <row r="53" spans="1:7">
      <c r="A53" s="11" t="s">
        <v>706</v>
      </c>
      <c r="D53" t="s">
        <v>703</v>
      </c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37"/>
  <sheetViews>
    <sheetView showGridLines="0" zoomScale="75" workbookViewId="0"/>
  </sheetViews>
  <sheetFormatPr defaultColWidth="9.109375" defaultRowHeight="13.2"/>
  <cols>
    <col min="1" max="16384" width="9.109375" style="30"/>
  </cols>
  <sheetData>
    <row r="1" spans="1:44" s="17" customFormat="1" ht="15.6">
      <c r="A1" s="16" t="str">
        <f>Scope!A1</f>
        <v>City of Austin 4 x LM6000 Power Project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44" s="17" customFormat="1" ht="15.6">
      <c r="A2" s="16" t="s">
        <v>707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44" s="17" customFormat="1" ht="15.6">
      <c r="A3" s="16"/>
      <c r="B3" s="16"/>
      <c r="C3" s="16"/>
      <c r="D3" s="16"/>
      <c r="E3" s="16"/>
      <c r="F3" s="16"/>
      <c r="G3" s="16"/>
      <c r="H3" s="16"/>
      <c r="I3" s="18"/>
      <c r="J3" s="18"/>
      <c r="K3" s="18"/>
    </row>
    <row r="4" spans="1:44" s="24" customFormat="1">
      <c r="A4" s="19" t="s">
        <v>708</v>
      </c>
      <c r="B4" s="20"/>
      <c r="C4" s="21"/>
      <c r="D4" s="22"/>
      <c r="E4" s="22"/>
      <c r="F4" s="22"/>
      <c r="G4" s="22"/>
      <c r="H4" s="22"/>
      <c r="I4" s="22"/>
      <c r="J4" s="22"/>
      <c r="K4" s="22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spans="1:44" s="24" customFormat="1">
      <c r="A5" s="458" t="s">
        <v>709</v>
      </c>
      <c r="B5" s="457"/>
      <c r="C5" s="457"/>
      <c r="D5" s="457"/>
      <c r="E5" s="457"/>
      <c r="F5" s="457"/>
      <c r="G5" s="457"/>
      <c r="H5" s="457"/>
      <c r="I5" s="457"/>
      <c r="J5" s="457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</row>
    <row r="6" spans="1:44" s="24" customFormat="1">
      <c r="A6" s="457"/>
      <c r="B6" s="457"/>
      <c r="C6" s="457"/>
      <c r="D6" s="457"/>
      <c r="E6" s="457"/>
      <c r="F6" s="457"/>
      <c r="G6" s="457"/>
      <c r="H6" s="457"/>
      <c r="I6" s="457"/>
      <c r="J6" s="457"/>
      <c r="K6" s="22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spans="1:44" s="24" customFormat="1">
      <c r="A7" s="25" t="s">
        <v>710</v>
      </c>
      <c r="B7" s="26"/>
      <c r="C7" s="21"/>
      <c r="D7" s="22"/>
      <c r="E7" s="22"/>
      <c r="F7" s="22"/>
      <c r="G7" s="22"/>
      <c r="H7" s="22"/>
      <c r="I7" s="22"/>
      <c r="J7" s="22"/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spans="1:44" s="24" customFormat="1">
      <c r="A8" s="25" t="s">
        <v>711</v>
      </c>
      <c r="B8" s="26"/>
      <c r="C8" s="21"/>
      <c r="D8" s="22"/>
      <c r="E8" s="22"/>
      <c r="F8" s="22"/>
      <c r="G8" s="22"/>
      <c r="H8" s="22"/>
      <c r="I8" s="22"/>
      <c r="J8" s="22"/>
      <c r="K8" s="2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spans="1:44" s="24" customFormat="1">
      <c r="A9" s="25" t="s">
        <v>712</v>
      </c>
      <c r="B9" s="26"/>
      <c r="C9" s="21"/>
      <c r="D9" s="22"/>
      <c r="E9" s="22"/>
      <c r="F9" s="22"/>
      <c r="G9" s="22"/>
      <c r="H9" s="22"/>
      <c r="I9" s="22"/>
      <c r="J9" s="22"/>
      <c r="K9" s="2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spans="1:44" s="24" customFormat="1">
      <c r="A10" s="25" t="s">
        <v>713</v>
      </c>
      <c r="B10" s="26"/>
      <c r="C10" s="21"/>
      <c r="D10" s="22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4" s="24" customFormat="1">
      <c r="A11" s="25" t="s">
        <v>714</v>
      </c>
      <c r="B11" s="26"/>
      <c r="C11" s="21"/>
      <c r="D11" s="22"/>
      <c r="E11" s="22"/>
      <c r="F11" s="22"/>
      <c r="G11" s="22"/>
      <c r="H11" s="22"/>
      <c r="I11" s="22"/>
      <c r="J11" s="22"/>
      <c r="K11" s="22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s="24" customFormat="1">
      <c r="A12" s="25" t="s">
        <v>715</v>
      </c>
      <c r="B12" s="26"/>
      <c r="C12" s="21"/>
      <c r="D12" s="22"/>
      <c r="E12" s="22"/>
      <c r="F12" s="22"/>
      <c r="G12" s="22"/>
      <c r="H12" s="22"/>
      <c r="I12" s="22"/>
      <c r="J12" s="22"/>
      <c r="K12" s="2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</row>
    <row r="13" spans="1:44" s="24" customFormat="1">
      <c r="A13" s="25" t="s">
        <v>716</v>
      </c>
      <c r="B13" s="13"/>
      <c r="C13" s="21"/>
      <c r="D13" s="22"/>
      <c r="E13" s="22"/>
      <c r="F13" s="22"/>
      <c r="G13" s="22"/>
      <c r="H13" s="22"/>
      <c r="I13" s="22"/>
      <c r="J13" s="22"/>
      <c r="K13" s="22"/>
      <c r="L13" s="27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</row>
    <row r="14" spans="1:44" s="24" customFormat="1">
      <c r="A14" s="25" t="s">
        <v>717</v>
      </c>
      <c r="B14" s="13"/>
      <c r="C14" s="21"/>
      <c r="D14" s="22"/>
      <c r="E14" s="22"/>
      <c r="F14" s="22"/>
      <c r="G14" s="22"/>
      <c r="H14" s="22"/>
      <c r="I14" s="22"/>
      <c r="J14" s="22"/>
      <c r="K14" s="2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spans="1:44" s="24" customFormat="1">
      <c r="A15" s="25" t="s">
        <v>718</v>
      </c>
      <c r="B15" s="13"/>
      <c r="C15" s="21"/>
      <c r="D15" s="22"/>
      <c r="E15" s="22"/>
      <c r="F15" s="22"/>
      <c r="G15" s="22"/>
      <c r="H15" s="22"/>
      <c r="I15" s="22"/>
      <c r="J15" s="22"/>
      <c r="K15" s="22"/>
      <c r="L15" s="28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spans="1:44" s="24" customFormat="1">
      <c r="A16" s="458" t="s">
        <v>719</v>
      </c>
      <c r="B16" s="457"/>
      <c r="C16" s="457"/>
      <c r="D16" s="457"/>
      <c r="E16" s="457"/>
      <c r="F16" s="457"/>
      <c r="G16" s="457"/>
      <c r="H16" s="457"/>
      <c r="I16" s="457"/>
      <c r="J16" s="457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spans="1:44" s="24" customFormat="1">
      <c r="A17" s="457"/>
      <c r="B17" s="457"/>
      <c r="C17" s="457"/>
      <c r="D17" s="457"/>
      <c r="E17" s="457"/>
      <c r="F17" s="457"/>
      <c r="G17" s="457"/>
      <c r="H17" s="457"/>
      <c r="I17" s="457"/>
      <c r="J17" s="457"/>
      <c r="K17" s="2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spans="1:44" s="24" customFormat="1">
      <c r="A18" s="458" t="s">
        <v>720</v>
      </c>
      <c r="B18" s="457"/>
      <c r="C18" s="457"/>
      <c r="D18" s="457"/>
      <c r="E18" s="457"/>
      <c r="F18" s="457"/>
      <c r="G18" s="457"/>
      <c r="H18" s="457"/>
      <c r="I18" s="457"/>
      <c r="J18" s="457"/>
      <c r="K18" s="2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</row>
    <row r="19" spans="1:44" s="24" customFormat="1">
      <c r="A19" s="457"/>
      <c r="B19" s="457"/>
      <c r="C19" s="457"/>
      <c r="D19" s="457"/>
      <c r="E19" s="457"/>
      <c r="F19" s="457"/>
      <c r="G19" s="457"/>
      <c r="H19" s="457"/>
      <c r="I19" s="457"/>
      <c r="J19" s="457"/>
      <c r="K19" s="2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</row>
    <row r="20" spans="1:44" s="24" customFormat="1">
      <c r="A20" s="13" t="s">
        <v>330</v>
      </c>
      <c r="B20" s="26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</row>
    <row r="21" spans="1:44" s="24" customFormat="1">
      <c r="A21" s="29" t="s">
        <v>721</v>
      </c>
      <c r="B21" s="26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</row>
    <row r="22" spans="1:44" s="24" customFormat="1">
      <c r="A22" s="13" t="s">
        <v>722</v>
      </c>
      <c r="B22" s="13"/>
      <c r="C22" s="21"/>
      <c r="D22" s="22"/>
      <c r="E22" s="22"/>
      <c r="F22" s="22"/>
      <c r="G22" s="22"/>
      <c r="H22" s="22"/>
      <c r="I22" s="22"/>
      <c r="J22" s="22"/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</row>
    <row r="23" spans="1:44" s="24" customFormat="1">
      <c r="A23" s="458" t="s">
        <v>723</v>
      </c>
      <c r="B23" s="457"/>
      <c r="C23" s="457"/>
      <c r="D23" s="457"/>
      <c r="E23" s="457"/>
      <c r="F23" s="457"/>
      <c r="G23" s="457"/>
      <c r="H23" s="457"/>
      <c r="I23" s="457"/>
      <c r="J23" s="457"/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</row>
    <row r="24" spans="1:44" s="24" customFormat="1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</row>
    <row r="25" spans="1:44" s="24" customFormat="1">
      <c r="A25" s="458" t="s">
        <v>724</v>
      </c>
      <c r="B25" s="457"/>
      <c r="C25" s="457"/>
      <c r="D25" s="457"/>
      <c r="E25" s="457"/>
      <c r="F25" s="457"/>
      <c r="G25" s="457"/>
      <c r="H25" s="457"/>
      <c r="I25" s="457"/>
      <c r="J25" s="457"/>
      <c r="K25" s="22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</row>
    <row r="26" spans="1:44" s="24" customFormat="1">
      <c r="A26" s="457"/>
      <c r="B26" s="457"/>
      <c r="C26" s="457"/>
      <c r="D26" s="457"/>
      <c r="E26" s="457"/>
      <c r="F26" s="457"/>
      <c r="G26" s="457"/>
      <c r="H26" s="457"/>
      <c r="I26" s="457"/>
      <c r="J26" s="457"/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</row>
    <row r="27" spans="1:44" s="24" customFormat="1">
      <c r="A27" s="25" t="s">
        <v>725</v>
      </c>
      <c r="B27" s="22"/>
      <c r="C27" s="21"/>
      <c r="D27" s="22"/>
      <c r="E27" s="22"/>
      <c r="F27" s="22"/>
      <c r="G27" s="22"/>
      <c r="H27" s="22"/>
      <c r="I27" s="22"/>
      <c r="J27" s="22"/>
      <c r="K27" s="2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</row>
    <row r="28" spans="1:44" s="24" customFormat="1">
      <c r="A28" s="22" t="s">
        <v>726</v>
      </c>
      <c r="B28" s="21"/>
      <c r="C28" s="21"/>
      <c r="D28" s="22"/>
      <c r="E28" s="22"/>
      <c r="F28" s="22"/>
      <c r="G28" s="22"/>
      <c r="H28" s="22"/>
      <c r="I28" s="22"/>
      <c r="J28" s="22"/>
      <c r="K28" s="22"/>
      <c r="L28" s="23"/>
      <c r="M28" s="27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</row>
    <row r="29" spans="1:44">
      <c r="A29" s="30" t="s">
        <v>727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spans="1:44">
      <c r="A30" s="458" t="s">
        <v>728</v>
      </c>
      <c r="B30" s="457"/>
      <c r="C30" s="457"/>
      <c r="D30" s="457"/>
      <c r="E30" s="457"/>
      <c r="F30" s="457"/>
      <c r="G30" s="457"/>
      <c r="H30" s="457"/>
      <c r="I30" s="457"/>
      <c r="J30" s="45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</row>
    <row r="31" spans="1:44">
      <c r="A31" s="457"/>
      <c r="B31" s="457"/>
      <c r="C31" s="457"/>
      <c r="D31" s="457"/>
      <c r="E31" s="457"/>
      <c r="F31" s="457"/>
      <c r="G31" s="457"/>
      <c r="H31" s="457"/>
      <c r="I31" s="457"/>
      <c r="J31" s="45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</row>
    <row r="32" spans="1:44">
      <c r="A32" s="25" t="s">
        <v>729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</row>
    <row r="33" spans="1:44">
      <c r="A33" s="25" t="s">
        <v>730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4" spans="1:44">
      <c r="A34" s="25" t="s">
        <v>731</v>
      </c>
      <c r="B34" s="21" t="s">
        <v>732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</row>
    <row r="35" spans="1:44">
      <c r="A35" s="25"/>
      <c r="B35" s="21" t="s">
        <v>733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</row>
    <row r="36" spans="1:44">
      <c r="A36" s="25"/>
      <c r="B36" s="21" t="s">
        <v>734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spans="1:44">
      <c r="A37" s="25"/>
      <c r="B37" s="21" t="s">
        <v>735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spans="1:44">
      <c r="A38" s="25"/>
      <c r="B38" s="21" t="s">
        <v>736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spans="1:44">
      <c r="A39" s="25"/>
      <c r="B39" s="21" t="s">
        <v>737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spans="1:44">
      <c r="A40" s="25"/>
      <c r="B40" s="21" t="s">
        <v>738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spans="1:44">
      <c r="A41" s="25"/>
      <c r="B41" s="21" t="s">
        <v>739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</row>
    <row r="42" spans="1:44">
      <c r="A42" s="25"/>
      <c r="B42" s="21" t="s">
        <v>740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>
      <c r="A43" s="25"/>
      <c r="B43" s="21" t="s">
        <v>741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>
      <c r="A44" s="25"/>
      <c r="B44" s="21" t="s">
        <v>742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4">
      <c r="A45" s="19" t="s">
        <v>567</v>
      </c>
      <c r="B45" s="26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4">
      <c r="A46" s="25"/>
      <c r="B46" s="31" t="s">
        <v>743</v>
      </c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4">
      <c r="A47" s="25"/>
      <c r="B47" s="31" t="s">
        <v>744</v>
      </c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4">
      <c r="A48" s="25"/>
      <c r="B48" s="31" t="s">
        <v>745</v>
      </c>
      <c r="C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spans="1:44">
      <c r="A49" s="25"/>
      <c r="B49" s="31" t="s">
        <v>746</v>
      </c>
      <c r="C49" s="2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spans="1:44">
      <c r="A50" s="25"/>
      <c r="B50" s="31" t="s">
        <v>747</v>
      </c>
      <c r="C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>
      <c r="A51" s="25"/>
      <c r="B51" s="31" t="s">
        <v>748</v>
      </c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spans="1:44">
      <c r="A52" s="13"/>
      <c r="B52" s="11" t="s">
        <v>749</v>
      </c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spans="1:44" s="13" customFormat="1">
      <c r="B53" s="11" t="s">
        <v>750</v>
      </c>
      <c r="C53" s="21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spans="1:44">
      <c r="A54" s="13"/>
      <c r="B54" s="11" t="s">
        <v>751</v>
      </c>
      <c r="C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</row>
    <row r="55" spans="1:44">
      <c r="A55" s="22"/>
      <c r="B55" s="32" t="s">
        <v>752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 spans="1:44">
      <c r="A56" s="22"/>
      <c r="B56" s="32" t="s">
        <v>753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spans="1:44">
      <c r="A57" s="22"/>
      <c r="B57" s="32" t="s">
        <v>321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spans="1:44">
      <c r="A58" s="3" t="s">
        <v>332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spans="1:44">
      <c r="A59" s="22" t="s">
        <v>754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spans="1:44">
      <c r="A60" s="22" t="s">
        <v>755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spans="1:44">
      <c r="A61" s="456" t="s">
        <v>331</v>
      </c>
      <c r="B61" s="457"/>
      <c r="C61" s="457"/>
      <c r="D61" s="457"/>
      <c r="E61" s="457"/>
      <c r="F61" s="457"/>
      <c r="G61" s="457"/>
      <c r="H61" s="457"/>
      <c r="I61" s="457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spans="1:44">
      <c r="A62" s="457"/>
      <c r="B62" s="457"/>
      <c r="C62" s="457"/>
      <c r="D62" s="457"/>
      <c r="E62" s="457"/>
      <c r="F62" s="457"/>
      <c r="G62" s="457"/>
      <c r="H62" s="457"/>
      <c r="I62" s="457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spans="1:44">
      <c r="A63" s="22" t="s">
        <v>756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spans="1:44">
      <c r="A64" s="22" t="s">
        <v>333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spans="1:44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spans="1:44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spans="1:4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spans="1:44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spans="1:44">
      <c r="A69" s="3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spans="1:44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spans="1:44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spans="1:44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</row>
    <row r="73" spans="1:44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spans="1:4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spans="1:44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spans="1:44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spans="1:44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spans="1:44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spans="1:44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spans="1:44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spans="1:44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spans="1:44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spans="1:44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spans="1:4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spans="1:44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</row>
    <row r="86" spans="1:44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</row>
    <row r="87" spans="1:44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</row>
    <row r="88" spans="1:44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</row>
    <row r="89" spans="1:44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</row>
    <row r="90" spans="1:44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spans="1:44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</row>
    <row r="92" spans="1:44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</row>
    <row r="93" spans="1:44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</row>
    <row r="94" spans="1:4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</row>
    <row r="95" spans="1:44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</row>
    <row r="96" spans="1:44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</row>
    <row r="97" spans="1:44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spans="1:44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spans="1:44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spans="1:44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</row>
    <row r="101" spans="1:44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</row>
    <row r="102" spans="1:44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</row>
    <row r="103" spans="1:44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</row>
    <row r="104" spans="1:4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</row>
    <row r="105" spans="1:44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</row>
    <row r="106" spans="1:44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</row>
    <row r="107" spans="1:44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</row>
    <row r="108" spans="1:44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</row>
    <row r="109" spans="1:44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</row>
    <row r="110" spans="1:44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</row>
    <row r="111" spans="1:44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</row>
    <row r="112" spans="1:44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</row>
    <row r="113" spans="1:44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</row>
    <row r="114" spans="1:4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</row>
    <row r="115" spans="1:44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</row>
    <row r="116" spans="1:44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</row>
    <row r="117" spans="1:44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</row>
    <row r="118" spans="1:44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</row>
    <row r="119" spans="1:44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</row>
    <row r="120" spans="1:44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</row>
    <row r="121" spans="1:44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</row>
    <row r="122" spans="1:44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</row>
    <row r="123" spans="1:44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</row>
    <row r="124" spans="1:4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</row>
    <row r="125" spans="1:44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</row>
    <row r="126" spans="1:44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</row>
    <row r="127" spans="1:44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</row>
    <row r="128" spans="1:44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</row>
    <row r="129" spans="1:44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</row>
    <row r="130" spans="1:44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</row>
    <row r="131" spans="1:44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</row>
    <row r="132" spans="1:44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</row>
    <row r="133" spans="1:44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</row>
    <row r="134" spans="1:4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</row>
    <row r="135" spans="1:44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</row>
    <row r="136" spans="1:44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</row>
    <row r="137" spans="1:44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</row>
    <row r="138" spans="1:44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</row>
    <row r="139" spans="1:44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</row>
    <row r="140" spans="1:44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</row>
    <row r="141" spans="1:44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</row>
    <row r="142" spans="1:44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</row>
    <row r="143" spans="1:44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</row>
    <row r="144" spans="1: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</row>
    <row r="145" spans="1:44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</row>
    <row r="146" spans="1:44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</row>
    <row r="147" spans="1:44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</row>
    <row r="148" spans="1:44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</row>
    <row r="149" spans="1:44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</row>
    <row r="150" spans="1:44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</row>
    <row r="151" spans="1:44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</row>
    <row r="152" spans="1:44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</row>
    <row r="153" spans="1:44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</row>
    <row r="154" spans="1:4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</row>
    <row r="155" spans="1:44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</row>
    <row r="156" spans="1:44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</row>
    <row r="157" spans="1:44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</row>
    <row r="158" spans="1:44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</row>
    <row r="159" spans="1:44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</row>
    <row r="160" spans="1:44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</row>
    <row r="161" spans="1:44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</row>
    <row r="162" spans="1:44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</row>
    <row r="163" spans="1:44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</row>
    <row r="164" spans="1:4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</row>
    <row r="165" spans="1:44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</row>
    <row r="166" spans="1:44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</row>
    <row r="167" spans="1:44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</row>
    <row r="168" spans="1:44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</row>
    <row r="169" spans="1:44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</row>
    <row r="170" spans="1:44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</row>
    <row r="171" spans="1:44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</row>
    <row r="172" spans="1:44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</row>
    <row r="173" spans="1:44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</row>
    <row r="174" spans="1:4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</row>
    <row r="175" spans="1:44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</row>
    <row r="176" spans="1:44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</row>
    <row r="177" spans="1:44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</row>
    <row r="178" spans="1:44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</row>
    <row r="179" spans="1:44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</row>
    <row r="180" spans="1:44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</row>
    <row r="181" spans="1:44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</row>
    <row r="182" spans="1:44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</row>
    <row r="183" spans="1:44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</row>
    <row r="184" spans="1:4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</row>
    <row r="185" spans="1:44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</row>
    <row r="186" spans="1:44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</row>
    <row r="187" spans="1:44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</row>
    <row r="188" spans="1:44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</row>
    <row r="189" spans="1:44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</row>
    <row r="190" spans="1:44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</row>
    <row r="191" spans="1:44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</row>
    <row r="192" spans="1:44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</row>
    <row r="193" spans="1:44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</row>
    <row r="194" spans="1:4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</row>
    <row r="195" spans="1:44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</row>
    <row r="196" spans="1:44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</row>
    <row r="197" spans="1:44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</row>
    <row r="198" spans="1:44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</row>
    <row r="199" spans="1:44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</row>
    <row r="200" spans="1:44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</row>
    <row r="201" spans="1:44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</row>
    <row r="202" spans="1:44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</row>
    <row r="203" spans="1:44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</row>
    <row r="204" spans="1:4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</row>
    <row r="205" spans="1:44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</row>
    <row r="206" spans="1:44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</row>
    <row r="207" spans="1:44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</row>
    <row r="208" spans="1:44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</row>
    <row r="209" spans="1:44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</row>
    <row r="210" spans="1:44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</row>
    <row r="211" spans="1:44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</row>
    <row r="212" spans="1:44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</row>
    <row r="213" spans="1:44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</row>
    <row r="214" spans="1:4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</row>
    <row r="215" spans="1:44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</row>
    <row r="216" spans="1:44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</row>
    <row r="217" spans="1:44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</row>
    <row r="218" spans="1:44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</row>
    <row r="219" spans="1:44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</row>
    <row r="220" spans="1:44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</row>
    <row r="221" spans="1:44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</row>
    <row r="222" spans="1:44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</row>
    <row r="223" spans="1:44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</row>
    <row r="224" spans="1:4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</row>
    <row r="225" spans="1:44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</row>
    <row r="226" spans="1:44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</row>
    <row r="227" spans="1:44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</row>
    <row r="228" spans="1:44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</row>
    <row r="229" spans="1:44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</row>
    <row r="230" spans="1:44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</row>
    <row r="231" spans="1:44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</row>
    <row r="232" spans="1:44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</row>
    <row r="233" spans="1:44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</row>
    <row r="234" spans="1:4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</row>
    <row r="235" spans="1:44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</row>
    <row r="236" spans="1:44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</row>
    <row r="237" spans="1:44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</row>
    <row r="238" spans="1:44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</row>
    <row r="239" spans="1:44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</row>
    <row r="240" spans="1:44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</row>
    <row r="241" spans="1:44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</row>
    <row r="242" spans="1:44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</row>
    <row r="243" spans="1:44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</row>
    <row r="244" spans="1: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</row>
    <row r="245" spans="1:44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</row>
    <row r="246" spans="1:44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</row>
    <row r="247" spans="1:44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</row>
    <row r="248" spans="1:44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</row>
    <row r="249" spans="1:44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</row>
    <row r="250" spans="1:44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</row>
    <row r="251" spans="1:44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</row>
    <row r="252" spans="1:44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</row>
    <row r="253" spans="1:44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</row>
    <row r="254" spans="1:4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</row>
    <row r="255" spans="1:44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</row>
    <row r="256" spans="1:44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</row>
    <row r="257" spans="1:44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</row>
    <row r="258" spans="1:44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</row>
    <row r="259" spans="1:44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</row>
    <row r="260" spans="1:44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</row>
    <row r="261" spans="1:44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</row>
    <row r="262" spans="1:44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</row>
    <row r="263" spans="1:44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</row>
    <row r="264" spans="1:4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</row>
    <row r="265" spans="1:44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</row>
    <row r="266" spans="1:44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</row>
    <row r="267" spans="1:44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</row>
    <row r="268" spans="1:44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</row>
    <row r="269" spans="1:44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</row>
    <row r="270" spans="1:44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</row>
    <row r="271" spans="1:44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</row>
    <row r="272" spans="1:44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</row>
    <row r="273" spans="1:44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</row>
    <row r="274" spans="1:4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</row>
    <row r="275" spans="1:44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</row>
    <row r="276" spans="1:44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</row>
    <row r="277" spans="1:44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</row>
    <row r="278" spans="1:44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</row>
    <row r="279" spans="1:44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</row>
    <row r="280" spans="1:44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</row>
    <row r="281" spans="1:44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</row>
    <row r="282" spans="1:44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</row>
    <row r="283" spans="1:44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</row>
    <row r="284" spans="1:4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</row>
    <row r="285" spans="1:44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</row>
    <row r="286" spans="1:44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</row>
    <row r="287" spans="1:44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</row>
    <row r="288" spans="1:44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</row>
    <row r="289" spans="1:44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</row>
    <row r="290" spans="1:44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</row>
    <row r="291" spans="1:44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</row>
    <row r="292" spans="1:44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</row>
    <row r="293" spans="1:44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</row>
    <row r="294" spans="1:4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</row>
    <row r="295" spans="1:44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</row>
    <row r="296" spans="1:44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</row>
    <row r="297" spans="1:44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</row>
    <row r="298" spans="1:44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</row>
    <row r="299" spans="1:44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</row>
    <row r="300" spans="1:44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</row>
    <row r="301" spans="1:44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</row>
    <row r="302" spans="1:44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</row>
    <row r="303" spans="1:44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</row>
    <row r="304" spans="1:4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</row>
    <row r="305" spans="1:44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</row>
    <row r="306" spans="1:44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</row>
    <row r="307" spans="1:44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</row>
    <row r="308" spans="1:44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</row>
    <row r="309" spans="1:44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</row>
    <row r="310" spans="1:44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</row>
    <row r="311" spans="1:44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</row>
    <row r="312" spans="1:44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</row>
    <row r="313" spans="1:44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</row>
    <row r="314" spans="1:4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</row>
    <row r="315" spans="1:44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</row>
    <row r="316" spans="1:44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</row>
    <row r="317" spans="1:44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</row>
    <row r="318" spans="1:44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</row>
    <row r="319" spans="1:44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</row>
    <row r="320" spans="1:44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</row>
    <row r="321" spans="1:44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</row>
    <row r="322" spans="1:44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</row>
    <row r="323" spans="1:44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</row>
    <row r="324" spans="1:4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</row>
    <row r="325" spans="1:44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</row>
    <row r="326" spans="1:44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</row>
    <row r="327" spans="1:44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</row>
    <row r="328" spans="1:44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</row>
    <row r="329" spans="1:44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</row>
    <row r="330" spans="1:44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</row>
    <row r="331" spans="1:44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</row>
    <row r="332" spans="1:44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</row>
    <row r="333" spans="1:44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</row>
    <row r="334" spans="1:4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</row>
    <row r="335" spans="1:44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</row>
    <row r="336" spans="1:44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</row>
    <row r="337" spans="1:44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</row>
  </sheetData>
  <mergeCells count="7">
    <mergeCell ref="A61:I62"/>
    <mergeCell ref="A5:J6"/>
    <mergeCell ref="A18:J19"/>
    <mergeCell ref="A25:J26"/>
    <mergeCell ref="A23:J24"/>
    <mergeCell ref="A30:J31"/>
    <mergeCell ref="A16:J17"/>
  </mergeCells>
  <printOptions horizontalCentered="1"/>
  <pageMargins left="0.75" right="0.75" top="1" bottom="1" header="0.5" footer="0.5"/>
  <pageSetup scale="76" firstPageNumber="2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"/>
  <sheetViews>
    <sheetView showGridLines="0" workbookViewId="0"/>
  </sheetViews>
  <sheetFormatPr defaultRowHeight="13.2"/>
  <sheetData>
    <row r="1" spans="1:1">
      <c r="A1" s="438" t="str">
        <f>'Table of Contents'!A1</f>
        <v>City of Austin 4 x LM6000 Power Project</v>
      </c>
    </row>
    <row r="2" spans="1:1">
      <c r="A2" s="11" t="s">
        <v>566</v>
      </c>
    </row>
  </sheetData>
  <pageMargins left="0.75" right="0.75" top="1" bottom="1" header="0.5" footer="0.5"/>
  <pageSetup orientation="portrait" horizontalDpi="300" verticalDpi="300" r:id="rId1"/>
  <headerFooter alignWithMargins="0">
    <oddFooter>&amp;LScot Chambers
&amp;D&amp;R&amp;F
&amp;A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6</xdr:col>
                <xdr:colOff>175260</xdr:colOff>
                <xdr:row>26</xdr:row>
                <xdr:rowOff>68580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03"/>
  <sheetViews>
    <sheetView topLeftCell="A11" zoomScale="80" workbookViewId="0">
      <selection activeCell="C60" sqref="C60"/>
    </sheetView>
  </sheetViews>
  <sheetFormatPr defaultColWidth="9.109375" defaultRowHeight="13.2"/>
  <cols>
    <col min="1" max="1" width="4.6640625" style="73" customWidth="1"/>
    <col min="2" max="2" width="46.33203125" style="73" customWidth="1"/>
    <col min="3" max="3" width="9.109375" style="73"/>
    <col min="4" max="4" width="3.33203125" style="73" customWidth="1"/>
    <col min="5" max="5" width="11.109375" style="73" customWidth="1"/>
    <col min="6" max="8" width="11.33203125" style="73" customWidth="1"/>
    <col min="9" max="9" width="16" style="73" bestFit="1" customWidth="1"/>
    <col min="10" max="10" width="14.44140625" style="73" bestFit="1" customWidth="1"/>
    <col min="11" max="11" width="14.88671875" style="73" bestFit="1" customWidth="1"/>
    <col min="12" max="12" width="14.44140625" style="73" bestFit="1" customWidth="1"/>
    <col min="13" max="13" width="9.109375" style="73"/>
    <col min="14" max="16384" width="9.109375" style="74"/>
  </cols>
  <sheetData>
    <row r="1" spans="1:13" s="34" customFormat="1" ht="15.6">
      <c r="A1" s="461" t="str">
        <f>Scope!A1</f>
        <v>City of Austin 4 x LM6000 Power Project</v>
      </c>
      <c r="B1" s="461"/>
      <c r="C1" s="461"/>
      <c r="D1" s="461"/>
      <c r="E1" s="461"/>
      <c r="F1" s="461"/>
      <c r="G1" s="461"/>
      <c r="H1" s="461"/>
      <c r="I1" s="461"/>
    </row>
    <row r="2" spans="1:13" s="34" customFormat="1" ht="15.6">
      <c r="A2" s="461" t="s">
        <v>638</v>
      </c>
      <c r="B2" s="461"/>
      <c r="C2" s="461"/>
      <c r="D2" s="461"/>
      <c r="E2" s="461"/>
      <c r="F2" s="461"/>
      <c r="G2" s="461"/>
      <c r="H2" s="461"/>
      <c r="I2" s="461"/>
    </row>
    <row r="3" spans="1:13" s="34" customFormat="1" ht="15.6">
      <c r="A3" s="461" t="s">
        <v>757</v>
      </c>
      <c r="B3" s="461"/>
      <c r="C3" s="461"/>
      <c r="D3" s="461"/>
      <c r="E3" s="461"/>
      <c r="F3" s="461"/>
      <c r="G3" s="461"/>
      <c r="H3" s="461"/>
      <c r="I3" s="461"/>
    </row>
    <row r="4" spans="1:13" s="34" customFormat="1" ht="15.6">
      <c r="A4" s="4"/>
      <c r="B4" s="4"/>
      <c r="C4" s="4"/>
      <c r="D4" s="4"/>
      <c r="E4" s="4"/>
      <c r="F4" s="4"/>
      <c r="G4" s="4"/>
      <c r="H4" s="4"/>
    </row>
    <row r="5" spans="1:13" s="34" customFormat="1" ht="16.2" thickBot="1">
      <c r="A5" s="35" t="s">
        <v>758</v>
      </c>
      <c r="E5" s="36"/>
    </row>
    <row r="6" spans="1:13" s="34" customFormat="1" ht="13.8" thickBot="1">
      <c r="B6" s="37"/>
      <c r="C6" s="38"/>
      <c r="D6" s="37"/>
      <c r="E6" s="39" t="s">
        <v>759</v>
      </c>
      <c r="F6" s="37"/>
      <c r="G6" s="39" t="s">
        <v>327</v>
      </c>
    </row>
    <row r="7" spans="1:13" s="34" customFormat="1">
      <c r="A7" s="40" t="s">
        <v>760</v>
      </c>
      <c r="B7" s="41"/>
      <c r="C7" s="42"/>
      <c r="D7" s="41"/>
      <c r="E7" s="43"/>
      <c r="F7" s="3"/>
      <c r="G7" s="43"/>
      <c r="H7" s="3"/>
      <c r="I7" s="3"/>
      <c r="J7" s="3"/>
    </row>
    <row r="8" spans="1:13" s="34" customFormat="1">
      <c r="A8" s="40"/>
      <c r="B8" s="41" t="s">
        <v>761</v>
      </c>
      <c r="C8" s="41"/>
      <c r="D8" s="41"/>
      <c r="E8" s="44">
        <f>Mob_Estimate!D6</f>
        <v>0</v>
      </c>
      <c r="F8" s="45"/>
      <c r="G8" s="44"/>
      <c r="H8" s="3"/>
      <c r="I8" s="3"/>
      <c r="J8" s="3"/>
    </row>
    <row r="9" spans="1:13" s="34" customFormat="1">
      <c r="A9" s="40"/>
      <c r="B9" s="41" t="s">
        <v>762</v>
      </c>
      <c r="C9" s="41"/>
      <c r="D9" s="41"/>
      <c r="E9" s="44">
        <f>Mob_Estimate!D8</f>
        <v>117282.88608738461</v>
      </c>
      <c r="F9" s="45"/>
      <c r="G9" s="44"/>
      <c r="H9" s="3"/>
      <c r="I9" s="3"/>
      <c r="J9" s="3"/>
    </row>
    <row r="10" spans="1:13" s="34" customFormat="1">
      <c r="A10" s="3"/>
      <c r="B10" s="41" t="s">
        <v>763</v>
      </c>
      <c r="C10" s="41"/>
      <c r="D10" s="41"/>
      <c r="E10" s="44">
        <f>Mob_Estimate!D24</f>
        <v>159887.71428571429</v>
      </c>
      <c r="F10" s="45"/>
      <c r="G10" s="44"/>
      <c r="H10" s="3"/>
      <c r="I10" s="3"/>
      <c r="J10" s="3"/>
    </row>
    <row r="11" spans="1:13" s="34" customFormat="1">
      <c r="A11" s="3"/>
      <c r="B11" s="41" t="s">
        <v>764</v>
      </c>
      <c r="C11" s="41"/>
      <c r="D11" s="41"/>
      <c r="E11" s="44">
        <f>Mob_Estimate!D36</f>
        <v>126394.75</v>
      </c>
      <c r="F11" s="45"/>
      <c r="G11" s="44"/>
      <c r="H11" s="3"/>
      <c r="I11" s="3"/>
      <c r="J11" s="3"/>
    </row>
    <row r="12" spans="1:13" s="34" customFormat="1">
      <c r="A12" s="3"/>
      <c r="B12" s="41"/>
      <c r="C12" s="41"/>
      <c r="D12" s="41"/>
      <c r="E12" s="44"/>
      <c r="F12" s="45"/>
      <c r="G12" s="44"/>
      <c r="H12" s="3"/>
      <c r="I12" s="3"/>
      <c r="J12" s="3"/>
    </row>
    <row r="13" spans="1:13" s="34" customFormat="1" ht="13.8" thickBot="1">
      <c r="A13" s="3"/>
      <c r="B13" s="46" t="s">
        <v>765</v>
      </c>
      <c r="C13" s="41"/>
      <c r="D13" s="41"/>
      <c r="E13" s="47">
        <f>SUBTOTAL(9,E7:E11)</f>
        <v>403565.35037309892</v>
      </c>
      <c r="F13" s="45"/>
      <c r="G13" s="454">
        <f>E13/180000</f>
        <v>2.2420297242949938</v>
      </c>
      <c r="H13" s="3"/>
      <c r="I13" s="3"/>
      <c r="J13" s="3"/>
    </row>
    <row r="14" spans="1:13" s="34" customFormat="1" ht="13.8" thickBot="1">
      <c r="A14" s="3"/>
      <c r="B14" s="46"/>
      <c r="C14" s="46"/>
      <c r="D14" s="46"/>
      <c r="E14" s="48"/>
      <c r="F14" s="49"/>
      <c r="G14" s="48"/>
      <c r="H14" s="37"/>
      <c r="I14" s="3"/>
      <c r="J14" s="3"/>
      <c r="K14" s="3"/>
      <c r="L14" s="3"/>
      <c r="M14" s="3"/>
    </row>
    <row r="15" spans="1:13" s="34" customFormat="1" ht="13.8" hidden="1" thickBot="1">
      <c r="A15" s="3"/>
      <c r="B15" s="40" t="s">
        <v>766</v>
      </c>
      <c r="C15" s="46"/>
      <c r="D15" s="46"/>
      <c r="E15" s="50" t="s">
        <v>767</v>
      </c>
      <c r="F15" s="49"/>
      <c r="G15" s="50"/>
      <c r="H15" s="37"/>
      <c r="I15" s="3"/>
      <c r="J15" s="3"/>
      <c r="K15" s="3"/>
      <c r="L15" s="3"/>
      <c r="M15" s="3"/>
    </row>
    <row r="16" spans="1:13" s="34" customFormat="1" ht="13.8" hidden="1" thickBot="1">
      <c r="A16" s="3"/>
      <c r="B16" s="40"/>
      <c r="C16" s="46"/>
      <c r="D16" s="46"/>
      <c r="E16" s="51"/>
      <c r="F16" s="49"/>
      <c r="G16" s="51"/>
      <c r="H16" s="37"/>
      <c r="I16" s="3"/>
      <c r="J16" s="3"/>
      <c r="K16" s="3"/>
      <c r="L16" s="3"/>
      <c r="M16" s="3"/>
    </row>
    <row r="17" spans="1:13" s="34" customFormat="1">
      <c r="A17" s="3"/>
      <c r="B17" s="40" t="s">
        <v>323</v>
      </c>
      <c r="C17" s="46"/>
      <c r="D17" s="46"/>
      <c r="E17" s="50" t="s">
        <v>767</v>
      </c>
      <c r="F17" s="49"/>
      <c r="G17" s="50"/>
      <c r="H17" s="37"/>
      <c r="I17" s="3"/>
      <c r="J17" s="3"/>
      <c r="K17" s="3"/>
      <c r="L17" s="3"/>
      <c r="M17" s="3"/>
    </row>
    <row r="18" spans="1:13" s="34" customFormat="1">
      <c r="A18" s="3"/>
      <c r="B18" s="40"/>
      <c r="C18" s="46"/>
      <c r="D18" s="46"/>
      <c r="E18" s="51"/>
      <c r="F18" s="49"/>
      <c r="G18" s="51"/>
      <c r="H18" s="37"/>
      <c r="I18" s="3"/>
      <c r="J18" s="3"/>
      <c r="K18" s="3"/>
      <c r="L18" s="3"/>
      <c r="M18" s="3"/>
    </row>
    <row r="19" spans="1:13" s="34" customFormat="1" ht="13.8" thickBot="1">
      <c r="A19" s="3"/>
      <c r="B19" s="40" t="s">
        <v>324</v>
      </c>
      <c r="C19" s="46"/>
      <c r="D19" s="46"/>
      <c r="E19" s="52" t="str">
        <f>Mob_Estimate!D45</f>
        <v>NA</v>
      </c>
      <c r="F19" s="49"/>
      <c r="G19" s="52"/>
      <c r="H19" s="37"/>
      <c r="I19" s="3"/>
      <c r="J19" s="3"/>
      <c r="K19" s="3"/>
      <c r="L19" s="3"/>
      <c r="M19" s="3"/>
    </row>
    <row r="20" spans="1:13" s="34" customFormat="1" ht="13.8" thickBot="1">
      <c r="A20" s="3"/>
      <c r="B20" s="40"/>
      <c r="C20" s="46"/>
      <c r="D20" s="46"/>
      <c r="E20" s="53"/>
      <c r="F20" s="49"/>
      <c r="G20" s="53"/>
      <c r="H20" s="37"/>
      <c r="I20" s="3"/>
      <c r="J20" s="3"/>
      <c r="K20" s="3"/>
      <c r="L20" s="3"/>
      <c r="M20" s="3"/>
    </row>
    <row r="21" spans="1:13" s="34" customFormat="1" ht="13.8" thickBot="1">
      <c r="A21" s="3"/>
      <c r="B21" s="46" t="s">
        <v>768</v>
      </c>
      <c r="C21" s="54"/>
      <c r="D21" s="46"/>
      <c r="E21" s="55">
        <f>Mob_Estimate!D47</f>
        <v>1135750</v>
      </c>
      <c r="F21" s="49"/>
      <c r="G21" s="453">
        <f>E21/180000</f>
        <v>6.3097222222222218</v>
      </c>
      <c r="K21" s="3"/>
      <c r="L21" s="3"/>
      <c r="M21" s="3"/>
    </row>
    <row r="22" spans="1:13" s="34" customFormat="1" ht="13.8" thickBot="1">
      <c r="A22" s="3"/>
      <c r="E22" s="36"/>
      <c r="F22" s="49"/>
      <c r="G22" s="36"/>
      <c r="K22" s="3"/>
      <c r="L22" s="3"/>
      <c r="M22" s="3"/>
    </row>
    <row r="23" spans="1:13" s="34" customFormat="1" ht="13.8" thickBot="1">
      <c r="A23" s="3"/>
      <c r="B23" s="40" t="s">
        <v>769</v>
      </c>
      <c r="C23" s="46"/>
      <c r="D23" s="46"/>
      <c r="E23" s="56">
        <f>Mob_Estimate!D50</f>
        <v>160000</v>
      </c>
      <c r="F23" s="49"/>
      <c r="G23" s="455">
        <f>E23/180000</f>
        <v>0.88888888888888884</v>
      </c>
      <c r="H23" s="37"/>
      <c r="I23" s="3"/>
      <c r="J23" s="3"/>
      <c r="K23" s="3"/>
      <c r="L23" s="3"/>
      <c r="M23" s="3"/>
    </row>
    <row r="24" spans="1:13" s="34" customFormat="1" ht="13.8" hidden="1" thickBot="1">
      <c r="A24" s="3"/>
      <c r="B24" s="46" t="s">
        <v>770</v>
      </c>
      <c r="C24" s="46"/>
      <c r="D24" s="46"/>
      <c r="E24" s="57"/>
      <c r="F24" s="49"/>
      <c r="G24" s="57"/>
      <c r="H24" s="37"/>
      <c r="I24" s="3"/>
      <c r="J24" s="3"/>
      <c r="K24" s="3"/>
      <c r="L24" s="3"/>
      <c r="M24" s="3"/>
    </row>
    <row r="25" spans="1:13" s="34" customFormat="1" ht="13.8" thickBot="1">
      <c r="A25" s="3"/>
      <c r="B25" s="46"/>
      <c r="C25" s="46"/>
      <c r="D25" s="46"/>
      <c r="E25" s="439"/>
      <c r="F25" s="49"/>
      <c r="G25" s="439"/>
      <c r="H25" s="37"/>
      <c r="I25" s="3"/>
      <c r="J25" s="3"/>
      <c r="K25" s="3"/>
      <c r="L25" s="3"/>
      <c r="M25" s="3"/>
    </row>
    <row r="26" spans="1:13" s="34" customFormat="1" ht="13.8" thickBot="1">
      <c r="A26" s="3"/>
      <c r="B26" s="46" t="s">
        <v>326</v>
      </c>
      <c r="C26" s="46"/>
      <c r="D26" s="46"/>
      <c r="E26" s="55">
        <f>E13+E21+E23</f>
        <v>1699315.3503730989</v>
      </c>
      <c r="F26" s="49"/>
      <c r="G26" s="453">
        <f>SUM(G13:G23)</f>
        <v>9.4406408354061053</v>
      </c>
      <c r="H26" s="440"/>
      <c r="I26" s="3"/>
      <c r="J26" s="3"/>
      <c r="K26" s="3"/>
      <c r="L26" s="3"/>
      <c r="M26" s="3"/>
    </row>
    <row r="27" spans="1:13" s="34" customFormat="1">
      <c r="A27" s="3"/>
      <c r="B27" s="46"/>
      <c r="C27" s="54"/>
      <c r="D27" s="46"/>
      <c r="E27" s="49"/>
      <c r="F27" s="49"/>
      <c r="G27" s="37"/>
      <c r="H27" s="37"/>
      <c r="I27" s="3"/>
      <c r="J27" s="3"/>
      <c r="K27" s="3"/>
      <c r="L27" s="3"/>
      <c r="M27" s="3"/>
    </row>
    <row r="28" spans="1:13" s="34" customFormat="1" ht="16.2" thickBot="1">
      <c r="A28" s="35" t="s">
        <v>771</v>
      </c>
      <c r="B28" s="46"/>
      <c r="C28" s="46"/>
      <c r="D28" s="46"/>
      <c r="E28" s="48"/>
      <c r="F28" s="49"/>
      <c r="G28" s="37"/>
      <c r="H28" s="37"/>
      <c r="I28" s="3"/>
      <c r="J28" s="3"/>
      <c r="K28" s="3"/>
      <c r="L28" s="3"/>
      <c r="M28" s="3"/>
    </row>
    <row r="29" spans="1:13" s="34" customFormat="1">
      <c r="A29" s="3"/>
      <c r="B29" s="41"/>
      <c r="C29" s="41"/>
      <c r="D29" s="41"/>
      <c r="E29" s="58"/>
      <c r="F29" s="59"/>
      <c r="G29" s="437" t="s">
        <v>311</v>
      </c>
      <c r="H29" s="437" t="s">
        <v>313</v>
      </c>
      <c r="I29" s="459" t="s">
        <v>311</v>
      </c>
      <c r="J29" s="460"/>
      <c r="K29" s="459" t="s">
        <v>313</v>
      </c>
      <c r="L29" s="460"/>
    </row>
    <row r="30" spans="1:13" s="34" customFormat="1" ht="13.8" thickBot="1">
      <c r="A30" s="3"/>
      <c r="B30" s="41"/>
      <c r="C30" s="41"/>
      <c r="D30" s="41"/>
      <c r="E30" s="60" t="s">
        <v>772</v>
      </c>
      <c r="F30" s="61" t="s">
        <v>773</v>
      </c>
      <c r="G30" s="258" t="s">
        <v>312</v>
      </c>
      <c r="H30" s="258" t="s">
        <v>312</v>
      </c>
      <c r="I30" s="441" t="s">
        <v>328</v>
      </c>
      <c r="J30" s="442" t="s">
        <v>329</v>
      </c>
      <c r="K30" s="441" t="s">
        <v>328</v>
      </c>
      <c r="L30" s="442" t="s">
        <v>329</v>
      </c>
    </row>
    <row r="31" spans="1:13" s="34" customFormat="1">
      <c r="A31" s="40" t="s">
        <v>774</v>
      </c>
      <c r="B31" s="41"/>
      <c r="C31" s="42"/>
      <c r="D31" s="41"/>
      <c r="E31" s="59"/>
      <c r="F31" s="59"/>
      <c r="G31" s="59"/>
      <c r="H31" s="58"/>
      <c r="I31" s="443"/>
      <c r="J31" s="259"/>
      <c r="K31" s="443"/>
      <c r="L31" s="259"/>
    </row>
    <row r="32" spans="1:13" s="34" customFormat="1">
      <c r="A32" s="3"/>
      <c r="B32" s="41" t="s">
        <v>775</v>
      </c>
      <c r="C32" s="41"/>
      <c r="D32" s="41"/>
      <c r="E32" s="44">
        <f>'O&amp;M_Estimate'!D8</f>
        <v>508225.83971199999</v>
      </c>
      <c r="F32" s="44">
        <f>'O&amp;M_Estimate'!E8</f>
        <v>508225.83971199999</v>
      </c>
      <c r="G32" s="44">
        <f>'O&amp;M_Estimate'!F8</f>
        <v>508225.83971199999</v>
      </c>
      <c r="H32" s="449">
        <f>'O&amp;M_Estimate'!G8</f>
        <v>508225.83971199999</v>
      </c>
      <c r="I32" s="444">
        <f>G32/180000</f>
        <v>2.8234768872888889</v>
      </c>
      <c r="J32" s="205"/>
      <c r="K32" s="444">
        <f>H32/180000</f>
        <v>2.8234768872888889</v>
      </c>
      <c r="L32" s="205"/>
    </row>
    <row r="33" spans="1:12" s="34" customFormat="1">
      <c r="A33" s="3"/>
      <c r="B33" s="41" t="s">
        <v>776</v>
      </c>
      <c r="C33" s="41"/>
      <c r="D33" s="41"/>
      <c r="E33" s="44">
        <f>'O&amp;M_Estimate'!D22</f>
        <v>188733.08781282353</v>
      </c>
      <c r="F33" s="44">
        <f>'O&amp;M_Estimate'!E22</f>
        <v>173483.08781282353</v>
      </c>
      <c r="G33" s="44">
        <f>'O&amp;M_Estimate'!F22</f>
        <v>178566.42114615688</v>
      </c>
      <c r="H33" s="449">
        <f>'O&amp;M_Estimate'!G22</f>
        <v>174245.58781282353</v>
      </c>
      <c r="I33" s="444">
        <f>G33/180000</f>
        <v>0.99203567303420492</v>
      </c>
      <c r="J33" s="205"/>
      <c r="K33" s="444">
        <f>H33/180000</f>
        <v>0.96803104340457524</v>
      </c>
      <c r="L33" s="205"/>
    </row>
    <row r="34" spans="1:12" s="34" customFormat="1">
      <c r="A34" s="3"/>
      <c r="B34" s="41" t="s">
        <v>315</v>
      </c>
      <c r="C34" s="41"/>
      <c r="D34" s="41"/>
      <c r="E34" s="44">
        <f>'O&amp;M_Estimate'!D24</f>
        <v>127190.70999999999</v>
      </c>
      <c r="F34" s="44">
        <f>'O&amp;M_Estimate'!E24</f>
        <v>127190.70999999999</v>
      </c>
      <c r="G34" s="44">
        <f>'O&amp;M_Estimate'!F24</f>
        <v>127190.71</v>
      </c>
      <c r="H34" s="449">
        <f>'O&amp;M_Estimate'!G24</f>
        <v>127190.70999999999</v>
      </c>
      <c r="I34" s="447"/>
      <c r="J34" s="445">
        <f>G34/180/1300</f>
        <v>0.54355004273504282</v>
      </c>
      <c r="K34" s="447"/>
      <c r="L34" s="445">
        <f>H34/180/1300</f>
        <v>0.5435500427350427</v>
      </c>
    </row>
    <row r="35" spans="1:12" s="34" customFormat="1">
      <c r="A35" s="3"/>
      <c r="B35" s="41" t="s">
        <v>777</v>
      </c>
      <c r="C35" s="41"/>
      <c r="D35" s="41"/>
      <c r="E35" s="44">
        <f>'O&amp;M_Estimate'!D40</f>
        <v>376859.07773719507</v>
      </c>
      <c r="F35" s="44">
        <f>'O&amp;M_Estimate'!E40</f>
        <v>646769.00748088898</v>
      </c>
      <c r="G35" s="44">
        <f>'O&amp;M_Estimate'!F40</f>
        <v>556799.03089965775</v>
      </c>
      <c r="H35" s="449">
        <f>'O&amp;M_Estimate'!G40</f>
        <v>633273.5109937042</v>
      </c>
      <c r="I35" s="444">
        <f>G35/180000*0.9</f>
        <v>2.7839951544982888</v>
      </c>
      <c r="J35" s="445">
        <f>G35*0.1/180/1300</f>
        <v>0.23794830380327256</v>
      </c>
      <c r="K35" s="444">
        <f>H35/180000*0.9</f>
        <v>3.1663675549685211</v>
      </c>
      <c r="L35" s="445">
        <f>H35*0.1/180/1300</f>
        <v>0.27062970555286503</v>
      </c>
    </row>
    <row r="36" spans="1:12" s="34" customFormat="1">
      <c r="A36" s="3"/>
      <c r="B36" s="41" t="s">
        <v>778</v>
      </c>
      <c r="C36" s="41"/>
      <c r="D36" s="41"/>
      <c r="E36" s="44">
        <f>'O&amp;M_Estimate'!D42</f>
        <v>12639.475</v>
      </c>
      <c r="F36" s="44">
        <f>'O&amp;M_Estimate'!E42</f>
        <v>12639.475</v>
      </c>
      <c r="G36" s="44">
        <f>'O&amp;M_Estimate'!F42</f>
        <v>12639.475</v>
      </c>
      <c r="H36" s="449">
        <f>'O&amp;M_Estimate'!G42</f>
        <v>12639.475</v>
      </c>
      <c r="I36" s="444">
        <f>G36/180000</f>
        <v>7.0219305555555556E-2</v>
      </c>
      <c r="J36" s="205"/>
      <c r="K36" s="444">
        <f>H36/180000</f>
        <v>7.0219305555555556E-2</v>
      </c>
      <c r="L36" s="205"/>
    </row>
    <row r="37" spans="1:12" s="34" customFormat="1">
      <c r="A37" s="3"/>
      <c r="B37" s="41"/>
      <c r="C37" s="41"/>
      <c r="D37" s="41"/>
      <c r="E37" s="44"/>
      <c r="F37" s="44"/>
      <c r="G37" s="44"/>
      <c r="H37" s="449"/>
      <c r="I37" s="204"/>
      <c r="J37" s="205"/>
      <c r="K37" s="204"/>
      <c r="L37" s="205"/>
    </row>
    <row r="38" spans="1:12" s="34" customFormat="1" ht="13.8" thickBot="1">
      <c r="A38" s="3"/>
      <c r="B38" s="46" t="s">
        <v>779</v>
      </c>
      <c r="C38" s="41"/>
      <c r="D38" s="41"/>
      <c r="E38" s="47">
        <f t="shared" ref="E38:L38" si="0">SUM(E32:E36)</f>
        <v>1213648.1902620187</v>
      </c>
      <c r="F38" s="47">
        <f t="shared" si="0"/>
        <v>1468308.1200057124</v>
      </c>
      <c r="G38" s="47">
        <f t="shared" si="0"/>
        <v>1383421.4767578146</v>
      </c>
      <c r="H38" s="448">
        <f t="shared" si="0"/>
        <v>1455575.1235185277</v>
      </c>
      <c r="I38" s="446">
        <f t="shared" si="0"/>
        <v>6.6697270203769383</v>
      </c>
      <c r="J38" s="450">
        <f t="shared" si="0"/>
        <v>0.7814983465383154</v>
      </c>
      <c r="K38" s="446">
        <f t="shared" si="0"/>
        <v>7.0280947912175407</v>
      </c>
      <c r="L38" s="450">
        <f t="shared" si="0"/>
        <v>0.81417974828790773</v>
      </c>
    </row>
    <row r="39" spans="1:12" s="34" customFormat="1" ht="13.8" thickBot="1">
      <c r="A39" s="3"/>
      <c r="B39" s="46"/>
      <c r="C39" s="46"/>
      <c r="D39" s="46"/>
      <c r="E39" s="37"/>
      <c r="F39" s="37"/>
      <c r="G39" s="37"/>
      <c r="H39" s="37"/>
      <c r="I39" s="3"/>
      <c r="J39" s="3"/>
      <c r="K39" s="3"/>
      <c r="L39" s="3"/>
    </row>
    <row r="40" spans="1:12" s="34" customFormat="1" ht="13.8" thickBot="1">
      <c r="A40" s="68" t="s">
        <v>782</v>
      </c>
      <c r="B40" s="41"/>
      <c r="C40" s="41"/>
      <c r="D40" s="41"/>
      <c r="E40" s="69">
        <f>'O&amp;M_Estimate'!D56</f>
        <v>200000</v>
      </c>
      <c r="F40" s="69">
        <f>'O&amp;M_Estimate'!E56</f>
        <v>200000</v>
      </c>
      <c r="G40" s="69">
        <f>'O&amp;M_Estimate'!F56</f>
        <v>200000</v>
      </c>
      <c r="H40" s="69">
        <f>'O&amp;M_Estimate'!G56</f>
        <v>200000</v>
      </c>
      <c r="I40" s="451">
        <f>G40/180000</f>
        <v>1.1111111111111112</v>
      </c>
      <c r="J40" s="452"/>
      <c r="K40" s="451">
        <f>H40/180000</f>
        <v>1.1111111111111112</v>
      </c>
      <c r="L40" s="452"/>
    </row>
    <row r="41" spans="1:12" s="34" customFormat="1" ht="13.8" thickBot="1">
      <c r="A41" s="3"/>
      <c r="B41" s="41"/>
      <c r="C41" s="41"/>
      <c r="D41" s="41"/>
      <c r="E41" s="41"/>
      <c r="F41" s="41"/>
      <c r="G41" s="41"/>
      <c r="H41" s="3"/>
      <c r="I41" s="3"/>
      <c r="J41" s="62"/>
      <c r="K41" s="3"/>
      <c r="L41" s="3"/>
    </row>
    <row r="42" spans="1:12" s="34" customFormat="1" ht="13.8" hidden="1" thickBot="1">
      <c r="A42" s="40" t="s">
        <v>319</v>
      </c>
      <c r="B42" s="41"/>
      <c r="D42" s="63"/>
      <c r="F42" s="37"/>
      <c r="G42" s="37"/>
      <c r="H42" s="64">
        <f>LM6000PC_MMR_Gas!H9</f>
        <v>54.346153846153847</v>
      </c>
      <c r="I42" s="3"/>
      <c r="J42" s="3"/>
    </row>
    <row r="43" spans="1:12" s="34" customFormat="1" ht="13.8" hidden="1" thickBot="1">
      <c r="A43" s="40" t="s">
        <v>320</v>
      </c>
      <c r="B43" s="41"/>
      <c r="D43" s="63"/>
      <c r="F43" s="37"/>
      <c r="G43" s="37"/>
      <c r="H43" s="64">
        <f>'O&amp;M_Estimate'!D48</f>
        <v>25</v>
      </c>
      <c r="I43" s="3"/>
      <c r="J43" s="3"/>
    </row>
    <row r="44" spans="1:12" s="34" customFormat="1" ht="13.8" hidden="1" thickBot="1">
      <c r="A44" s="40"/>
      <c r="B44" s="41"/>
      <c r="D44" s="63"/>
      <c r="E44" s="65"/>
      <c r="F44" s="37"/>
      <c r="G44" s="37"/>
      <c r="H44" s="3"/>
      <c r="I44" s="3"/>
      <c r="J44" s="3"/>
    </row>
    <row r="45" spans="1:12" s="34" customFormat="1" ht="13.8" hidden="1" thickBot="1">
      <c r="A45" s="40" t="s">
        <v>780</v>
      </c>
      <c r="B45" s="3"/>
      <c r="C45" s="45"/>
      <c r="E45" s="56">
        <f>'O&amp;M_Estimate'!D50</f>
        <v>0</v>
      </c>
      <c r="F45" s="56">
        <f>'O&amp;M_Estimate'!E50</f>
        <v>0</v>
      </c>
      <c r="G45" s="56">
        <f>'O&amp;M_Estimate'!F50</f>
        <v>0</v>
      </c>
      <c r="H45" s="56">
        <f>'O&amp;M_Estimate'!G50</f>
        <v>0</v>
      </c>
      <c r="I45" s="3"/>
      <c r="J45" s="3"/>
    </row>
    <row r="46" spans="1:12" s="34" customFormat="1" ht="13.8" hidden="1" thickBot="1">
      <c r="A46" s="40"/>
      <c r="B46" s="41"/>
      <c r="C46" s="42"/>
      <c r="D46" s="41"/>
      <c r="E46" s="37"/>
      <c r="F46" s="37"/>
      <c r="G46" s="37"/>
      <c r="H46" s="3"/>
      <c r="I46" s="3"/>
      <c r="J46" s="3"/>
    </row>
    <row r="47" spans="1:12" s="34" customFormat="1" ht="13.8" hidden="1" thickBot="1">
      <c r="A47" s="40" t="s">
        <v>781</v>
      </c>
      <c r="B47" s="66"/>
      <c r="C47" s="48"/>
      <c r="D47" s="46"/>
      <c r="E47" s="67" t="s">
        <v>767</v>
      </c>
      <c r="F47" s="67" t="s">
        <v>767</v>
      </c>
      <c r="G47" s="3"/>
      <c r="H47" s="3"/>
      <c r="I47" s="3"/>
      <c r="J47" s="3"/>
    </row>
    <row r="48" spans="1:12" s="34" customFormat="1" ht="13.8" hidden="1" thickBot="1">
      <c r="A48" s="3"/>
      <c r="B48" s="46"/>
      <c r="C48" s="46"/>
      <c r="D48" s="46"/>
      <c r="E48" s="3"/>
      <c r="F48" s="3"/>
      <c r="G48" s="3"/>
      <c r="H48" s="3"/>
      <c r="I48" s="3"/>
      <c r="J48" s="3"/>
    </row>
    <row r="49" spans="1:13" s="34" customFormat="1" ht="13.8" thickBot="1">
      <c r="A49" s="40" t="s">
        <v>325</v>
      </c>
      <c r="B49"/>
      <c r="C49" s="42"/>
      <c r="D49"/>
      <c r="E49" s="67" t="s">
        <v>767</v>
      </c>
      <c r="F49" s="67" t="s">
        <v>767</v>
      </c>
      <c r="G49" s="67" t="s">
        <v>767</v>
      </c>
      <c r="H49" s="67" t="s">
        <v>767</v>
      </c>
      <c r="I49" s="3"/>
      <c r="J49" s="3"/>
      <c r="K49" s="3"/>
    </row>
    <row r="50" spans="1:13" s="34" customFormat="1">
      <c r="A50" s="40"/>
      <c r="B50"/>
      <c r="C50" s="42"/>
      <c r="D50"/>
      <c r="E50" s="37"/>
      <c r="F50" s="37"/>
      <c r="G50" s="3"/>
      <c r="H50" s="3"/>
      <c r="I50" s="3"/>
      <c r="J50" s="3"/>
      <c r="K50" s="3"/>
    </row>
    <row r="51" spans="1:13" s="34" customFormat="1"/>
    <row r="52" spans="1:13" s="34" customFormat="1" ht="13.8" hidden="1" thickBot="1">
      <c r="A52" s="68" t="s">
        <v>770</v>
      </c>
      <c r="B52" s="41"/>
      <c r="C52" s="41"/>
      <c r="D52" s="41"/>
      <c r="E52" s="70" t="e">
        <f>#REF!</f>
        <v>#REF!</v>
      </c>
      <c r="F52" s="71" t="e">
        <f>#REF!</f>
        <v>#REF!</v>
      </c>
      <c r="G52" s="71" t="e">
        <f>#REF!</f>
        <v>#REF!</v>
      </c>
      <c r="H52" s="72" t="e">
        <f>#REF!</f>
        <v>#REF!</v>
      </c>
      <c r="I52" s="3"/>
      <c r="J52" s="3"/>
      <c r="K52" s="3"/>
      <c r="L52" s="3"/>
      <c r="M52" s="3"/>
    </row>
    <row r="53" spans="1:13" s="34" customFormat="1">
      <c r="A53" s="3"/>
      <c r="B53" s="41"/>
      <c r="C53" s="41"/>
      <c r="D53" s="41"/>
      <c r="E53" s="41"/>
      <c r="F53" s="3"/>
      <c r="G53" s="3"/>
      <c r="H53" s="3"/>
      <c r="I53" s="3"/>
      <c r="J53" s="3"/>
      <c r="K53" s="3"/>
      <c r="L53" s="3"/>
      <c r="M53" s="3"/>
    </row>
    <row r="54" spans="1:13" s="34" customFormat="1">
      <c r="A54" s="3"/>
      <c r="B54" s="41"/>
      <c r="C54" s="41"/>
      <c r="D54" s="41"/>
      <c r="E54" s="41"/>
      <c r="F54" s="3"/>
      <c r="G54" s="3"/>
      <c r="H54" s="3"/>
      <c r="I54" s="3"/>
      <c r="J54" s="3"/>
      <c r="K54" s="3"/>
      <c r="L54" s="3"/>
      <c r="M54" s="3"/>
    </row>
    <row r="55" spans="1:13" s="34" customFormat="1">
      <c r="A55" s="3"/>
      <c r="B55" s="41"/>
      <c r="C55" s="41"/>
      <c r="D55" s="41"/>
      <c r="E55" s="41"/>
      <c r="F55" s="3"/>
      <c r="G55" s="3"/>
      <c r="H55" s="3"/>
      <c r="I55" s="3"/>
      <c r="J55" s="3"/>
      <c r="K55" s="3"/>
      <c r="L55" s="3"/>
      <c r="M55" s="3"/>
    </row>
    <row r="56" spans="1:13" s="34" customFormat="1">
      <c r="A56" s="3"/>
      <c r="B56" s="41"/>
      <c r="C56" s="41"/>
      <c r="D56" s="41"/>
      <c r="E56" s="41"/>
      <c r="F56" s="3"/>
      <c r="G56" s="3"/>
      <c r="H56" s="3"/>
      <c r="I56" s="3"/>
      <c r="J56" s="3"/>
      <c r="K56" s="3"/>
      <c r="L56" s="3"/>
      <c r="M56" s="3"/>
    </row>
    <row r="57" spans="1:13" s="34" customFormat="1">
      <c r="A57" s="3"/>
      <c r="B57" s="41"/>
      <c r="C57" s="41"/>
      <c r="D57" s="41"/>
      <c r="E57" s="41"/>
      <c r="F57" s="3"/>
      <c r="G57" s="3"/>
      <c r="H57" s="3"/>
      <c r="I57" s="3"/>
      <c r="J57" s="3"/>
      <c r="K57" s="3"/>
      <c r="L57" s="3"/>
      <c r="M57" s="3"/>
    </row>
    <row r="58" spans="1:13" s="34" customFormat="1">
      <c r="A58" s="3"/>
      <c r="B58" s="41"/>
      <c r="C58" s="41"/>
      <c r="D58" s="41"/>
      <c r="E58" s="41"/>
      <c r="F58" s="3"/>
      <c r="G58" s="3"/>
      <c r="H58" s="3"/>
      <c r="I58" s="3"/>
      <c r="J58" s="3"/>
      <c r="K58" s="3"/>
      <c r="L58" s="3"/>
      <c r="M58" s="3"/>
    </row>
    <row r="59" spans="1:13" s="34" customFormat="1">
      <c r="A59" s="3"/>
      <c r="B59" s="41"/>
      <c r="C59" s="41"/>
      <c r="D59" s="41"/>
      <c r="E59" s="41"/>
      <c r="F59" s="3"/>
      <c r="G59" s="3"/>
      <c r="H59" s="3"/>
      <c r="I59" s="3"/>
      <c r="J59" s="3"/>
      <c r="K59" s="3"/>
      <c r="L59" s="3"/>
      <c r="M59" s="3"/>
    </row>
    <row r="60" spans="1:13" s="34" customFormat="1">
      <c r="A60" s="3"/>
      <c r="B60" s="41"/>
      <c r="C60" s="41"/>
      <c r="D60" s="41"/>
      <c r="E60" s="3"/>
      <c r="F60" s="3"/>
      <c r="G60" s="3"/>
      <c r="H60" s="3"/>
      <c r="I60" s="3"/>
      <c r="J60" s="3"/>
      <c r="K60" s="3"/>
      <c r="L60" s="3"/>
      <c r="M60" s="3"/>
    </row>
    <row r="61" spans="1:13" s="34" customFormat="1">
      <c r="A61" s="3"/>
      <c r="B61" s="41"/>
      <c r="C61" s="41"/>
      <c r="D61" s="41"/>
      <c r="E61" s="3"/>
      <c r="F61" s="3"/>
      <c r="G61" s="3"/>
      <c r="H61" s="3"/>
      <c r="I61" s="3"/>
      <c r="J61" s="3"/>
      <c r="K61" s="3"/>
      <c r="L61" s="3"/>
      <c r="M61" s="3"/>
    </row>
    <row r="62" spans="1:13" s="34" customFormat="1">
      <c r="A62" s="3"/>
      <c r="B62" s="41"/>
      <c r="C62" s="41"/>
      <c r="D62" s="41"/>
      <c r="E62" s="3"/>
      <c r="F62" s="3"/>
      <c r="G62" s="3"/>
      <c r="H62" s="3"/>
      <c r="I62" s="3"/>
      <c r="J62" s="3"/>
      <c r="K62" s="3"/>
      <c r="L62" s="3"/>
      <c r="M62" s="3"/>
    </row>
    <row r="63" spans="1:13" s="34" customFormat="1">
      <c r="A63" s="3"/>
      <c r="B63" s="41"/>
      <c r="C63" s="41"/>
      <c r="D63" s="41"/>
      <c r="E63" s="3"/>
      <c r="F63" s="3"/>
      <c r="G63" s="3"/>
      <c r="H63" s="3"/>
      <c r="I63" s="3"/>
      <c r="J63" s="3"/>
      <c r="K63" s="3"/>
      <c r="L63" s="3"/>
      <c r="M63" s="3"/>
    </row>
    <row r="64" spans="1:13" s="34" customFormat="1">
      <c r="A64" s="3"/>
      <c r="B64" s="41"/>
      <c r="C64" s="41"/>
      <c r="D64" s="41"/>
      <c r="E64" s="3"/>
      <c r="F64" s="3"/>
      <c r="G64" s="3"/>
      <c r="H64" s="3"/>
      <c r="I64" s="3"/>
      <c r="J64" s="3"/>
      <c r="K64" s="3"/>
      <c r="L64" s="3"/>
      <c r="M64" s="3"/>
    </row>
    <row r="65" spans="1:13" s="34" customFormat="1">
      <c r="A65" s="3"/>
      <c r="B65" s="41"/>
      <c r="C65" s="41"/>
      <c r="D65" s="41"/>
      <c r="E65" s="3"/>
      <c r="F65" s="3"/>
      <c r="G65" s="3"/>
      <c r="H65" s="3"/>
      <c r="I65" s="3"/>
      <c r="J65" s="3"/>
      <c r="K65" s="3"/>
      <c r="L65" s="3"/>
      <c r="M65" s="3"/>
    </row>
    <row r="66" spans="1:13" s="34" customFormat="1">
      <c r="A66" s="3"/>
      <c r="B66" s="41"/>
      <c r="C66" s="41"/>
      <c r="D66" s="41"/>
      <c r="E66" s="3"/>
      <c r="F66" s="3"/>
      <c r="G66" s="3"/>
      <c r="H66" s="3"/>
      <c r="I66" s="3"/>
      <c r="J66" s="3"/>
      <c r="K66" s="3"/>
      <c r="L66" s="3"/>
      <c r="M66" s="3"/>
    </row>
    <row r="67" spans="1:13" s="34" customFormat="1">
      <c r="A67" s="3"/>
      <c r="B67" s="41"/>
      <c r="C67" s="41"/>
      <c r="D67" s="41"/>
      <c r="E67" s="3"/>
      <c r="F67" s="3"/>
      <c r="G67" s="3"/>
      <c r="H67" s="3"/>
      <c r="I67" s="3"/>
      <c r="J67" s="3"/>
      <c r="K67" s="3"/>
      <c r="L67" s="3"/>
      <c r="M67" s="3"/>
    </row>
    <row r="68" spans="1:13" s="34" customFormat="1">
      <c r="A68" s="3"/>
      <c r="B68" s="41"/>
      <c r="C68" s="41"/>
      <c r="D68" s="41"/>
      <c r="E68" s="3"/>
      <c r="F68" s="3"/>
      <c r="G68" s="3"/>
      <c r="H68" s="3"/>
      <c r="I68" s="3"/>
      <c r="J68" s="3"/>
      <c r="K68" s="3"/>
      <c r="L68" s="3"/>
      <c r="M68" s="3"/>
    </row>
    <row r="69" spans="1:13" s="34" customFormat="1">
      <c r="A69" s="3"/>
      <c r="B69" s="41"/>
      <c r="C69" s="41"/>
      <c r="D69" s="41"/>
      <c r="E69" s="3"/>
      <c r="F69" s="3"/>
      <c r="G69" s="3"/>
      <c r="H69" s="3"/>
      <c r="I69" s="3"/>
      <c r="J69" s="3"/>
      <c r="K69" s="3"/>
      <c r="L69" s="3"/>
      <c r="M69" s="3"/>
    </row>
    <row r="70" spans="1:13" s="34" customFormat="1">
      <c r="A70" s="3"/>
      <c r="B70" s="41"/>
      <c r="C70" s="41"/>
      <c r="D70" s="41"/>
      <c r="E70" s="3"/>
      <c r="F70" s="3"/>
      <c r="G70" s="3"/>
      <c r="H70" s="3"/>
      <c r="I70" s="3"/>
      <c r="J70" s="3"/>
      <c r="K70" s="3"/>
      <c r="L70" s="3"/>
      <c r="M70" s="3"/>
    </row>
    <row r="71" spans="1:13" s="34" customFormat="1">
      <c r="A71" s="3"/>
      <c r="B71" s="41"/>
      <c r="C71" s="41"/>
      <c r="D71" s="41"/>
      <c r="E71" s="3"/>
      <c r="F71" s="3"/>
      <c r="G71" s="3"/>
      <c r="H71" s="3"/>
      <c r="I71" s="3"/>
      <c r="J71" s="3"/>
      <c r="K71" s="3"/>
      <c r="L71" s="3"/>
      <c r="M71" s="3"/>
    </row>
    <row r="72" spans="1:13" s="34" customFormat="1">
      <c r="A72" s="3"/>
      <c r="B72" s="41"/>
      <c r="C72" s="41"/>
      <c r="D72" s="41"/>
      <c r="E72" s="3"/>
      <c r="F72" s="3"/>
      <c r="G72" s="3"/>
      <c r="H72" s="3"/>
      <c r="I72" s="3"/>
      <c r="J72" s="3"/>
      <c r="K72" s="3"/>
      <c r="L72" s="3"/>
      <c r="M72" s="3"/>
    </row>
    <row r="73" spans="1:13" s="34" customFormat="1">
      <c r="A73" s="3"/>
      <c r="B73" s="41"/>
      <c r="C73" s="41"/>
      <c r="D73" s="41"/>
      <c r="E73" s="3"/>
      <c r="F73" s="3"/>
      <c r="G73" s="3"/>
      <c r="H73" s="3"/>
      <c r="I73" s="3"/>
      <c r="J73" s="3"/>
      <c r="K73" s="3"/>
      <c r="L73" s="3"/>
      <c r="M73" s="3"/>
    </row>
    <row r="74" spans="1:13" s="34" customFormat="1">
      <c r="A74" s="3"/>
      <c r="B74" s="41"/>
      <c r="C74" s="41"/>
      <c r="D74" s="41"/>
      <c r="E74" s="3"/>
      <c r="F74" s="3"/>
      <c r="G74" s="3"/>
      <c r="H74" s="3"/>
      <c r="I74" s="3"/>
      <c r="J74" s="3"/>
      <c r="K74" s="3"/>
      <c r="L74" s="3"/>
      <c r="M74" s="3"/>
    </row>
    <row r="75" spans="1:13" s="34" customFormat="1">
      <c r="A75" s="3"/>
      <c r="B75" s="41"/>
      <c r="C75" s="41"/>
      <c r="D75" s="41"/>
      <c r="E75" s="3"/>
      <c r="F75" s="3"/>
      <c r="G75" s="3"/>
      <c r="H75" s="3"/>
      <c r="I75" s="3"/>
      <c r="J75" s="3"/>
      <c r="K75" s="3"/>
      <c r="L75" s="3"/>
      <c r="M75" s="3"/>
    </row>
    <row r="76" spans="1:13" s="34" customFormat="1">
      <c r="A76" s="3"/>
      <c r="B76" s="41"/>
      <c r="C76" s="41"/>
      <c r="D76" s="41"/>
      <c r="E76" s="3"/>
      <c r="F76" s="3"/>
      <c r="G76" s="3"/>
      <c r="H76" s="3"/>
      <c r="I76" s="3"/>
      <c r="J76" s="3"/>
      <c r="K76" s="3"/>
      <c r="L76" s="3"/>
      <c r="M76" s="3"/>
    </row>
    <row r="77" spans="1:13" s="34" customFormat="1">
      <c r="A77" s="3"/>
      <c r="B77" s="41"/>
      <c r="C77" s="41"/>
      <c r="D77" s="41"/>
      <c r="E77" s="3"/>
      <c r="F77" s="3"/>
      <c r="G77" s="3"/>
      <c r="H77" s="3"/>
      <c r="I77" s="3"/>
      <c r="J77" s="3"/>
      <c r="K77" s="3"/>
      <c r="L77" s="3"/>
      <c r="M77" s="3"/>
    </row>
    <row r="78" spans="1:13" s="34" customFormat="1">
      <c r="A78" s="3"/>
      <c r="B78" s="41"/>
      <c r="C78" s="41"/>
      <c r="D78" s="41"/>
      <c r="E78" s="3"/>
      <c r="F78" s="3"/>
      <c r="G78" s="3"/>
      <c r="H78" s="3"/>
      <c r="I78" s="3"/>
      <c r="J78" s="3"/>
      <c r="K78" s="3"/>
      <c r="L78" s="3"/>
      <c r="M78" s="3"/>
    </row>
    <row r="79" spans="1:13" s="34" customFormat="1">
      <c r="A79" s="3"/>
      <c r="B79" s="41"/>
      <c r="C79" s="41"/>
      <c r="D79" s="41"/>
      <c r="E79" s="3"/>
      <c r="F79" s="3"/>
      <c r="G79" s="3"/>
      <c r="H79" s="3"/>
      <c r="I79" s="3"/>
      <c r="J79" s="3"/>
      <c r="K79" s="3"/>
      <c r="L79" s="3"/>
      <c r="M79" s="3"/>
    </row>
    <row r="80" spans="1:13" s="34" customFormat="1">
      <c r="A80" s="3"/>
      <c r="B80" s="41"/>
      <c r="C80" s="41"/>
      <c r="D80" s="41"/>
      <c r="E80" s="3"/>
      <c r="F80" s="3"/>
      <c r="G80" s="3"/>
      <c r="H80" s="3"/>
      <c r="I80" s="3"/>
      <c r="J80" s="3"/>
      <c r="K80" s="3"/>
      <c r="L80" s="3"/>
      <c r="M80" s="3"/>
    </row>
    <row r="81" spans="1:13" s="34" customFormat="1">
      <c r="A81" s="3"/>
      <c r="B81" s="41"/>
      <c r="C81" s="41"/>
      <c r="D81" s="41"/>
      <c r="E81" s="3"/>
      <c r="F81" s="3"/>
      <c r="G81" s="3"/>
      <c r="H81" s="3"/>
      <c r="I81" s="3"/>
      <c r="J81" s="3"/>
      <c r="K81" s="3"/>
      <c r="L81" s="3"/>
      <c r="M81" s="3"/>
    </row>
    <row r="82" spans="1:13" s="34" customFormat="1">
      <c r="A82" s="3"/>
      <c r="B82" s="41"/>
      <c r="C82" s="41"/>
      <c r="D82" s="41"/>
      <c r="E82" s="3"/>
      <c r="F82" s="3"/>
      <c r="G82" s="3"/>
      <c r="H82" s="3"/>
      <c r="I82" s="3"/>
      <c r="J82" s="3"/>
      <c r="K82" s="3"/>
      <c r="L82" s="3"/>
      <c r="M82" s="3"/>
    </row>
    <row r="83" spans="1:13" s="34" customFormat="1">
      <c r="A83" s="3"/>
      <c r="B83" s="41"/>
      <c r="C83" s="41"/>
      <c r="D83" s="41"/>
      <c r="E83" s="3"/>
      <c r="F83" s="3"/>
      <c r="G83" s="3"/>
      <c r="H83" s="3"/>
      <c r="I83" s="3"/>
      <c r="J83" s="3"/>
      <c r="K83" s="3"/>
      <c r="L83" s="3"/>
      <c r="M83" s="3"/>
    </row>
    <row r="84" spans="1:13" s="34" customFormat="1">
      <c r="A84" s="3"/>
      <c r="B84" s="41"/>
      <c r="C84" s="41"/>
      <c r="D84" s="41"/>
      <c r="E84" s="3"/>
      <c r="F84" s="3"/>
      <c r="G84" s="3"/>
      <c r="H84" s="3"/>
      <c r="I84" s="3"/>
      <c r="J84" s="3"/>
      <c r="K84" s="3"/>
      <c r="L84" s="3"/>
      <c r="M84" s="3"/>
    </row>
    <row r="85" spans="1:13" s="34" customFormat="1">
      <c r="A85" s="3"/>
      <c r="B85" s="41"/>
      <c r="C85" s="41"/>
      <c r="D85" s="41"/>
      <c r="E85" s="3"/>
      <c r="F85" s="3"/>
      <c r="G85" s="3"/>
      <c r="H85" s="3"/>
      <c r="I85" s="3"/>
      <c r="J85" s="3"/>
      <c r="K85" s="3"/>
      <c r="L85" s="3"/>
      <c r="M85" s="3"/>
    </row>
    <row r="86" spans="1:13" s="34" customFormat="1">
      <c r="A86" s="3"/>
      <c r="B86" s="41"/>
      <c r="C86" s="41"/>
      <c r="D86" s="41"/>
      <c r="E86" s="3"/>
      <c r="F86" s="3"/>
      <c r="G86" s="3"/>
      <c r="H86" s="3"/>
      <c r="I86" s="3"/>
      <c r="J86" s="3"/>
      <c r="K86" s="3"/>
      <c r="L86" s="3"/>
      <c r="M86" s="3"/>
    </row>
    <row r="87" spans="1:13" s="34" customFormat="1">
      <c r="A87" s="3"/>
      <c r="B87" s="41"/>
      <c r="C87" s="41"/>
      <c r="D87" s="41"/>
      <c r="E87" s="3"/>
      <c r="F87" s="3"/>
      <c r="G87" s="3"/>
      <c r="H87" s="3"/>
      <c r="I87" s="3"/>
      <c r="J87" s="3"/>
      <c r="K87" s="3"/>
      <c r="L87" s="3"/>
      <c r="M87" s="3"/>
    </row>
    <row r="88" spans="1:13" s="34" customFormat="1">
      <c r="A88" s="3"/>
      <c r="B88" s="41"/>
      <c r="C88" s="41"/>
      <c r="D88" s="41"/>
      <c r="E88" s="3"/>
      <c r="F88" s="3"/>
      <c r="G88" s="3"/>
      <c r="H88" s="3"/>
      <c r="I88" s="3"/>
      <c r="J88" s="3"/>
      <c r="K88" s="3"/>
      <c r="L88" s="3"/>
      <c r="M88" s="3"/>
    </row>
    <row r="89" spans="1:13" s="34" customFormat="1">
      <c r="A89" s="3"/>
      <c r="B89" s="41"/>
      <c r="C89" s="41"/>
      <c r="D89" s="41"/>
      <c r="E89" s="3"/>
      <c r="F89" s="3"/>
      <c r="G89" s="3"/>
      <c r="H89" s="3"/>
      <c r="I89" s="3"/>
      <c r="J89" s="3"/>
      <c r="K89" s="3"/>
      <c r="L89" s="3"/>
      <c r="M89" s="3"/>
    </row>
    <row r="90" spans="1:13" s="34" customFormat="1">
      <c r="A90" s="3"/>
      <c r="B90" s="41"/>
      <c r="C90" s="41"/>
      <c r="D90" s="41"/>
      <c r="E90" s="3"/>
      <c r="F90" s="3"/>
      <c r="G90" s="3"/>
      <c r="H90" s="3"/>
      <c r="I90" s="3"/>
      <c r="J90" s="3"/>
      <c r="K90" s="3"/>
      <c r="L90" s="3"/>
      <c r="M90" s="3"/>
    </row>
    <row r="91" spans="1:13" s="34" customFormat="1">
      <c r="A91" s="3"/>
      <c r="B91" s="41"/>
      <c r="C91" s="41"/>
      <c r="D91" s="41"/>
      <c r="E91" s="3"/>
      <c r="F91" s="3"/>
      <c r="G91" s="3"/>
      <c r="H91" s="3"/>
      <c r="I91" s="3"/>
      <c r="J91" s="3"/>
      <c r="K91" s="3"/>
      <c r="L91" s="3"/>
      <c r="M91" s="3"/>
    </row>
    <row r="92" spans="1:13" s="34" customFormat="1">
      <c r="A92" s="3"/>
      <c r="B92" s="41"/>
      <c r="C92" s="41"/>
      <c r="D92" s="41"/>
      <c r="E92" s="3"/>
      <c r="F92" s="3"/>
      <c r="G92" s="3"/>
      <c r="H92" s="3"/>
      <c r="I92" s="3"/>
      <c r="J92" s="3"/>
      <c r="K92" s="3"/>
      <c r="L92" s="3"/>
      <c r="M92" s="3"/>
    </row>
    <row r="93" spans="1:13" s="34" customFormat="1">
      <c r="A93" s="3"/>
      <c r="B93" s="41"/>
      <c r="C93" s="41"/>
      <c r="D93" s="41"/>
      <c r="E93" s="3"/>
      <c r="F93" s="3"/>
      <c r="G93" s="3"/>
      <c r="H93" s="3"/>
      <c r="I93" s="3"/>
      <c r="J93" s="3"/>
      <c r="K93" s="3"/>
      <c r="L93" s="3"/>
      <c r="M93" s="3"/>
    </row>
    <row r="94" spans="1:13" s="34" customFormat="1">
      <c r="A94" s="3"/>
      <c r="B94" s="41"/>
      <c r="C94" s="41"/>
      <c r="D94" s="41"/>
      <c r="E94" s="3"/>
      <c r="F94" s="3"/>
      <c r="G94" s="3"/>
      <c r="H94" s="3"/>
      <c r="I94" s="3"/>
      <c r="J94" s="3"/>
      <c r="K94" s="3"/>
      <c r="L94" s="3"/>
      <c r="M94" s="3"/>
    </row>
    <row r="95" spans="1:13" s="34" customFormat="1">
      <c r="A95" s="3"/>
      <c r="B95" s="41"/>
      <c r="C95" s="41"/>
      <c r="D95" s="41"/>
      <c r="E95" s="3"/>
      <c r="F95" s="3"/>
      <c r="G95" s="3"/>
      <c r="H95" s="3"/>
      <c r="I95" s="3"/>
      <c r="J95" s="3"/>
      <c r="K95" s="3"/>
      <c r="L95" s="3"/>
      <c r="M95" s="3"/>
    </row>
    <row r="96" spans="1:13" s="34" customFormat="1">
      <c r="A96" s="3"/>
      <c r="B96" s="41"/>
      <c r="C96" s="41"/>
      <c r="D96" s="41"/>
      <c r="E96" s="3"/>
      <c r="F96" s="3"/>
      <c r="G96" s="3"/>
      <c r="H96" s="3"/>
      <c r="I96" s="3"/>
      <c r="J96" s="3"/>
      <c r="K96" s="3"/>
      <c r="L96" s="3"/>
      <c r="M96" s="3"/>
    </row>
    <row r="97" spans="1:13" s="34" customFormat="1">
      <c r="A97" s="3"/>
      <c r="B97" s="41"/>
      <c r="C97" s="41"/>
      <c r="D97" s="41"/>
      <c r="E97" s="3"/>
      <c r="F97" s="3"/>
      <c r="G97" s="3"/>
      <c r="H97" s="3"/>
      <c r="I97" s="3"/>
      <c r="J97" s="3"/>
      <c r="K97" s="3"/>
      <c r="L97" s="3"/>
      <c r="M97" s="3"/>
    </row>
    <row r="98" spans="1:13" s="34" customFormat="1">
      <c r="A98" s="3"/>
      <c r="B98" s="41"/>
      <c r="C98" s="41"/>
      <c r="D98" s="41"/>
      <c r="E98" s="3"/>
      <c r="F98" s="3"/>
      <c r="G98" s="3"/>
      <c r="H98" s="3"/>
      <c r="I98" s="3"/>
      <c r="J98" s="3"/>
      <c r="K98" s="3"/>
      <c r="L98" s="3"/>
      <c r="M98" s="3"/>
    </row>
    <row r="99" spans="1:13" s="34" customFormat="1">
      <c r="A99" s="3"/>
      <c r="B99" s="41"/>
      <c r="C99" s="41"/>
      <c r="D99" s="41"/>
      <c r="E99" s="3"/>
      <c r="F99" s="3"/>
      <c r="G99" s="3"/>
      <c r="H99" s="3"/>
      <c r="I99" s="3"/>
      <c r="J99" s="3"/>
      <c r="K99" s="3"/>
      <c r="L99" s="3"/>
      <c r="M99" s="3"/>
    </row>
    <row r="100" spans="1:13" s="34" customFormat="1">
      <c r="A100" s="3"/>
      <c r="B100" s="41"/>
      <c r="C100" s="41"/>
      <c r="D100" s="41"/>
      <c r="E100" s="3"/>
      <c r="F100" s="3"/>
      <c r="G100" s="3"/>
      <c r="H100" s="3"/>
      <c r="I100" s="3"/>
      <c r="J100" s="3"/>
      <c r="K100" s="3"/>
      <c r="L100" s="3"/>
      <c r="M100" s="3"/>
    </row>
    <row r="101" spans="1:13" s="34" customFormat="1">
      <c r="A101" s="3"/>
      <c r="B101" s="41"/>
      <c r="C101" s="41"/>
      <c r="D101" s="41"/>
      <c r="E101" s="3"/>
      <c r="F101" s="3"/>
      <c r="G101" s="3"/>
      <c r="H101" s="3"/>
      <c r="I101" s="3"/>
      <c r="J101" s="3"/>
      <c r="K101" s="3"/>
      <c r="L101" s="3"/>
      <c r="M101" s="3"/>
    </row>
    <row r="102" spans="1:13" s="34" customFormat="1">
      <c r="A102" s="3"/>
      <c r="B102" s="41"/>
      <c r="C102" s="41"/>
      <c r="D102" s="41"/>
      <c r="E102" s="3"/>
      <c r="F102" s="3"/>
      <c r="G102" s="3"/>
      <c r="H102" s="3"/>
      <c r="I102" s="3"/>
      <c r="J102" s="3"/>
      <c r="K102" s="3"/>
      <c r="L102" s="3"/>
      <c r="M102" s="3"/>
    </row>
    <row r="103" spans="1:13" s="34" customFormat="1">
      <c r="A103" s="3"/>
      <c r="B103" s="41"/>
      <c r="C103" s="41"/>
      <c r="D103" s="41"/>
      <c r="E103" s="3"/>
      <c r="F103" s="3"/>
      <c r="G103" s="3"/>
      <c r="H103" s="3"/>
      <c r="I103" s="3"/>
      <c r="J103" s="3"/>
      <c r="K103" s="3"/>
      <c r="L103" s="3"/>
      <c r="M103" s="3"/>
    </row>
    <row r="104" spans="1:13" s="34" customFormat="1">
      <c r="A104" s="3"/>
      <c r="B104" s="41"/>
      <c r="C104" s="41"/>
      <c r="D104" s="41"/>
      <c r="E104" s="3"/>
      <c r="F104" s="3"/>
      <c r="G104" s="3"/>
      <c r="H104" s="3"/>
      <c r="I104" s="3"/>
      <c r="J104" s="3"/>
      <c r="K104" s="3"/>
      <c r="L104" s="3"/>
      <c r="M104" s="3"/>
    </row>
    <row r="105" spans="1:13" s="34" customFormat="1">
      <c r="A105" s="3"/>
      <c r="B105" s="41"/>
      <c r="C105" s="41"/>
      <c r="D105" s="41"/>
      <c r="E105" s="3"/>
      <c r="F105" s="3"/>
      <c r="G105" s="3"/>
      <c r="H105" s="3"/>
      <c r="I105" s="3"/>
      <c r="J105" s="3"/>
      <c r="K105" s="3"/>
      <c r="L105" s="3"/>
      <c r="M105" s="3"/>
    </row>
    <row r="106" spans="1:13" s="34" customFormat="1">
      <c r="A106" s="3"/>
      <c r="B106" s="41"/>
      <c r="C106" s="41"/>
      <c r="D106" s="41"/>
      <c r="E106" s="3"/>
      <c r="F106" s="3"/>
      <c r="G106" s="3"/>
      <c r="H106" s="3"/>
      <c r="I106" s="3"/>
      <c r="J106" s="3"/>
      <c r="K106" s="3"/>
      <c r="L106" s="3"/>
      <c r="M106" s="3"/>
    </row>
    <row r="107" spans="1:13" s="34" customFormat="1">
      <c r="A107" s="3"/>
      <c r="B107" s="41"/>
      <c r="C107" s="41"/>
      <c r="D107" s="41"/>
      <c r="E107" s="3"/>
      <c r="F107" s="3"/>
      <c r="G107" s="3"/>
      <c r="H107" s="3"/>
      <c r="I107" s="3"/>
      <c r="J107" s="3"/>
      <c r="K107" s="3"/>
      <c r="L107" s="3"/>
      <c r="M107" s="3"/>
    </row>
    <row r="108" spans="1:13" s="34" customFormat="1">
      <c r="A108" s="3"/>
      <c r="B108" s="41"/>
      <c r="C108" s="41"/>
      <c r="D108" s="41"/>
      <c r="E108" s="3"/>
      <c r="F108" s="3"/>
      <c r="G108" s="3"/>
      <c r="H108" s="3"/>
      <c r="I108" s="3"/>
      <c r="J108" s="3"/>
      <c r="K108" s="3"/>
      <c r="L108" s="3"/>
      <c r="M108" s="3"/>
    </row>
    <row r="109" spans="1:13" s="34" customFormat="1">
      <c r="A109" s="3"/>
      <c r="B109" s="41"/>
      <c r="C109" s="41"/>
      <c r="D109" s="41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34" customFormat="1">
      <c r="A110" s="3"/>
      <c r="B110" s="41"/>
      <c r="C110" s="41"/>
      <c r="D110" s="41"/>
      <c r="E110" s="3"/>
      <c r="F110" s="3"/>
      <c r="G110" s="3"/>
      <c r="H110" s="3"/>
      <c r="I110" s="3"/>
      <c r="J110" s="3"/>
      <c r="K110" s="3"/>
      <c r="L110" s="3"/>
      <c r="M110" s="3"/>
    </row>
    <row r="111" spans="1:13" s="34" customFormat="1">
      <c r="A111" s="3"/>
      <c r="B111" s="41"/>
      <c r="C111" s="41"/>
      <c r="D111" s="41"/>
      <c r="E111" s="3"/>
      <c r="F111" s="3"/>
      <c r="G111" s="3"/>
      <c r="H111" s="3"/>
      <c r="I111" s="3"/>
      <c r="J111" s="3"/>
      <c r="K111" s="3"/>
      <c r="L111" s="3"/>
      <c r="M111" s="3"/>
    </row>
    <row r="112" spans="1:13" s="34" customFormat="1">
      <c r="A112" s="3"/>
      <c r="B112" s="41"/>
      <c r="C112" s="41"/>
      <c r="D112" s="41"/>
      <c r="E112" s="3"/>
      <c r="F112" s="3"/>
      <c r="G112" s="3"/>
      <c r="H112" s="3"/>
      <c r="I112" s="3"/>
      <c r="J112" s="3"/>
      <c r="K112" s="3"/>
      <c r="L112" s="3"/>
      <c r="M112" s="3"/>
    </row>
    <row r="113" spans="1:13" s="34" customFormat="1">
      <c r="A113" s="3"/>
      <c r="B113" s="41"/>
      <c r="C113" s="41"/>
      <c r="D113" s="41"/>
      <c r="E113" s="3"/>
      <c r="F113" s="3"/>
      <c r="G113" s="3"/>
      <c r="H113" s="3"/>
      <c r="I113" s="3"/>
      <c r="J113" s="3"/>
      <c r="K113" s="3"/>
      <c r="L113" s="3"/>
      <c r="M113" s="3"/>
    </row>
    <row r="114" spans="1:13" s="34" customFormat="1">
      <c r="A114" s="3"/>
      <c r="B114" s="41"/>
      <c r="C114" s="41"/>
      <c r="D114" s="41"/>
      <c r="E114" s="3"/>
      <c r="F114" s="3"/>
      <c r="G114" s="3"/>
      <c r="H114" s="3"/>
      <c r="I114" s="3"/>
      <c r="J114" s="3"/>
      <c r="K114" s="3"/>
      <c r="L114" s="3"/>
      <c r="M114" s="3"/>
    </row>
    <row r="115" spans="1:13" s="34" customFormat="1">
      <c r="A115" s="3"/>
      <c r="B115" s="41"/>
      <c r="C115" s="41"/>
      <c r="D115" s="41"/>
      <c r="E115" s="3"/>
      <c r="F115" s="3"/>
      <c r="G115" s="3"/>
      <c r="H115" s="3"/>
      <c r="I115" s="3"/>
      <c r="J115" s="3"/>
      <c r="K115" s="3"/>
      <c r="L115" s="3"/>
      <c r="M115" s="3"/>
    </row>
    <row r="116" spans="1:13" s="34" customFormat="1">
      <c r="A116" s="3"/>
      <c r="B116" s="41"/>
      <c r="C116" s="41"/>
      <c r="D116" s="41"/>
      <c r="E116" s="3"/>
      <c r="F116" s="3"/>
      <c r="G116" s="3"/>
      <c r="H116" s="3"/>
      <c r="I116" s="3"/>
      <c r="J116" s="3"/>
      <c r="K116" s="3"/>
      <c r="L116" s="3"/>
      <c r="M116" s="3"/>
    </row>
    <row r="117" spans="1:13" s="34" customFormat="1">
      <c r="A117" s="3"/>
      <c r="B117" s="41"/>
      <c r="C117" s="41"/>
      <c r="D117" s="41"/>
      <c r="E117" s="3"/>
      <c r="F117" s="3"/>
      <c r="G117" s="3"/>
      <c r="H117" s="3"/>
      <c r="I117" s="3"/>
      <c r="J117" s="3"/>
      <c r="K117" s="3"/>
      <c r="L117" s="3"/>
      <c r="M117" s="3"/>
    </row>
    <row r="118" spans="1:13" s="34" customFormat="1">
      <c r="A118" s="3"/>
      <c r="B118" s="41"/>
      <c r="C118" s="41"/>
      <c r="D118" s="41"/>
      <c r="E118" s="3"/>
      <c r="F118" s="3"/>
      <c r="G118" s="3"/>
      <c r="H118" s="3"/>
      <c r="I118" s="3"/>
      <c r="J118" s="3"/>
      <c r="K118" s="3"/>
      <c r="L118" s="3"/>
      <c r="M118" s="3"/>
    </row>
    <row r="119" spans="1:13" s="34" customFormat="1">
      <c r="A119" s="3"/>
      <c r="B119" s="41"/>
      <c r="C119" s="41"/>
      <c r="D119" s="41"/>
      <c r="E119" s="3"/>
      <c r="F119" s="3"/>
      <c r="G119" s="3"/>
      <c r="H119" s="3"/>
      <c r="I119" s="3"/>
      <c r="J119" s="3"/>
      <c r="K119" s="3"/>
      <c r="L119" s="3"/>
      <c r="M119" s="3"/>
    </row>
    <row r="120" spans="1:13" s="34" customFormat="1">
      <c r="A120" s="3"/>
      <c r="B120" s="41"/>
      <c r="C120" s="41"/>
      <c r="D120" s="41"/>
      <c r="E120" s="3"/>
      <c r="F120" s="3"/>
      <c r="G120" s="3"/>
      <c r="H120" s="3"/>
      <c r="I120" s="3"/>
      <c r="J120" s="3"/>
      <c r="K120" s="3"/>
      <c r="L120" s="3"/>
      <c r="M120" s="3"/>
    </row>
    <row r="121" spans="1:13" s="34" customFormat="1">
      <c r="A121" s="3"/>
      <c r="B121" s="41"/>
      <c r="C121" s="41"/>
      <c r="D121" s="41"/>
      <c r="E121" s="3"/>
      <c r="F121" s="3"/>
      <c r="G121" s="3"/>
      <c r="H121" s="3"/>
      <c r="I121" s="3"/>
      <c r="J121" s="3"/>
      <c r="K121" s="3"/>
      <c r="L121" s="3"/>
      <c r="M121" s="3"/>
    </row>
    <row r="122" spans="1:13" s="34" customFormat="1">
      <c r="A122" s="3"/>
      <c r="B122" s="41"/>
      <c r="C122" s="41"/>
      <c r="D122" s="41"/>
      <c r="E122" s="3"/>
      <c r="F122" s="3"/>
      <c r="G122" s="3"/>
      <c r="H122" s="3"/>
      <c r="I122" s="3"/>
      <c r="J122" s="3"/>
      <c r="K122" s="3"/>
      <c r="L122" s="3"/>
      <c r="M122" s="3"/>
    </row>
    <row r="123" spans="1:13" s="34" customFormat="1">
      <c r="A123" s="3"/>
      <c r="B123" s="41"/>
      <c r="C123" s="41"/>
      <c r="D123" s="41"/>
      <c r="E123" s="3"/>
      <c r="F123" s="3"/>
      <c r="G123" s="3"/>
      <c r="H123" s="3"/>
      <c r="I123" s="3"/>
      <c r="J123" s="3"/>
      <c r="K123" s="3"/>
      <c r="L123" s="3"/>
      <c r="M123" s="3"/>
    </row>
    <row r="124" spans="1:13" s="34" customFormat="1">
      <c r="A124" s="3"/>
      <c r="B124" s="41"/>
      <c r="C124" s="41"/>
      <c r="D124" s="41"/>
      <c r="E124" s="3"/>
      <c r="F124" s="3"/>
      <c r="G124" s="3"/>
      <c r="H124" s="3"/>
      <c r="I124" s="3"/>
      <c r="J124" s="3"/>
      <c r="K124" s="3"/>
      <c r="L124" s="3"/>
      <c r="M124" s="3"/>
    </row>
    <row r="125" spans="1:13" s="34" customFormat="1">
      <c r="A125" s="3"/>
      <c r="B125" s="41"/>
      <c r="C125" s="41"/>
      <c r="D125" s="41"/>
      <c r="E125" s="3"/>
      <c r="F125" s="3"/>
      <c r="G125" s="3"/>
      <c r="H125" s="3"/>
      <c r="I125" s="3"/>
      <c r="J125" s="3"/>
      <c r="K125" s="3"/>
      <c r="L125" s="3"/>
      <c r="M125" s="3"/>
    </row>
    <row r="126" spans="1:13" s="34" customFormat="1">
      <c r="A126" s="3"/>
      <c r="B126" s="41"/>
      <c r="C126" s="41"/>
      <c r="D126" s="41"/>
      <c r="E126" s="3"/>
      <c r="F126" s="3"/>
      <c r="G126" s="3"/>
      <c r="H126" s="3"/>
      <c r="I126" s="3"/>
      <c r="J126" s="3"/>
      <c r="K126" s="3"/>
      <c r="L126" s="3"/>
      <c r="M126" s="3"/>
    </row>
    <row r="127" spans="1:13" s="34" customFormat="1">
      <c r="A127" s="3"/>
      <c r="B127" s="41"/>
      <c r="C127" s="41"/>
      <c r="D127" s="41"/>
      <c r="E127" s="3"/>
      <c r="F127" s="3"/>
      <c r="G127" s="3"/>
      <c r="H127" s="3"/>
      <c r="I127" s="3"/>
      <c r="J127" s="3"/>
      <c r="K127" s="3"/>
      <c r="L127" s="3"/>
      <c r="M127" s="3"/>
    </row>
    <row r="128" spans="1:13" s="34" customFormat="1">
      <c r="A128" s="3"/>
      <c r="B128" s="41"/>
      <c r="C128" s="41"/>
      <c r="D128" s="41"/>
      <c r="E128" s="3"/>
      <c r="F128" s="3"/>
      <c r="G128" s="3"/>
      <c r="H128" s="3"/>
      <c r="I128" s="3"/>
      <c r="J128" s="3"/>
      <c r="K128" s="3"/>
      <c r="L128" s="3"/>
      <c r="M128" s="3"/>
    </row>
    <row r="129" spans="1:13" s="34" customFormat="1">
      <c r="A129" s="3"/>
      <c r="B129" s="41"/>
      <c r="C129" s="41"/>
      <c r="D129" s="41"/>
      <c r="E129" s="3"/>
      <c r="F129" s="3"/>
      <c r="G129" s="3"/>
      <c r="H129" s="3"/>
      <c r="I129" s="3"/>
      <c r="J129" s="3"/>
      <c r="K129" s="3"/>
      <c r="L129" s="3"/>
      <c r="M129" s="3"/>
    </row>
    <row r="130" spans="1:13" s="34" customFormat="1">
      <c r="A130" s="3"/>
      <c r="B130" s="41"/>
      <c r="C130" s="41"/>
      <c r="D130" s="41"/>
      <c r="E130" s="3"/>
      <c r="F130" s="3"/>
      <c r="G130" s="3"/>
      <c r="H130" s="3"/>
      <c r="I130" s="3"/>
      <c r="J130" s="3"/>
      <c r="K130" s="3"/>
      <c r="L130" s="3"/>
      <c r="M130" s="3"/>
    </row>
    <row r="131" spans="1:13" s="34" customFormat="1">
      <c r="A131" s="3"/>
      <c r="B131" s="41"/>
      <c r="C131" s="41"/>
      <c r="D131" s="41"/>
      <c r="E131" s="3"/>
      <c r="F131" s="3"/>
      <c r="G131" s="3"/>
      <c r="H131" s="3"/>
      <c r="I131" s="3"/>
      <c r="J131" s="3"/>
      <c r="K131" s="3"/>
      <c r="L131" s="3"/>
      <c r="M131" s="3"/>
    </row>
    <row r="132" spans="1:13" s="34" customFormat="1">
      <c r="A132" s="3"/>
      <c r="B132" s="41"/>
      <c r="C132" s="41"/>
      <c r="D132" s="41"/>
      <c r="E132" s="3"/>
      <c r="F132" s="3"/>
      <c r="G132" s="3"/>
      <c r="H132" s="3"/>
      <c r="I132" s="3"/>
      <c r="J132" s="3"/>
      <c r="K132" s="3"/>
      <c r="L132" s="3"/>
      <c r="M132" s="3"/>
    </row>
    <row r="133" spans="1:13" s="34" customFormat="1">
      <c r="A133" s="3"/>
      <c r="B133" s="41"/>
      <c r="C133" s="41"/>
      <c r="D133" s="41"/>
      <c r="E133" s="3"/>
      <c r="F133" s="3"/>
      <c r="G133" s="3"/>
      <c r="H133" s="3"/>
      <c r="I133" s="3"/>
      <c r="J133" s="3"/>
      <c r="K133" s="3"/>
      <c r="L133" s="3"/>
      <c r="M133" s="3"/>
    </row>
    <row r="134" spans="1:13" s="34" customFormat="1">
      <c r="A134" s="3"/>
      <c r="B134" s="41"/>
      <c r="C134" s="41"/>
      <c r="D134" s="41"/>
      <c r="E134" s="3"/>
      <c r="F134" s="3"/>
      <c r="G134" s="3"/>
      <c r="H134" s="3"/>
      <c r="I134" s="3"/>
      <c r="J134" s="3"/>
      <c r="K134" s="3"/>
      <c r="L134" s="3"/>
      <c r="M134" s="3"/>
    </row>
    <row r="135" spans="1:13" s="34" customFormat="1">
      <c r="A135" s="3"/>
      <c r="B135" s="41"/>
      <c r="C135" s="41"/>
      <c r="D135" s="41"/>
      <c r="E135" s="3"/>
      <c r="F135" s="3"/>
      <c r="G135" s="3"/>
      <c r="H135" s="3"/>
      <c r="I135" s="3"/>
      <c r="J135" s="3"/>
      <c r="K135" s="3"/>
      <c r="L135" s="3"/>
      <c r="M135" s="3"/>
    </row>
    <row r="136" spans="1:13" s="34" customFormat="1">
      <c r="A136" s="3"/>
      <c r="B136" s="41"/>
      <c r="C136" s="41"/>
      <c r="D136" s="41"/>
      <c r="E136" s="3"/>
      <c r="F136" s="3"/>
      <c r="G136" s="3"/>
      <c r="H136" s="3"/>
      <c r="I136" s="3"/>
      <c r="J136" s="3"/>
      <c r="K136" s="3"/>
      <c r="L136" s="3"/>
      <c r="M136" s="3"/>
    </row>
    <row r="137" spans="1:13" s="34" customFormat="1">
      <c r="A137" s="3"/>
      <c r="B137" s="41"/>
      <c r="C137" s="41"/>
      <c r="D137" s="41"/>
      <c r="E137" s="3"/>
      <c r="F137" s="3"/>
      <c r="G137" s="3"/>
      <c r="H137" s="3"/>
      <c r="I137" s="3"/>
      <c r="J137" s="3"/>
      <c r="K137" s="3"/>
      <c r="L137" s="3"/>
      <c r="M137" s="3"/>
    </row>
    <row r="138" spans="1:13" s="34" customFormat="1">
      <c r="A138" s="3"/>
      <c r="B138" s="41"/>
      <c r="C138" s="41"/>
      <c r="D138" s="41"/>
      <c r="E138" s="3"/>
      <c r="F138" s="3"/>
      <c r="G138" s="3"/>
      <c r="H138" s="3"/>
      <c r="I138" s="3"/>
      <c r="J138" s="3"/>
      <c r="K138" s="3"/>
      <c r="L138" s="3"/>
      <c r="M138" s="3"/>
    </row>
    <row r="139" spans="1:13" s="34" customFormat="1">
      <c r="A139" s="3"/>
      <c r="B139" s="41"/>
      <c r="C139" s="41"/>
      <c r="D139" s="41"/>
      <c r="E139" s="3"/>
      <c r="F139" s="3"/>
      <c r="G139" s="3"/>
      <c r="H139" s="3"/>
      <c r="I139" s="3"/>
      <c r="J139" s="3"/>
      <c r="K139" s="3"/>
      <c r="L139" s="3"/>
      <c r="M139" s="3"/>
    </row>
    <row r="140" spans="1:13" s="34" customFormat="1">
      <c r="A140" s="3"/>
      <c r="B140" s="41"/>
      <c r="C140" s="41"/>
      <c r="D140" s="41"/>
      <c r="E140" s="3"/>
      <c r="F140" s="3"/>
      <c r="G140" s="3"/>
      <c r="H140" s="3"/>
      <c r="I140" s="3"/>
      <c r="J140" s="3"/>
      <c r="K140" s="3"/>
      <c r="L140" s="3"/>
      <c r="M140" s="3"/>
    </row>
    <row r="141" spans="1:13" s="34" customFormat="1">
      <c r="A141" s="3"/>
      <c r="B141" s="41"/>
      <c r="C141" s="41"/>
      <c r="D141" s="41"/>
      <c r="E141" s="3"/>
      <c r="F141" s="3"/>
      <c r="G141" s="3"/>
      <c r="H141" s="3"/>
      <c r="I141" s="3"/>
      <c r="J141" s="3"/>
      <c r="K141" s="3"/>
      <c r="L141" s="3"/>
      <c r="M141" s="3"/>
    </row>
    <row r="142" spans="1:13" s="34" customFormat="1">
      <c r="A142" s="3"/>
      <c r="B142" s="41"/>
      <c r="C142" s="41"/>
      <c r="D142" s="41"/>
      <c r="E142" s="3"/>
      <c r="F142" s="3"/>
      <c r="G142" s="3"/>
      <c r="H142" s="3"/>
      <c r="I142" s="3"/>
      <c r="J142" s="3"/>
      <c r="K142" s="3"/>
      <c r="L142" s="3"/>
      <c r="M142" s="3"/>
    </row>
    <row r="143" spans="1:13" s="34" customFormat="1">
      <c r="A143" s="3"/>
      <c r="B143" s="41"/>
      <c r="C143" s="41"/>
      <c r="D143" s="41"/>
      <c r="E143" s="3"/>
      <c r="F143" s="3"/>
      <c r="G143" s="3"/>
      <c r="H143" s="3"/>
      <c r="I143" s="3"/>
      <c r="J143" s="3"/>
      <c r="K143" s="3"/>
      <c r="L143" s="3"/>
      <c r="M143" s="3"/>
    </row>
    <row r="144" spans="1:13" s="34" customFormat="1">
      <c r="A144" s="3"/>
      <c r="B144" s="41"/>
      <c r="C144" s="41"/>
      <c r="D144" s="41"/>
      <c r="E144" s="3"/>
      <c r="F144" s="3"/>
      <c r="G144" s="3"/>
      <c r="H144" s="3"/>
      <c r="I144" s="3"/>
      <c r="J144" s="3"/>
      <c r="K144" s="3"/>
      <c r="L144" s="3"/>
      <c r="M144" s="3"/>
    </row>
    <row r="145" spans="1:13" s="34" customFormat="1">
      <c r="A145" s="3"/>
      <c r="B145" s="41"/>
      <c r="C145" s="41"/>
      <c r="D145" s="41"/>
      <c r="E145" s="3"/>
      <c r="F145" s="3"/>
      <c r="G145" s="3"/>
      <c r="H145" s="3"/>
      <c r="I145" s="3"/>
      <c r="J145" s="3"/>
      <c r="K145" s="3"/>
      <c r="L145" s="3"/>
      <c r="M145" s="3"/>
    </row>
    <row r="146" spans="1:13" s="34" customFormat="1">
      <c r="A146" s="3"/>
      <c r="B146" s="41"/>
      <c r="C146" s="41"/>
      <c r="D146" s="41"/>
      <c r="E146" s="3"/>
      <c r="F146" s="3"/>
      <c r="G146" s="3"/>
      <c r="H146" s="3"/>
      <c r="I146" s="3"/>
      <c r="J146" s="3"/>
      <c r="K146" s="3"/>
      <c r="L146" s="3"/>
      <c r="M146" s="3"/>
    </row>
    <row r="147" spans="1:13" s="34" customFormat="1">
      <c r="A147" s="3"/>
      <c r="B147" s="41"/>
      <c r="C147" s="41"/>
      <c r="D147" s="41"/>
      <c r="E147" s="3"/>
      <c r="F147" s="3"/>
      <c r="G147" s="3"/>
      <c r="H147" s="3"/>
      <c r="I147" s="3"/>
      <c r="J147" s="3"/>
      <c r="K147" s="3"/>
      <c r="L147" s="3"/>
      <c r="M147" s="3"/>
    </row>
    <row r="148" spans="1:13" s="34" customFormat="1">
      <c r="A148" s="3"/>
      <c r="B148" s="41"/>
      <c r="C148" s="41"/>
      <c r="D148" s="41"/>
      <c r="E148" s="3"/>
      <c r="F148" s="3"/>
      <c r="G148" s="3"/>
      <c r="H148" s="3"/>
      <c r="I148" s="3"/>
      <c r="J148" s="3"/>
      <c r="K148" s="3"/>
      <c r="L148" s="3"/>
      <c r="M148" s="3"/>
    </row>
    <row r="149" spans="1:13" s="34" customFormat="1">
      <c r="A149" s="3"/>
      <c r="B149" s="41"/>
      <c r="C149" s="41"/>
      <c r="D149" s="41"/>
      <c r="E149" s="3"/>
      <c r="F149" s="3"/>
      <c r="G149" s="3"/>
      <c r="H149" s="3"/>
      <c r="I149" s="3"/>
      <c r="J149" s="3"/>
      <c r="K149" s="3"/>
      <c r="L149" s="3"/>
      <c r="M149" s="3"/>
    </row>
    <row r="150" spans="1:13" s="34" customFormat="1">
      <c r="A150" s="3"/>
      <c r="B150" s="41"/>
      <c r="C150" s="41"/>
      <c r="D150" s="41"/>
      <c r="E150" s="3"/>
      <c r="F150" s="3"/>
      <c r="G150" s="3"/>
      <c r="H150" s="3"/>
      <c r="I150" s="3"/>
      <c r="J150" s="3"/>
      <c r="K150" s="3"/>
      <c r="L150" s="3"/>
      <c r="M150" s="3"/>
    </row>
    <row r="151" spans="1:13" s="34" customFormat="1">
      <c r="A151" s="3"/>
      <c r="B151" s="41"/>
      <c r="C151" s="41"/>
      <c r="D151" s="41"/>
      <c r="E151" s="3"/>
      <c r="F151" s="3"/>
      <c r="G151" s="3"/>
      <c r="H151" s="3"/>
      <c r="I151" s="3"/>
      <c r="J151" s="3"/>
      <c r="K151" s="3"/>
      <c r="L151" s="3"/>
      <c r="M151" s="3"/>
    </row>
    <row r="152" spans="1:13" s="34" customFormat="1">
      <c r="A152" s="3"/>
      <c r="B152" s="41"/>
      <c r="C152" s="41"/>
      <c r="D152" s="41"/>
      <c r="E152" s="3"/>
      <c r="F152" s="3"/>
      <c r="G152" s="3"/>
      <c r="H152" s="3"/>
      <c r="I152" s="3"/>
      <c r="J152" s="3"/>
      <c r="K152" s="3"/>
      <c r="L152" s="3"/>
      <c r="M152" s="3"/>
    </row>
    <row r="153" spans="1:13" s="34" customFormat="1">
      <c r="A153" s="3"/>
      <c r="B153" s="41"/>
      <c r="C153" s="41"/>
      <c r="D153" s="41"/>
      <c r="E153" s="3"/>
      <c r="F153" s="3"/>
      <c r="G153" s="3"/>
      <c r="H153" s="3"/>
      <c r="I153" s="3"/>
      <c r="J153" s="3"/>
      <c r="K153" s="3"/>
      <c r="L153" s="3"/>
      <c r="M153" s="3"/>
    </row>
    <row r="154" spans="1:13" s="34" customFormat="1">
      <c r="A154" s="3"/>
      <c r="B154" s="41"/>
      <c r="C154" s="41"/>
      <c r="D154" s="41"/>
      <c r="E154" s="3"/>
      <c r="F154" s="3"/>
      <c r="G154" s="3"/>
      <c r="H154" s="3"/>
      <c r="I154" s="3"/>
      <c r="J154" s="3"/>
      <c r="K154" s="3"/>
      <c r="L154" s="3"/>
      <c r="M154" s="3"/>
    </row>
    <row r="155" spans="1:13" s="34" customFormat="1">
      <c r="A155" s="3"/>
      <c r="B155" s="41"/>
      <c r="C155" s="41"/>
      <c r="D155" s="41"/>
      <c r="E155" s="3"/>
      <c r="F155" s="3"/>
      <c r="G155" s="3"/>
      <c r="H155" s="3"/>
      <c r="I155" s="3"/>
      <c r="J155" s="3"/>
      <c r="K155" s="3"/>
      <c r="L155" s="3"/>
      <c r="M155" s="3"/>
    </row>
    <row r="156" spans="1:13" s="34" customFormat="1">
      <c r="A156" s="3"/>
      <c r="B156" s="41"/>
      <c r="C156" s="41"/>
      <c r="D156" s="41"/>
      <c r="E156" s="3"/>
      <c r="F156" s="3"/>
      <c r="G156" s="3"/>
      <c r="H156" s="3"/>
      <c r="I156" s="3"/>
      <c r="J156" s="3"/>
      <c r="K156" s="3"/>
      <c r="L156" s="3"/>
      <c r="M156" s="3"/>
    </row>
    <row r="157" spans="1:13" s="34" customFormat="1">
      <c r="A157" s="3"/>
      <c r="B157" s="41"/>
      <c r="C157" s="41"/>
      <c r="D157" s="41"/>
      <c r="E157" s="3"/>
      <c r="F157" s="3"/>
      <c r="G157" s="3"/>
      <c r="H157" s="3"/>
      <c r="I157" s="3"/>
      <c r="J157" s="3"/>
      <c r="K157" s="3"/>
      <c r="L157" s="3"/>
      <c r="M157" s="3"/>
    </row>
    <row r="158" spans="1:13" s="34" customFormat="1">
      <c r="A158" s="3"/>
      <c r="B158" s="41"/>
      <c r="C158" s="41"/>
      <c r="D158" s="41"/>
      <c r="E158" s="3"/>
      <c r="F158" s="3"/>
      <c r="G158" s="3"/>
      <c r="H158" s="3"/>
      <c r="I158" s="3"/>
      <c r="J158" s="3"/>
      <c r="K158" s="3"/>
      <c r="L158" s="3"/>
      <c r="M158" s="3"/>
    </row>
    <row r="159" spans="1:13" s="34" customFormat="1">
      <c r="A159" s="3"/>
      <c r="B159" s="41"/>
      <c r="C159" s="41"/>
      <c r="D159" s="41"/>
      <c r="E159" s="3"/>
      <c r="F159" s="3"/>
      <c r="G159" s="3"/>
      <c r="H159" s="3"/>
      <c r="I159" s="3"/>
      <c r="J159" s="3"/>
      <c r="K159" s="3"/>
      <c r="L159" s="3"/>
      <c r="M159" s="3"/>
    </row>
    <row r="160" spans="1:13" s="34" customFormat="1">
      <c r="A160" s="3"/>
      <c r="B160" s="41"/>
      <c r="C160" s="41"/>
      <c r="D160" s="41"/>
      <c r="E160" s="3"/>
      <c r="F160" s="3"/>
      <c r="G160" s="3"/>
      <c r="H160" s="3"/>
      <c r="I160" s="3"/>
      <c r="J160" s="3"/>
      <c r="K160" s="3"/>
      <c r="L160" s="3"/>
      <c r="M160" s="3"/>
    </row>
    <row r="161" spans="1:13" s="34" customFormat="1">
      <c r="A161" s="3"/>
      <c r="B161" s="41"/>
      <c r="C161" s="41"/>
      <c r="D161" s="41"/>
      <c r="E161" s="3"/>
      <c r="F161" s="3"/>
      <c r="G161" s="3"/>
      <c r="H161" s="3"/>
      <c r="I161" s="3"/>
      <c r="J161" s="3"/>
      <c r="K161" s="3"/>
      <c r="L161" s="3"/>
      <c r="M161" s="3"/>
    </row>
    <row r="162" spans="1:13" s="34" customFormat="1">
      <c r="A162" s="3"/>
      <c r="B162" s="41"/>
      <c r="C162" s="41"/>
      <c r="D162" s="41"/>
      <c r="E162" s="3"/>
      <c r="F162" s="3"/>
      <c r="G162" s="3"/>
      <c r="H162" s="3"/>
      <c r="I162" s="3"/>
      <c r="J162" s="3"/>
      <c r="K162" s="3"/>
      <c r="L162" s="3"/>
      <c r="M162" s="3"/>
    </row>
    <row r="163" spans="1:13" s="34" customFormat="1">
      <c r="A163" s="3"/>
      <c r="B163" s="41"/>
      <c r="C163" s="41"/>
      <c r="D163" s="41"/>
      <c r="E163" s="3"/>
      <c r="F163" s="3"/>
      <c r="G163" s="3"/>
      <c r="H163" s="3"/>
      <c r="I163" s="3"/>
      <c r="J163" s="3"/>
      <c r="K163" s="3"/>
      <c r="L163" s="3"/>
      <c r="M163" s="3"/>
    </row>
    <row r="164" spans="1:13" s="34" customFormat="1">
      <c r="A164" s="3"/>
      <c r="B164" s="41"/>
      <c r="C164" s="41"/>
      <c r="D164" s="41"/>
      <c r="E164" s="3"/>
      <c r="F164" s="3"/>
      <c r="G164" s="3"/>
      <c r="H164" s="3"/>
      <c r="I164" s="3"/>
      <c r="J164" s="3"/>
      <c r="K164" s="3"/>
      <c r="L164" s="3"/>
      <c r="M164" s="3"/>
    </row>
    <row r="165" spans="1:13" s="34" customFormat="1">
      <c r="A165" s="3"/>
      <c r="B165" s="41"/>
      <c r="C165" s="41"/>
      <c r="D165" s="41"/>
      <c r="E165" s="3"/>
      <c r="F165" s="3"/>
      <c r="G165" s="3"/>
      <c r="H165" s="3"/>
      <c r="I165" s="3"/>
      <c r="J165" s="3"/>
      <c r="K165" s="3"/>
      <c r="L165" s="3"/>
      <c r="M165" s="3"/>
    </row>
    <row r="166" spans="1:13" s="34" customFormat="1">
      <c r="A166" s="3"/>
      <c r="B166" s="41"/>
      <c r="C166" s="41"/>
      <c r="D166" s="41"/>
      <c r="E166" s="3"/>
      <c r="F166" s="3"/>
      <c r="G166" s="3"/>
      <c r="H166" s="3"/>
      <c r="I166" s="3"/>
      <c r="J166" s="3"/>
      <c r="K166" s="3"/>
      <c r="L166" s="3"/>
      <c r="M166" s="3"/>
    </row>
    <row r="167" spans="1:13" s="34" customFormat="1">
      <c r="A167" s="3"/>
      <c r="B167" s="41"/>
      <c r="C167" s="41"/>
      <c r="D167" s="41"/>
      <c r="E167" s="3"/>
      <c r="F167" s="3"/>
      <c r="G167" s="3"/>
      <c r="H167" s="3"/>
      <c r="I167" s="3"/>
      <c r="J167" s="3"/>
      <c r="K167" s="3"/>
      <c r="L167" s="3"/>
      <c r="M167" s="3"/>
    </row>
    <row r="168" spans="1:13" s="34" customFormat="1">
      <c r="A168" s="3"/>
      <c r="B168" s="41"/>
      <c r="C168" s="41"/>
      <c r="D168" s="41"/>
      <c r="E168" s="3"/>
      <c r="F168" s="3"/>
      <c r="G168" s="3"/>
      <c r="H168" s="3"/>
      <c r="I168" s="3"/>
      <c r="J168" s="3"/>
      <c r="K168" s="3"/>
      <c r="L168" s="3"/>
      <c r="M168" s="3"/>
    </row>
    <row r="169" spans="1:13" s="34" customFormat="1">
      <c r="A169" s="3"/>
      <c r="B169" s="41"/>
      <c r="C169" s="41"/>
      <c r="D169" s="41"/>
      <c r="E169" s="3"/>
      <c r="F169" s="3"/>
      <c r="G169" s="3"/>
      <c r="H169" s="3"/>
      <c r="I169" s="3"/>
      <c r="J169" s="3"/>
      <c r="K169" s="3"/>
      <c r="L169" s="3"/>
      <c r="M169" s="3"/>
    </row>
    <row r="170" spans="1:13" s="34" customFormat="1">
      <c r="A170" s="3"/>
      <c r="B170" s="41"/>
      <c r="C170" s="41"/>
      <c r="D170" s="41"/>
      <c r="E170" s="3"/>
      <c r="F170" s="3"/>
      <c r="G170" s="3"/>
      <c r="H170" s="3"/>
      <c r="I170" s="3"/>
      <c r="J170" s="3"/>
      <c r="K170" s="3"/>
      <c r="L170" s="3"/>
      <c r="M170" s="3"/>
    </row>
    <row r="171" spans="1:13" s="34" customFormat="1">
      <c r="A171" s="3"/>
      <c r="B171" s="41"/>
      <c r="C171" s="41"/>
      <c r="D171" s="41"/>
      <c r="E171" s="3"/>
      <c r="F171" s="3"/>
      <c r="G171" s="3"/>
      <c r="H171" s="3"/>
      <c r="I171" s="3"/>
      <c r="J171" s="3"/>
      <c r="K171" s="3"/>
      <c r="L171" s="3"/>
      <c r="M171" s="3"/>
    </row>
    <row r="172" spans="1:13" s="34" customFormat="1">
      <c r="A172" s="3"/>
      <c r="B172" s="41"/>
      <c r="C172" s="41"/>
      <c r="D172" s="41"/>
      <c r="E172" s="3"/>
      <c r="F172" s="3"/>
      <c r="G172" s="3"/>
      <c r="H172" s="3"/>
      <c r="I172" s="3"/>
      <c r="J172" s="3"/>
      <c r="K172" s="3"/>
      <c r="L172" s="3"/>
      <c r="M172" s="3"/>
    </row>
    <row r="173" spans="1:13" s="34" customFormat="1">
      <c r="A173" s="3"/>
      <c r="B173" s="41"/>
      <c r="C173" s="41"/>
      <c r="D173" s="41"/>
      <c r="E173" s="3"/>
      <c r="F173" s="3"/>
      <c r="G173" s="3"/>
      <c r="H173" s="3"/>
      <c r="I173" s="3"/>
      <c r="J173" s="3"/>
      <c r="K173" s="3"/>
      <c r="L173" s="3"/>
      <c r="M173" s="3"/>
    </row>
    <row r="174" spans="1:13" s="34" customFormat="1">
      <c r="A174" s="3"/>
      <c r="B174" s="41"/>
      <c r="C174" s="41"/>
      <c r="D174" s="41"/>
      <c r="E174" s="3"/>
      <c r="F174" s="3"/>
      <c r="G174" s="3"/>
      <c r="H174" s="3"/>
      <c r="I174" s="3"/>
      <c r="J174" s="3"/>
      <c r="K174" s="3"/>
      <c r="L174" s="3"/>
      <c r="M174" s="3"/>
    </row>
    <row r="175" spans="1:13" s="34" customFormat="1">
      <c r="A175" s="3"/>
      <c r="B175" s="41"/>
      <c r="C175" s="41"/>
      <c r="D175" s="41"/>
      <c r="E175" s="3"/>
      <c r="F175" s="3"/>
      <c r="G175" s="3"/>
      <c r="H175" s="3"/>
      <c r="I175" s="3"/>
      <c r="J175" s="3"/>
      <c r="K175" s="3"/>
      <c r="L175" s="3"/>
      <c r="M175" s="3"/>
    </row>
    <row r="176" spans="1:13" s="34" customFormat="1">
      <c r="A176" s="3"/>
      <c r="B176" s="41"/>
      <c r="C176" s="41"/>
      <c r="D176" s="41"/>
      <c r="E176" s="3"/>
      <c r="F176" s="3"/>
      <c r="G176" s="3"/>
      <c r="H176" s="3"/>
      <c r="I176" s="3"/>
      <c r="J176" s="3"/>
      <c r="K176" s="3"/>
      <c r="L176" s="3"/>
      <c r="M176" s="3"/>
    </row>
    <row r="177" spans="1:13" s="34" customFormat="1">
      <c r="A177" s="3"/>
      <c r="B177" s="41"/>
      <c r="C177" s="41"/>
      <c r="D177" s="41"/>
      <c r="E177" s="3"/>
      <c r="F177" s="3"/>
      <c r="G177" s="3"/>
      <c r="H177" s="3"/>
      <c r="I177" s="3"/>
      <c r="J177" s="3"/>
      <c r="K177" s="3"/>
      <c r="L177" s="3"/>
      <c r="M177" s="3"/>
    </row>
    <row r="178" spans="1:13" s="34" customFormat="1">
      <c r="A178" s="3"/>
      <c r="B178" s="41"/>
      <c r="C178" s="41"/>
      <c r="D178" s="41"/>
      <c r="E178" s="3"/>
      <c r="F178" s="3"/>
      <c r="G178" s="3"/>
      <c r="H178" s="3"/>
      <c r="I178" s="3"/>
      <c r="J178" s="3"/>
      <c r="K178" s="3"/>
      <c r="L178" s="3"/>
      <c r="M178" s="3"/>
    </row>
    <row r="179" spans="1:13" s="34" customFormat="1">
      <c r="A179" s="3"/>
      <c r="B179" s="41"/>
      <c r="C179" s="41"/>
      <c r="D179" s="41"/>
      <c r="E179" s="3"/>
      <c r="F179" s="3"/>
      <c r="G179" s="3"/>
      <c r="H179" s="3"/>
      <c r="I179" s="3"/>
      <c r="J179" s="3"/>
      <c r="K179" s="3"/>
      <c r="L179" s="3"/>
      <c r="M179" s="3"/>
    </row>
    <row r="180" spans="1:13" s="34" customFormat="1">
      <c r="A180" s="3"/>
      <c r="B180" s="41"/>
      <c r="C180" s="41"/>
      <c r="D180" s="41"/>
      <c r="E180" s="3"/>
      <c r="F180" s="3"/>
      <c r="G180" s="3"/>
      <c r="H180" s="3"/>
      <c r="I180" s="3"/>
      <c r="J180" s="3"/>
      <c r="K180" s="3"/>
      <c r="L180" s="3"/>
      <c r="M180" s="3"/>
    </row>
    <row r="181" spans="1:13" s="34" customFormat="1">
      <c r="A181" s="3"/>
      <c r="B181" s="41"/>
      <c r="C181" s="41"/>
      <c r="D181" s="41"/>
      <c r="E181" s="3"/>
      <c r="F181" s="3"/>
      <c r="G181" s="3"/>
      <c r="H181" s="3"/>
      <c r="I181" s="3"/>
      <c r="J181" s="3"/>
      <c r="K181" s="3"/>
      <c r="L181" s="3"/>
      <c r="M181" s="3"/>
    </row>
    <row r="182" spans="1:13" s="34" customFormat="1">
      <c r="A182" s="3"/>
      <c r="B182" s="41"/>
      <c r="C182" s="41"/>
      <c r="D182" s="41"/>
      <c r="E182" s="3"/>
      <c r="F182" s="3"/>
      <c r="G182" s="3"/>
      <c r="H182" s="3"/>
      <c r="I182" s="3"/>
      <c r="J182" s="3"/>
      <c r="K182" s="3"/>
      <c r="L182" s="3"/>
      <c r="M182" s="3"/>
    </row>
    <row r="183" spans="1:13" s="34" customFormat="1">
      <c r="A183" s="3"/>
      <c r="B183" s="41"/>
      <c r="C183" s="41"/>
      <c r="D183" s="41"/>
      <c r="E183" s="3"/>
      <c r="F183" s="3"/>
      <c r="G183" s="3"/>
      <c r="H183" s="3"/>
      <c r="I183" s="3"/>
      <c r="J183" s="3"/>
      <c r="K183" s="3"/>
      <c r="L183" s="3"/>
      <c r="M183" s="3"/>
    </row>
    <row r="184" spans="1:13" s="34" customFormat="1">
      <c r="A184" s="3"/>
      <c r="B184" s="41"/>
      <c r="C184" s="41"/>
      <c r="D184" s="41"/>
      <c r="E184" s="3"/>
      <c r="F184" s="3"/>
      <c r="G184" s="3"/>
      <c r="H184" s="3"/>
      <c r="I184" s="3"/>
      <c r="J184" s="3"/>
      <c r="K184" s="3"/>
      <c r="L184" s="3"/>
      <c r="M184" s="3"/>
    </row>
    <row r="185" spans="1:13" s="34" customFormat="1">
      <c r="A185" s="3"/>
      <c r="B185" s="41"/>
      <c r="C185" s="41"/>
      <c r="D185" s="41"/>
      <c r="E185" s="3"/>
      <c r="F185" s="3"/>
      <c r="G185" s="3"/>
      <c r="H185" s="3"/>
      <c r="I185" s="3"/>
      <c r="J185" s="3"/>
      <c r="K185" s="3"/>
      <c r="L185" s="3"/>
      <c r="M185" s="3"/>
    </row>
    <row r="186" spans="1:13" s="34" customFormat="1">
      <c r="A186" s="3"/>
      <c r="B186" s="41"/>
      <c r="C186" s="41"/>
      <c r="D186" s="41"/>
      <c r="E186" s="3"/>
      <c r="F186" s="3"/>
      <c r="G186" s="3"/>
      <c r="H186" s="3"/>
      <c r="I186" s="3"/>
      <c r="J186" s="3"/>
      <c r="K186" s="3"/>
      <c r="L186" s="3"/>
      <c r="M186" s="3"/>
    </row>
    <row r="187" spans="1:13" s="34" customFormat="1">
      <c r="A187" s="3"/>
      <c r="B187" s="41"/>
      <c r="C187" s="41"/>
      <c r="D187" s="41"/>
      <c r="E187" s="3"/>
      <c r="F187" s="3"/>
      <c r="G187" s="3"/>
      <c r="H187" s="3"/>
      <c r="I187" s="3"/>
      <c r="J187" s="3"/>
      <c r="K187" s="3"/>
      <c r="L187" s="3"/>
      <c r="M187" s="3"/>
    </row>
    <row r="188" spans="1:13" s="34" customFormat="1">
      <c r="A188" s="3"/>
      <c r="B188" s="41"/>
      <c r="C188" s="41"/>
      <c r="D188" s="41"/>
      <c r="E188" s="3"/>
      <c r="F188" s="3"/>
      <c r="G188" s="3"/>
      <c r="H188" s="3"/>
      <c r="I188" s="3"/>
      <c r="J188" s="3"/>
      <c r="K188" s="3"/>
      <c r="L188" s="3"/>
      <c r="M188" s="3"/>
    </row>
    <row r="189" spans="1:13" s="34" customFormat="1">
      <c r="A189" s="3"/>
      <c r="B189" s="41"/>
      <c r="C189" s="41"/>
      <c r="D189" s="41"/>
      <c r="E189" s="3"/>
      <c r="F189" s="3"/>
      <c r="G189" s="3"/>
      <c r="H189" s="3"/>
      <c r="I189" s="3"/>
      <c r="J189" s="3"/>
      <c r="K189" s="3"/>
      <c r="L189" s="3"/>
      <c r="M189" s="3"/>
    </row>
    <row r="190" spans="1:13" s="34" customFormat="1">
      <c r="A190" s="3"/>
      <c r="B190" s="41"/>
      <c r="C190" s="41"/>
      <c r="D190" s="41"/>
      <c r="E190" s="3"/>
      <c r="F190" s="3"/>
      <c r="G190" s="3"/>
      <c r="H190" s="3"/>
      <c r="I190" s="3"/>
      <c r="J190" s="3"/>
      <c r="K190" s="3"/>
      <c r="L190" s="3"/>
      <c r="M190" s="3"/>
    </row>
    <row r="191" spans="1:13" s="34" customForma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s="34" customForma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s="34" customForma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s="34" customForma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s="34" customForma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s="34" customForma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s="34" customForma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s="34" customForma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s="34" customForma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s="34" customForma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s="34" customForma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s="34" customForma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s="34" customForma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s="34" customForma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s="34" customForma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s="34" customForma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s="34" customForma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s="34" customForma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s="34" customForma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s="34" customForma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s="34" customForma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s="34" customForma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s="34" customForma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s="34" customForma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s="34" customForma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s="34" customForma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s="34" customForma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s="34" customForma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s="34" customForma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s="34" customForma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s="34" customForma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s="34" customForma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s="34" customForma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s="34" customForma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s="34" customForma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s="34" customForma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s="34" customForma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s="34" customForma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s="34" customForma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s="34" customForma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s="34" customForma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s="34" customForma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s="34" customForma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s="34" customForma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s="34" customForma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s="34" customForma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s="34" customForma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s="34" customForma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s="34" customForma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s="34" customForma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s="34" customForma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s="34" customForma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s="34" customForma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s="34" customForma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s="34" customForma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s="34" customForma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s="34" customForma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s="34" customForma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s="34" customForma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s="34" customForma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s="34" customForma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s="34" customForma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s="34" customForma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s="34" customForma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s="34" customForma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s="34" customForma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s="34" customForma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s="34" customForma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s="34" customForma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s="34" customForma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s="34" customForma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s="34" customForma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s="34" customForma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s="34" customForma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s="34" customForma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s="34" customForma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s="34" customForma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s="34" customForma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s="34" customForma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s="34" customForma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s="34" customForma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s="34" customForma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s="34" customForma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s="34" customForma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s="34" customForma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s="34" customForma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s="34" customForma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s="34" customForma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s="34" customForma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s="34" customForma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s="34" customForma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s="34" customForma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s="34" customForma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s="34" customForma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s="34" customForma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s="34" customForma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s="34" customForma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s="34" customForma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s="34" customForma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s="34" customForma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s="34" customForma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s="34" customForma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s="34" customForma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s="34" customForma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s="34" customForma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s="34" customForma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s="34" customForma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s="34" customForma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s="34" customForma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s="34" customForma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s="34" customForma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s="34" customForma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s="34" customForma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s="34" customForma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s="34" customForma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s="34" customForma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s="34" customForma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s="34" customForma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s="34" customForma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s="34" customForma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s="34" customForma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s="34" customForma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s="34" customForma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s="34" customForma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s="34" customForma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s="34" customForma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s="34" customForma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s="34" customForma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s="34" customForma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s="34" customForma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s="34" customForma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s="34" customForma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s="34" customForma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s="34" customForma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s="34" customForma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s="34" customForma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s="34" customForma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s="34" customForma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s="34" customForma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s="34" customForma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s="34" customForma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s="34" customForma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s="34" customForma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s="34" customForma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s="34" customForma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s="34" customForma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s="34" customForma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s="34" customForma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s="34" customForma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s="34" customForma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s="34" customForma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s="34" customForma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s="34" customForma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s="34" customForma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s="34" customForma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s="34" customForma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s="34" customForma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s="34" customForma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s="34" customForma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s="34" customForma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s="34" customForma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s="34" customForma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s="34" customForma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s="34" customForma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s="34" customForma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s="34" customForma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s="34" customForma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s="34" customForma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s="34" customForma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s="34" customForma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s="34" customForma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s="34" customForma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s="34" customForma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s="34" customForma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s="34" customForma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s="34" customForma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s="34" customForma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s="34" customForma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s="34" customForma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s="34" customForma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s="34" customForma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s="34" customForma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s="34" customForma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s="34" customForma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s="34" customForma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s="34" customForma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s="34" customForma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s="34" customForma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s="34" customForma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s="34" customForma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s="34" customForma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s="34" customForma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s="34" customForma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s="34" customForma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s="34" customForma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s="34" customForma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s="34" customForma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s="34" customForma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s="34" customForma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s="34" customForma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s="34" customForma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s="34" customForma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s="34" customForma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s="34" customForma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s="34" customForma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s="34" customForma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s="34" customForma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s="34" customForma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s="34" customForma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s="34" customForma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s="34" customForma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s="34" customForma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s="34" customForma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s="34" customForma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s="34" customForma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s="34" customForma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s="34" customForma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s="34" customForma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s="34" customForma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s="34" customForma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s="34" customForma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s="34" customForma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s="34" customForma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s="34" customForma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s="34" customForma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s="34" customForma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s="34" customForma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s="34" customForma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s="34" customForma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s="34" customForma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s="34" customForma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s="34" customForma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s="34" customForma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s="34" customForma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s="34" customForma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s="34" customForma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s="34" customForma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s="34" customForma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s="34" customForma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s="34" customForma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s="34" customForma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s="34" customForma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s="34" customForma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s="34" customForma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s="34" customForma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s="34" customForma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s="34" customForma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s="34" customForma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s="34" customForma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s="34" customForma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s="34" customForma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s="34" customForma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s="34" customForma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s="34" customForma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s="34" customForma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s="34" customForma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s="34" customForma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s="34" customForma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s="34" customForma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s="34" customForma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s="34" customForma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s="34" customForma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s="34" customForma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s="34" customForma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s="34" customForma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s="34" customForma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s="34" customForma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s="34" customForma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s="34" customForma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s="34" customForma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s="34" customForma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s="34" customForma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s="34" customForma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s="34" customForma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s="34" customForma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s="34" customForma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s="34" customForma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s="34" customForma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s="34" customForma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s="34" customForma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s="34" customForma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s="34" customForma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s="34" customForma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s="34" customForma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s="34" customForma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s="34" customForma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s="34" customForma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s="34" customForma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s="34" customForma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s="34" customForma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s="34" customForma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s="34" customForma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s="34" customForma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s="34" customForma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s="34" customForma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s="34" customForma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s="34" customForma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s="34" customForma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s="34" customForma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s="34" customForma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s="34" customForma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s="34" customForma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s="34" customForma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s="34" customForma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s="34" customForma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s="34" customForma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s="34" customForma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s="34" customForma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s="34" customForma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s="34" customForma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s="34" customForma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s="34" customForma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s="34" customForma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s="34" customForma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s="34" customForma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s="34" customForma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s="34" customForma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s="34" customForma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s="34" customForma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s="34" customForma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s="34" customForma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s="34" customForma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s="34" customForma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s="34" customForma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s="34" customForma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s="34" customForma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s="34" customForma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s="34" customForma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s="34" customForma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s="34" customForma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s="34" customForma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s="34" customForma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s="34" customForma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s="34" customForma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s="34" customForma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s="34" customForma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s="34" customForma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s="34" customForma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s="34" customForma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s="34" customForma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s="34" customForma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s="34" customForma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s="34" customForma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s="34" customForma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s="34" customForma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s="34" customForma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s="34" customForma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s="34" customForma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s="34" customForma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s="34" customForma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s="34" customForma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s="34" customForma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s="34" customForma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s="34" customForma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s="34" customForma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s="34" customForma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s="34" customForma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s="34" customForma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s="34" customForma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s="34" customForma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s="34" customForma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s="34" customForma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s="34" customForma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s="34" customForma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s="34" customForma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s="34" customForma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s="34" customForma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s="34" customForma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s="34" customForma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s="34" customForma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s="34" customForma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s="34" customForma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s="34" customForma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s="34" customForma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s="34" customForma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s="34" customForma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s="34" customForma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s="34" customForma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s="34" customForma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s="34" customForma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s="34" customForma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s="34" customForma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s="34" customForma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s="34" customForma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s="34" customForma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s="34" customForma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s="34" customForma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s="34" customForma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s="34" customForma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s="34" customForma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s="34" customForma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s="34" customForma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s="34" customForma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s="34" customForma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s="34" customForma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s="34" customForma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s="34" customForma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s="34" customForma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s="34" customForma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s="34" customForma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s="34" customForma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s="34" customForma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s="34" customForma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s="34" customForma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s="34" customForma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s="34" customForma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s="34" customForma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s="34" customForma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s="34" customForma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s="34" customForma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s="34" customForma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s="34" customForma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s="34" customForma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s="34" customForma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s="34" customForma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s="34" customForma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s="34" customForma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s="34" customForma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s="34" customForma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s="34" customForma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s="34" customForma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s="34" customForma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s="34" customForma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s="34" customForma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s="34" customForma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s="34" customForma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s="34" customForma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s="34" customForma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s="34" customForma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s="34" customForma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s="34" customForma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s="34" customForma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s="34" customForma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s="34" customForma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s="34" customForma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s="34" customForma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s="34" customForma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s="34" customForma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s="34" customForma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s="34" customForma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s="34" customForma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s="34" customForma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s="34" customForma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s="34" customForma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s="34" customForma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s="34" customForma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s="34" customForma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s="34" customForma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s="34" customForma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s="34" customForma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s="34" customForma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s="34" customForma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s="34" customForma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s="34" customForma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s="34" customForma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s="34" customForma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s="34" customForma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s="34" customForma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s="34" customForma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s="34" customForma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s="34" customForma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s="34" customForma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s="34" customForma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s="34" customForma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s="34" customForma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s="34" customForma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s="34" customForma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s="34" customForma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s="34" customForma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s="34" customForma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s="34" customForma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s="34" customForma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s="34" customForma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s="34" customForma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s="34" customForma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s="34" customForma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s="34" customForma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s="34" customForma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s="34" customForma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s="34" customForma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s="34" customForma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s="34" customForma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s="34" customForma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s="34" customForma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s="34" customForma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s="34" customForma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s="34" customForma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s="34" customForma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s="34" customForma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s="34" customForma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s="34" customForma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s="34" customForma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s="34" customForma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s="34" customForma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s="34" customForma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s="34" customForma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s="34" customForma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s="34" customForma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s="34" customForma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s="34" customForma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s="34" customForma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s="34" customForma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s="34" customForma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s="34" customForma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s="34" customForma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s="34" customForma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s="34" customForma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s="34" customForma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s="34" customForma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s="34" customForma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s="34" customForma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s="34" customForma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s="34" customForma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s="34" customForma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s="34" customForma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s="34" customForma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s="34" customForma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s="34" customForma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s="34" customForma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s="34" customForma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s="34" customForma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s="34" customForma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s="34" customForma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s="34" customForma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s="34" customForma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s="34" customForma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s="34" customForma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s="34" customForma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s="34" customForma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s="34" customForma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s="34" customForma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s="34" customForma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s="34" customForma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s="34" customForma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s="34" customForma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s="34" customForma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s="34" customForma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s="34" customForma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s="34" customForma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s="34" customForma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s="34" customForma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s="34" customForma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s="34" customForma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s="34" customForma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s="34" customForma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s="34" customForma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s="34" customForma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s="34" customForma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s="34" customForma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s="34" customForma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s="34" customForma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s="34" customForma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s="34" customForma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s="34" customForma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s="34" customForma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s="34" customForma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s="34" customForma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s="34" customForma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s="34" customForma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s="34" customForma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s="34" customForma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s="34" customForma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s="34" customForma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s="34" customForma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s="34" customForma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s="34" customForma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s="34" customForma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s="34" customForma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s="34" customForma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s="34" customForma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s="34" customForma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s="34" customForma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s="34" customForma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s="34" customForma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s="34" customForma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s="34" customForma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s="34" customForma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s="34" customForma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s="34" customFormat="1">
      <c r="A769" s="7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s="34" customFormat="1">
      <c r="A770" s="7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s="34" customFormat="1">
      <c r="A771" s="7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s="34" customFormat="1">
      <c r="A772" s="7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s="34" customFormat="1">
      <c r="A773" s="7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s="34" customFormat="1">
      <c r="A774" s="7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s="34" customFormat="1">
      <c r="A775" s="7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s="34" customFormat="1">
      <c r="A776" s="7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s="34" customFormat="1">
      <c r="A777" s="7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s="34" customFormat="1">
      <c r="A778" s="7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s="34" customFormat="1">
      <c r="A779" s="7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s="34" customFormat="1">
      <c r="A780" s="7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s="34" customFormat="1">
      <c r="A781" s="7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s="34" customFormat="1">
      <c r="A782" s="7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s="34" customFormat="1">
      <c r="A783" s="7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s="34" customFormat="1">
      <c r="A784" s="7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s="34" customFormat="1">
      <c r="A785" s="7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s="34" customFormat="1">
      <c r="A786" s="7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s="34" customFormat="1">
      <c r="A787" s="7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s="34" customFormat="1">
      <c r="A788" s="7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s="34" customFormat="1">
      <c r="A789" s="7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s="34" customFormat="1">
      <c r="A790" s="7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s="34" customFormat="1">
      <c r="A791" s="7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s="34" customFormat="1">
      <c r="A792" s="7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s="34" customFormat="1">
      <c r="A793" s="7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s="34" customFormat="1">
      <c r="A794" s="7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s="34" customFormat="1">
      <c r="A795" s="7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s="34" customFormat="1">
      <c r="A796" s="7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s="34" customFormat="1">
      <c r="A797" s="7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s="34" customFormat="1">
      <c r="A798" s="7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s="34" customFormat="1">
      <c r="A799" s="7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s="34" customFormat="1">
      <c r="A800" s="7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s="34" customFormat="1">
      <c r="A801" s="7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s="34" customFormat="1">
      <c r="A802" s="7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s="34" customFormat="1">
      <c r="A803" s="7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s="34" customFormat="1">
      <c r="A804" s="7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s="34" customFormat="1">
      <c r="A805" s="7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s="34" customFormat="1">
      <c r="A806" s="7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s="34" customFormat="1">
      <c r="A807" s="7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s="34" customFormat="1">
      <c r="A808" s="7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s="34" customFormat="1">
      <c r="A809" s="7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s="34" customFormat="1">
      <c r="A810" s="7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s="34" customFormat="1">
      <c r="A811" s="7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s="34" customFormat="1">
      <c r="A812" s="7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s="34" customFormat="1">
      <c r="A813" s="7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s="34" customFormat="1">
      <c r="A814" s="7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s="34" customFormat="1">
      <c r="A815" s="7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s="34" customFormat="1">
      <c r="A816" s="7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s="34" customFormat="1">
      <c r="A817" s="7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s="34" customFormat="1">
      <c r="A818" s="7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s="34" customFormat="1">
      <c r="A819" s="7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s="34" customFormat="1">
      <c r="A820" s="7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s="34" customFormat="1">
      <c r="A821" s="7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s="34" customFormat="1">
      <c r="A822" s="7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s="34" customFormat="1">
      <c r="A823" s="7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s="34" customFormat="1">
      <c r="A824" s="7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s="34" customFormat="1">
      <c r="A825" s="7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s="34" customFormat="1">
      <c r="A826" s="7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s="34" customFormat="1">
      <c r="A827" s="7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s="34" customFormat="1">
      <c r="A828" s="7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s="34" customFormat="1">
      <c r="A829" s="7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s="34" customFormat="1">
      <c r="A830" s="7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s="34" customFormat="1">
      <c r="A831" s="7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s="34" customFormat="1">
      <c r="A832" s="7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s="34" customFormat="1">
      <c r="A833" s="7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s="34" customFormat="1">
      <c r="A834" s="7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s="34" customFormat="1">
      <c r="A835" s="7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s="34" customFormat="1">
      <c r="A836" s="7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s="34" customFormat="1">
      <c r="A837" s="7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s="34" customFormat="1">
      <c r="A838" s="7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s="34" customFormat="1">
      <c r="A839" s="7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s="34" customFormat="1">
      <c r="A840" s="7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s="34" customFormat="1">
      <c r="A841" s="7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s="34" customFormat="1">
      <c r="A842" s="7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s="34" customFormat="1">
      <c r="A843" s="7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s="34" customFormat="1">
      <c r="A844" s="7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s="34" customFormat="1">
      <c r="A845" s="7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s="34" customFormat="1">
      <c r="A846" s="7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s="34" customFormat="1">
      <c r="A847" s="7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s="34" customFormat="1">
      <c r="A848" s="7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s="34" customFormat="1">
      <c r="A849" s="7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s="34" customFormat="1">
      <c r="A850" s="7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s="34" customFormat="1">
      <c r="A851" s="7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s="34" customFormat="1">
      <c r="A852" s="7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s="34" customFormat="1">
      <c r="A853" s="7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s="34" customFormat="1">
      <c r="A854" s="7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s="34" customFormat="1">
      <c r="A855" s="7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s="34" customFormat="1">
      <c r="A856" s="7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s="34" customFormat="1">
      <c r="A857" s="7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s="34" customFormat="1">
      <c r="A858" s="7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s="34" customFormat="1">
      <c r="A859" s="7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s="34" customFormat="1">
      <c r="A860" s="7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s="34" customFormat="1">
      <c r="A861" s="7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s="34" customFormat="1">
      <c r="A862" s="7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s="34" customFormat="1">
      <c r="A863" s="7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s="34" customFormat="1">
      <c r="A864" s="7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s="34" customFormat="1">
      <c r="A865" s="7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s="34" customFormat="1">
      <c r="A866" s="7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s="34" customFormat="1">
      <c r="A867" s="7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s="34" customFormat="1">
      <c r="A868" s="7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s="34" customFormat="1">
      <c r="A869" s="7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s="34" customFormat="1">
      <c r="A870" s="7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s="34" customFormat="1">
      <c r="A871" s="7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s="34" customFormat="1">
      <c r="A872" s="7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s="34" customFormat="1">
      <c r="A873" s="7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s="34" customFormat="1">
      <c r="A874" s="7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s="34" customFormat="1">
      <c r="A875" s="7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s="34" customFormat="1">
      <c r="A876" s="7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s="34" customFormat="1">
      <c r="A877" s="7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s="34" customFormat="1">
      <c r="A878" s="7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s="34" customFormat="1">
      <c r="A879" s="7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s="34" customFormat="1">
      <c r="A880" s="7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s="34" customFormat="1">
      <c r="A881" s="7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s="34" customFormat="1">
      <c r="A882" s="7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s="34" customFormat="1">
      <c r="A883" s="7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s="34" customFormat="1">
      <c r="A884" s="7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s="34" customFormat="1">
      <c r="A885" s="7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s="34" customFormat="1">
      <c r="A886" s="7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s="34" customFormat="1">
      <c r="A887" s="7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s="34" customFormat="1">
      <c r="A888" s="7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s="34" customFormat="1">
      <c r="A889" s="7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s="34" customFormat="1">
      <c r="A890" s="7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s="34" customFormat="1">
      <c r="A891" s="7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s="34" customFormat="1">
      <c r="A892" s="7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s="34" customFormat="1">
      <c r="A893" s="7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s="34" customFormat="1">
      <c r="A894" s="7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s="34" customFormat="1">
      <c r="A895" s="7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s="34" customFormat="1">
      <c r="A896" s="7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s="34" customFormat="1">
      <c r="A897" s="7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s="34" customFormat="1">
      <c r="A898" s="7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s="34" customFormat="1">
      <c r="A899" s="7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s="34" customFormat="1">
      <c r="A900" s="7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s="34" customFormat="1">
      <c r="A901" s="7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s="34" customFormat="1">
      <c r="A902" s="7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s="34" customFormat="1">
      <c r="A903" s="7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s="34" customFormat="1">
      <c r="A904" s="7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s="34" customFormat="1">
      <c r="A905" s="7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s="34" customFormat="1">
      <c r="A906" s="7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s="34" customFormat="1">
      <c r="A907" s="7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s="34" customFormat="1">
      <c r="A908" s="7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s="34" customFormat="1">
      <c r="A909" s="7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s="34" customFormat="1">
      <c r="A910" s="7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s="34" customFormat="1">
      <c r="A911" s="7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s="34" customFormat="1">
      <c r="A912" s="7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s="34" customFormat="1">
      <c r="A913" s="7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s="34" customFormat="1">
      <c r="A914" s="7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s="34" customFormat="1">
      <c r="A915" s="7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s="34" customFormat="1">
      <c r="A916" s="7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s="34" customFormat="1">
      <c r="A917" s="7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s="34" customFormat="1">
      <c r="A918" s="7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s="34" customFormat="1">
      <c r="A919" s="7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s="34" customFormat="1">
      <c r="A920" s="7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s="34" customFormat="1">
      <c r="A921" s="7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s="34" customFormat="1">
      <c r="A922" s="7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s="34" customFormat="1">
      <c r="A923" s="7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s="34" customFormat="1">
      <c r="A924" s="7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s="34" customFormat="1">
      <c r="A925" s="7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s="34" customFormat="1">
      <c r="A926" s="7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s="34" customFormat="1">
      <c r="A927" s="7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s="34" customFormat="1">
      <c r="A928" s="7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s="34" customFormat="1">
      <c r="A929" s="7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s="34" customFormat="1">
      <c r="A930" s="7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s="34" customFormat="1">
      <c r="A931" s="7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s="34" customFormat="1">
      <c r="A932" s="7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s="34" customFormat="1">
      <c r="A933" s="7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s="34" customFormat="1">
      <c r="A934" s="7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s="34" customFormat="1">
      <c r="A935" s="7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s="34" customFormat="1">
      <c r="A936" s="7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s="34" customFormat="1">
      <c r="A937" s="7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s="34" customFormat="1">
      <c r="A938" s="7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s="34" customFormat="1">
      <c r="A939" s="7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s="34" customFormat="1">
      <c r="A940" s="7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s="34" customFormat="1">
      <c r="A941" s="7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s="34" customFormat="1">
      <c r="A942" s="7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s="34" customFormat="1">
      <c r="A943" s="7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s="34" customFormat="1">
      <c r="A944" s="7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s="34" customFormat="1">
      <c r="A945" s="7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s="34" customFormat="1">
      <c r="A946" s="7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s="34" customFormat="1">
      <c r="A947" s="7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s="34" customFormat="1">
      <c r="A948" s="7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s="34" customFormat="1">
      <c r="A949" s="7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s="34" customFormat="1">
      <c r="A950" s="7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s="34" customFormat="1">
      <c r="A951" s="7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s="34" customFormat="1">
      <c r="A952" s="7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s="34" customFormat="1">
      <c r="A953" s="7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s="34" customFormat="1">
      <c r="A954" s="7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s="34" customFormat="1">
      <c r="A955" s="7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s="34" customFormat="1">
      <c r="A956" s="7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s="34" customFormat="1">
      <c r="A957" s="7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s="34" customFormat="1">
      <c r="A958" s="7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s="34" customFormat="1">
      <c r="A959" s="7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s="34" customFormat="1">
      <c r="A960" s="7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s="34" customFormat="1">
      <c r="A961" s="7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s="34" customFormat="1">
      <c r="A962" s="7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s="34" customFormat="1">
      <c r="A963" s="7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s="34" customFormat="1">
      <c r="A964" s="7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s="34" customFormat="1">
      <c r="A965" s="7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s="34" customFormat="1">
      <c r="A966" s="7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s="34" customFormat="1">
      <c r="A967" s="7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s="34" customFormat="1">
      <c r="A968" s="7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s="34" customFormat="1">
      <c r="A969" s="7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s="34" customFormat="1">
      <c r="A970" s="7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s="34" customFormat="1">
      <c r="A971" s="7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s="34" customFormat="1">
      <c r="A972" s="7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s="34" customFormat="1">
      <c r="A973" s="7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s="34" customFormat="1">
      <c r="A974" s="7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s="34" customFormat="1">
      <c r="A975" s="7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s="34" customFormat="1">
      <c r="A976" s="7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s="34" customFormat="1">
      <c r="A977" s="7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s="34" customFormat="1">
      <c r="A978" s="7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s="34" customFormat="1">
      <c r="A979" s="7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s="34" customFormat="1">
      <c r="A980" s="7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s="34" customFormat="1">
      <c r="A981" s="7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s="34" customFormat="1">
      <c r="A982" s="7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s="34" customFormat="1">
      <c r="A983" s="7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s="34" customFormat="1">
      <c r="A984" s="7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s="34" customFormat="1">
      <c r="A985" s="7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s="34" customFormat="1">
      <c r="A986" s="7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s="34" customFormat="1">
      <c r="A987" s="7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s="34" customFormat="1">
      <c r="A988" s="7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s="34" customFormat="1">
      <c r="A989" s="7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s="34" customFormat="1">
      <c r="A990" s="7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s="34" customFormat="1">
      <c r="A991" s="7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s="34" customFormat="1">
      <c r="A992" s="7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s="34" customFormat="1">
      <c r="A993" s="7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s="34" customFormat="1">
      <c r="A994" s="7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s="34" customFormat="1">
      <c r="A995" s="7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s="34" customFormat="1">
      <c r="A996" s="7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s="34" customFormat="1">
      <c r="A997" s="7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s="34" customFormat="1">
      <c r="A998" s="7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s="34" customFormat="1">
      <c r="A999" s="7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s="34" customFormat="1">
      <c r="A1000" s="7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s="34" customFormat="1">
      <c r="A1001" s="7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 s="34" customFormat="1">
      <c r="A1002" s="7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 s="34" customFormat="1">
      <c r="A1003" s="7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 s="34" customFormat="1">
      <c r="A1004" s="7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 s="34" customFormat="1">
      <c r="A1005" s="7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 s="34" customFormat="1">
      <c r="A1006" s="7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 s="34" customFormat="1">
      <c r="A1007" s="7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 s="34" customFormat="1">
      <c r="A1008" s="7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 s="34" customFormat="1">
      <c r="A1009" s="7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 s="34" customFormat="1">
      <c r="A1010" s="7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 s="34" customFormat="1">
      <c r="A1011" s="7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 s="34" customFormat="1">
      <c r="A1012" s="7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 s="34" customFormat="1">
      <c r="A1013" s="7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 s="34" customFormat="1">
      <c r="A1014" s="7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 s="34" customFormat="1">
      <c r="A1015" s="7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 s="34" customFormat="1">
      <c r="A1016" s="7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 s="34" customFormat="1">
      <c r="A1017" s="7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 s="34" customFormat="1">
      <c r="A1018" s="7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 s="34" customFormat="1">
      <c r="A1019" s="7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 s="34" customFormat="1">
      <c r="A1020" s="7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 s="34" customFormat="1">
      <c r="A1021" s="7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 s="34" customFormat="1">
      <c r="A1022" s="7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 s="34" customFormat="1">
      <c r="A1023" s="7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 s="34" customFormat="1">
      <c r="A1024" s="7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 s="34" customFormat="1">
      <c r="A1025" s="7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 s="34" customFormat="1">
      <c r="A1026" s="7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 s="34" customFormat="1">
      <c r="A1027" s="7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 s="34" customFormat="1">
      <c r="A1028" s="7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 s="34" customFormat="1">
      <c r="A1029" s="7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 s="34" customFormat="1">
      <c r="A1030" s="7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 s="34" customFormat="1">
      <c r="A1031" s="7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 s="34" customFormat="1">
      <c r="A1032" s="7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 s="34" customFormat="1">
      <c r="A1033" s="7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 s="34" customFormat="1">
      <c r="A1034" s="7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 s="34" customFormat="1">
      <c r="A1035" s="7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 s="34" customFormat="1">
      <c r="A1036" s="7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 s="34" customFormat="1">
      <c r="A1037" s="7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3" s="34" customFormat="1">
      <c r="A1038" s="7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 s="34" customFormat="1">
      <c r="A1039" s="7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 s="34" customFormat="1">
      <c r="A1040" s="7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 s="34" customFormat="1">
      <c r="A1041" s="7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 s="34" customFormat="1">
      <c r="A1042" s="7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 s="34" customFormat="1">
      <c r="A1043" s="7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 s="34" customFormat="1">
      <c r="A1044" s="7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 s="34" customFormat="1">
      <c r="A1045" s="7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 s="34" customFormat="1">
      <c r="A1046" s="7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 s="34" customFormat="1">
      <c r="A1047" s="7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3" s="34" customFormat="1">
      <c r="A1048" s="7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3" s="34" customFormat="1">
      <c r="A1049" s="7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 s="34" customFormat="1">
      <c r="A1050" s="7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 s="34" customFormat="1">
      <c r="A1051" s="7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 s="34" customFormat="1">
      <c r="A1052" s="7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 s="34" customFormat="1">
      <c r="A1053" s="7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 s="34" customFormat="1">
      <c r="A1054" s="7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 s="34" customFormat="1">
      <c r="A1055" s="7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 s="34" customFormat="1">
      <c r="A1056" s="7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 s="34" customFormat="1">
      <c r="A1057" s="7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 s="34" customFormat="1">
      <c r="A1058" s="7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 s="34" customFormat="1">
      <c r="A1059" s="7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 s="34" customFormat="1">
      <c r="A1060" s="7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 s="34" customFormat="1">
      <c r="A1061" s="7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 s="34" customFormat="1">
      <c r="A1062" s="7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 s="34" customFormat="1">
      <c r="A1063" s="7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 s="34" customFormat="1">
      <c r="A1064" s="7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 s="34" customFormat="1">
      <c r="A1065" s="7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 s="34" customFormat="1">
      <c r="A1066" s="7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 s="34" customFormat="1">
      <c r="A1067" s="7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 s="34" customFormat="1">
      <c r="A1068" s="7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 s="34" customFormat="1">
      <c r="A1069" s="7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 s="34" customFormat="1">
      <c r="A1070" s="7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 s="34" customFormat="1">
      <c r="A1071" s="7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 s="34" customFormat="1">
      <c r="A1072" s="7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 s="34" customFormat="1">
      <c r="A1073" s="7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 s="34" customFormat="1">
      <c r="A1074" s="7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 s="34" customFormat="1">
      <c r="A1075" s="7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 s="34" customFormat="1">
      <c r="A1076" s="7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 s="34" customFormat="1">
      <c r="A1077" s="7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 s="34" customFormat="1">
      <c r="A1078" s="7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 s="34" customFormat="1">
      <c r="A1079" s="7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 s="34" customFormat="1">
      <c r="A1080" s="7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 s="34" customFormat="1">
      <c r="A1081" s="7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 s="34" customFormat="1">
      <c r="A1082" s="7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 s="34" customFormat="1">
      <c r="A1083" s="7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 s="34" customFormat="1">
      <c r="A1084" s="7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 s="34" customFormat="1">
      <c r="A1085" s="7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 s="34" customFormat="1">
      <c r="A1086" s="7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 s="34" customFormat="1">
      <c r="A1087" s="7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 s="34" customFormat="1">
      <c r="A1088" s="7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 s="34" customFormat="1">
      <c r="A1089" s="7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 s="34" customFormat="1">
      <c r="A1090" s="7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 s="34" customFormat="1">
      <c r="A1091" s="7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 s="34" customFormat="1">
      <c r="A1092" s="7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 s="34" customFormat="1">
      <c r="A1093" s="7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 s="34" customFormat="1">
      <c r="A1094" s="7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 s="34" customFormat="1">
      <c r="A1095" s="7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3" s="34" customFormat="1">
      <c r="A1096" s="7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3" s="34" customFormat="1">
      <c r="A1097" s="7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3" s="34" customFormat="1">
      <c r="A1098" s="7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3" s="34" customFormat="1">
      <c r="A1099" s="7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3" s="34" customFormat="1">
      <c r="A1100" s="7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3" s="34" customFormat="1">
      <c r="A1101" s="7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3" s="34" customFormat="1">
      <c r="A1102" s="7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3" s="34" customFormat="1">
      <c r="A1103" s="7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3" s="34" customFormat="1">
      <c r="A1104" s="7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3" s="34" customFormat="1">
      <c r="A1105" s="7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3" s="34" customFormat="1">
      <c r="A1106" s="7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3" s="34" customFormat="1">
      <c r="A1107" s="7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3" s="34" customFormat="1">
      <c r="A1108" s="7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3" s="34" customFormat="1">
      <c r="A1109" s="7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3" s="34" customFormat="1">
      <c r="A1110" s="7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3" s="34" customFormat="1">
      <c r="A1111" s="7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3" s="34" customFormat="1">
      <c r="A1112" s="7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3" s="34" customFormat="1">
      <c r="A1113" s="7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3" s="34" customFormat="1">
      <c r="A1114" s="7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3" s="34" customFormat="1">
      <c r="A1115" s="7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3" s="34" customFormat="1">
      <c r="A1116" s="7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3" s="34" customFormat="1">
      <c r="A1117" s="7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3" s="34" customFormat="1">
      <c r="A1118" s="7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3" s="34" customFormat="1">
      <c r="A1119" s="7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3" s="34" customFormat="1">
      <c r="A1120" s="7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3" s="34" customFormat="1">
      <c r="A1121" s="7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3" s="34" customFormat="1">
      <c r="A1122" s="7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3" s="34" customFormat="1">
      <c r="A1123" s="7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3" s="34" customFormat="1">
      <c r="A1124" s="7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3" s="34" customFormat="1">
      <c r="A1125" s="7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3" s="34" customFormat="1">
      <c r="A1126" s="7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3" s="34" customFormat="1">
      <c r="A1127" s="7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3" s="34" customFormat="1">
      <c r="A1128" s="7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3" s="34" customFormat="1">
      <c r="A1129" s="7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3" s="34" customFormat="1">
      <c r="A1130" s="7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3" s="34" customFormat="1">
      <c r="A1131" s="7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 s="34" customFormat="1">
      <c r="A1132" s="7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 s="34" customFormat="1">
      <c r="A1133" s="7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 s="34" customFormat="1">
      <c r="A1134" s="7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 s="34" customFormat="1">
      <c r="A1135" s="7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 s="34" customFormat="1">
      <c r="A1136" s="7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 s="34" customFormat="1">
      <c r="A1137" s="7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 s="34" customFormat="1">
      <c r="A1138" s="7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 s="34" customFormat="1">
      <c r="A1139" s="7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 s="34" customFormat="1">
      <c r="A1140" s="7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 s="34" customFormat="1">
      <c r="A1141" s="7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 s="34" customFormat="1">
      <c r="A1142" s="7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 s="34" customFormat="1">
      <c r="A1143" s="7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 s="34" customFormat="1">
      <c r="A1144" s="7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 s="34" customFormat="1">
      <c r="A1145" s="7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 s="34" customFormat="1">
      <c r="A1146" s="7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 s="34" customFormat="1">
      <c r="A1147" s="7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 s="34" customFormat="1">
      <c r="A1148" s="7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 s="34" customFormat="1">
      <c r="A1149" s="7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 s="34" customFormat="1">
      <c r="A1150" s="7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 s="34" customFormat="1">
      <c r="A1151" s="7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 s="34" customFormat="1">
      <c r="A1152" s="7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 s="34" customFormat="1">
      <c r="A1153" s="7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 s="34" customFormat="1">
      <c r="A1154" s="7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 s="34" customFormat="1">
      <c r="A1155" s="7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 s="34" customFormat="1">
      <c r="A1156" s="7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 s="34" customFormat="1">
      <c r="A1157" s="7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 s="34" customFormat="1">
      <c r="A1158" s="7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 s="34" customFormat="1">
      <c r="A1159" s="7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3" s="34" customFormat="1">
      <c r="A1160" s="7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3" s="34" customFormat="1">
      <c r="A1161" s="7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3" s="34" customFormat="1">
      <c r="A1162" s="7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3" s="34" customFormat="1">
      <c r="A1163" s="7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3" s="34" customFormat="1">
      <c r="A1164" s="7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 s="34" customFormat="1">
      <c r="A1165" s="7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 s="34" customFormat="1">
      <c r="A1166" s="7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 s="34" customFormat="1">
      <c r="A1167" s="7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 s="34" customFormat="1">
      <c r="A1168" s="7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3" s="34" customFormat="1">
      <c r="A1169" s="7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 s="34" customFormat="1">
      <c r="A1170" s="7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 s="34" customFormat="1">
      <c r="A1171" s="7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 s="34" customFormat="1">
      <c r="A1172" s="7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3" s="34" customFormat="1">
      <c r="A1173" s="7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3" s="34" customFormat="1">
      <c r="A1174" s="7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3" s="34" customFormat="1">
      <c r="A1175" s="7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3" s="34" customFormat="1">
      <c r="A1176" s="7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 s="34" customFormat="1">
      <c r="A1177" s="7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 s="34" customFormat="1">
      <c r="A1178" s="7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 s="34" customFormat="1">
      <c r="A1179" s="7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 s="34" customFormat="1">
      <c r="A1180" s="7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3" s="34" customFormat="1">
      <c r="A1181" s="7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3" s="34" customFormat="1">
      <c r="A1182" s="7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3" s="34" customFormat="1">
      <c r="A1183" s="7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3" s="34" customFormat="1">
      <c r="A1184" s="7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 s="34" customFormat="1">
      <c r="A1185" s="7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 s="34" customFormat="1">
      <c r="A1186" s="7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 s="34" customFormat="1">
      <c r="A1187" s="7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 s="34" customFormat="1">
      <c r="A1188" s="7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 s="34" customFormat="1">
      <c r="A1189" s="7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 s="34" customFormat="1">
      <c r="A1190" s="7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 s="34" customFormat="1">
      <c r="A1191" s="7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 s="34" customFormat="1">
      <c r="A1192" s="7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 s="34" customFormat="1">
      <c r="A1193" s="7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 s="34" customFormat="1">
      <c r="A1194" s="7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 s="34" customFormat="1">
      <c r="A1195" s="7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 s="34" customFormat="1">
      <c r="A1196" s="7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 s="34" customFormat="1">
      <c r="A1197" s="7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 s="34" customFormat="1">
      <c r="A1198" s="7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 s="34" customFormat="1">
      <c r="A1199" s="7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 s="34" customFormat="1">
      <c r="A1200" s="7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 s="34" customFormat="1">
      <c r="A1201" s="7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 s="34" customFormat="1">
      <c r="A1202" s="7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 s="34" customFormat="1">
      <c r="A1203" s="7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 s="34" customFormat="1">
      <c r="A1204" s="7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 s="34" customFormat="1">
      <c r="A1205" s="7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 s="34" customFormat="1">
      <c r="A1206" s="7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 s="34" customFormat="1">
      <c r="A1207" s="7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 s="34" customFormat="1">
      <c r="A1208" s="7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 s="34" customFormat="1">
      <c r="A1209" s="7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 s="34" customFormat="1">
      <c r="A1210" s="7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 s="34" customFormat="1">
      <c r="A1211" s="7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 s="34" customFormat="1">
      <c r="A1212" s="7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 s="34" customFormat="1">
      <c r="A1213" s="7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 s="34" customFormat="1">
      <c r="A1214" s="7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 s="34" customFormat="1">
      <c r="A1215" s="7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 s="34" customFormat="1">
      <c r="A1216" s="7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 s="34" customFormat="1">
      <c r="A1217" s="7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 s="34" customFormat="1">
      <c r="A1218" s="7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 s="34" customFormat="1">
      <c r="A1219" s="7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 s="34" customFormat="1">
      <c r="A1220" s="7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 s="34" customFormat="1">
      <c r="A1221" s="7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 s="34" customFormat="1">
      <c r="A1222" s="7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 s="34" customFormat="1">
      <c r="A1223" s="7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 s="34" customFormat="1">
      <c r="A1224" s="7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 s="34" customFormat="1">
      <c r="A1225" s="7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 s="34" customFormat="1">
      <c r="A1226" s="7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 s="34" customFormat="1">
      <c r="A1227" s="7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 s="34" customFormat="1">
      <c r="A1228" s="7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 s="34" customFormat="1">
      <c r="A1229" s="7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 s="34" customFormat="1">
      <c r="A1230" s="7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 s="34" customFormat="1">
      <c r="A1231" s="7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 s="34" customFormat="1">
      <c r="A1232" s="7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 s="34" customFormat="1">
      <c r="A1233" s="7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 s="34" customFormat="1">
      <c r="A1234" s="7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 s="34" customFormat="1">
      <c r="A1235" s="7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 s="34" customFormat="1">
      <c r="A1236" s="7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 s="34" customFormat="1">
      <c r="A1237" s="7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 s="34" customFormat="1">
      <c r="A1238" s="7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 s="34" customFormat="1">
      <c r="A1239" s="7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 s="34" customFormat="1">
      <c r="A1240" s="7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 s="34" customFormat="1">
      <c r="A1241" s="7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 s="34" customFormat="1">
      <c r="A1242" s="7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 s="34" customFormat="1">
      <c r="A1243" s="7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 s="34" customFormat="1">
      <c r="A1244" s="7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 s="34" customFormat="1">
      <c r="A1245" s="7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 s="34" customFormat="1">
      <c r="A1246" s="7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 s="34" customFormat="1">
      <c r="A1247" s="7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 s="34" customFormat="1">
      <c r="A1248" s="7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 s="34" customFormat="1">
      <c r="A1249" s="7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 s="34" customFormat="1">
      <c r="A1250" s="7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 s="34" customFormat="1">
      <c r="A1251" s="7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 s="34" customFormat="1">
      <c r="A1252" s="7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 s="34" customFormat="1">
      <c r="A1253" s="7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 s="34" customFormat="1">
      <c r="A1254" s="7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 s="34" customFormat="1">
      <c r="A1255" s="7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3" s="34" customFormat="1">
      <c r="A1256" s="7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3" s="34" customFormat="1">
      <c r="A1257" s="7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3" s="34" customFormat="1">
      <c r="A1258" s="7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3" s="34" customFormat="1">
      <c r="A1259" s="7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3" s="34" customFormat="1">
      <c r="A1260" s="7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3" s="34" customFormat="1">
      <c r="A1261" s="7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3" s="34" customFormat="1">
      <c r="A1262" s="7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3" s="34" customFormat="1">
      <c r="A1263" s="7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3" s="34" customFormat="1">
      <c r="A1264" s="7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3" s="34" customFormat="1">
      <c r="A1265" s="7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3" s="34" customFormat="1">
      <c r="A1266" s="7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3" s="34" customFormat="1">
      <c r="A1267" s="7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3" s="34" customFormat="1">
      <c r="A1268" s="7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3" s="34" customFormat="1">
      <c r="A1269" s="7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3" s="34" customFormat="1">
      <c r="A1270" s="7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3" s="34" customFormat="1">
      <c r="A1271" s="7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3" s="34" customFormat="1">
      <c r="A1272" s="7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3" s="34" customFormat="1">
      <c r="A1273" s="7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3" s="34" customFormat="1">
      <c r="A1274" s="7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3" s="34" customFormat="1">
      <c r="A1275" s="7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3" s="34" customFormat="1">
      <c r="A1276" s="7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3" s="34" customFormat="1">
      <c r="A1277" s="7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3" s="34" customFormat="1">
      <c r="A1278" s="7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3" s="34" customFormat="1">
      <c r="A1279" s="7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3" s="34" customFormat="1">
      <c r="A1280" s="7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3" s="34" customFormat="1">
      <c r="A1281" s="7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3" s="34" customFormat="1">
      <c r="A1282" s="7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3" s="34" customFormat="1">
      <c r="A1283" s="7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3" s="34" customFormat="1">
      <c r="A1284" s="7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3" s="34" customFormat="1">
      <c r="A1285" s="7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3" s="34" customFormat="1">
      <c r="A1286" s="7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3" s="34" customFormat="1">
      <c r="A1287" s="7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3" s="34" customFormat="1">
      <c r="A1288" s="7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3" s="34" customFormat="1">
      <c r="A1289" s="7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3" s="34" customFormat="1">
      <c r="A1290" s="7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3" s="34" customFormat="1">
      <c r="A1291" s="7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3" s="34" customFormat="1">
      <c r="A1292" s="7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3" s="34" customFormat="1">
      <c r="A1293" s="7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3" s="34" customFormat="1">
      <c r="A1294" s="7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3" s="34" customFormat="1">
      <c r="A1295" s="7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3" s="34" customFormat="1">
      <c r="A1296" s="7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3" s="34" customFormat="1">
      <c r="A1297" s="7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3" s="34" customFormat="1">
      <c r="A1298" s="7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3" s="34" customFormat="1">
      <c r="A1299" s="7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 s="34" customFormat="1">
      <c r="A1300" s="7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 s="34" customFormat="1">
      <c r="A1301" s="7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 s="34" customFormat="1">
      <c r="A1302" s="7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 s="34" customFormat="1">
      <c r="A1303" s="7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3" s="34" customFormat="1">
      <c r="A1304" s="7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3" s="34" customFormat="1">
      <c r="A1305" s="7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3" s="34" customFormat="1">
      <c r="A1306" s="7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3" s="34" customFormat="1">
      <c r="A1307" s="7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3" s="34" customFormat="1">
      <c r="A1308" s="7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3" s="34" customFormat="1">
      <c r="A1309" s="7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3" s="34" customFormat="1">
      <c r="A1310" s="7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3" s="34" customFormat="1">
      <c r="A1311" s="7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3" s="34" customFormat="1">
      <c r="A1312" s="7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3" s="34" customFormat="1">
      <c r="A1313" s="7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 s="34" customFormat="1">
      <c r="A1314" s="7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 s="34" customFormat="1">
      <c r="A1315" s="7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 s="34" customFormat="1">
      <c r="A1316" s="7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 s="34" customFormat="1">
      <c r="A1317" s="7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3" s="34" customFormat="1">
      <c r="A1318" s="7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3" s="34" customFormat="1">
      <c r="A1319" s="7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3" s="34" customFormat="1">
      <c r="A1320" s="7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3" s="34" customFormat="1">
      <c r="A1321" s="7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3" s="34" customFormat="1">
      <c r="A1322" s="7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3" s="34" customFormat="1">
      <c r="A1323" s="7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3" s="34" customFormat="1">
      <c r="A1324" s="7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3" s="34" customFormat="1">
      <c r="A1325" s="7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3" s="34" customFormat="1">
      <c r="A1326" s="7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3" s="34" customFormat="1">
      <c r="A1327" s="7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3" s="34" customFormat="1">
      <c r="A1328" s="7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3" s="34" customFormat="1">
      <c r="A1329" s="7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3" s="34" customFormat="1">
      <c r="A1330" s="7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3" s="34" customFormat="1">
      <c r="A1331" s="7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3" s="34" customFormat="1">
      <c r="A1332" s="7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3" s="34" customFormat="1">
      <c r="A1333" s="7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3" s="34" customFormat="1">
      <c r="A1334" s="7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3" s="34" customFormat="1">
      <c r="A1335" s="7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3" s="34" customFormat="1">
      <c r="A1336" s="7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3" s="34" customFormat="1">
      <c r="A1337" s="7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3" s="34" customFormat="1">
      <c r="A1338" s="7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3" s="34" customFormat="1">
      <c r="A1339" s="7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3" s="34" customFormat="1">
      <c r="A1340" s="7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3" s="34" customFormat="1">
      <c r="A1341" s="7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3" s="34" customFormat="1">
      <c r="A1342" s="7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3" s="34" customFormat="1">
      <c r="A1343" s="7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3" s="34" customFormat="1">
      <c r="A1344" s="7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3" s="34" customFormat="1">
      <c r="A1345" s="7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3" s="34" customFormat="1">
      <c r="A1346" s="7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3" s="34" customFormat="1">
      <c r="A1347" s="7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3" s="34" customFormat="1">
      <c r="A1348" s="7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3" s="34" customFormat="1">
      <c r="A1349" s="7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3" s="34" customFormat="1">
      <c r="A1350" s="7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3" s="34" customFormat="1">
      <c r="A1351" s="7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3" s="34" customFormat="1">
      <c r="A1352" s="7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3" s="34" customFormat="1">
      <c r="A1353" s="7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3" s="34" customFormat="1">
      <c r="A1354" s="7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3" s="34" customFormat="1">
      <c r="A1355" s="7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3" s="34" customFormat="1">
      <c r="A1356" s="7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3" s="34" customFormat="1">
      <c r="A1357" s="7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3" s="34" customFormat="1">
      <c r="A1358" s="7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3" s="34" customFormat="1">
      <c r="A1359" s="7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3" s="34" customFormat="1">
      <c r="A1360" s="7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3" s="34" customFormat="1">
      <c r="A1361" s="7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3" s="34" customFormat="1">
      <c r="A1362" s="7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3" s="34" customFormat="1">
      <c r="A1363" s="7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3" s="34" customFormat="1">
      <c r="A1364" s="7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3" s="34" customFormat="1">
      <c r="A1365" s="7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3" s="34" customFormat="1">
      <c r="A1366" s="7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3" s="34" customFormat="1">
      <c r="A1367" s="7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3" s="34" customFormat="1">
      <c r="A1368" s="7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3" s="34" customFormat="1">
      <c r="A1369" s="7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3" s="34" customFormat="1">
      <c r="A1370" s="7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3" s="34" customFormat="1">
      <c r="A1371" s="7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3" s="34" customFormat="1">
      <c r="A1372" s="7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 s="34" customFormat="1">
      <c r="A1373" s="7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 s="34" customFormat="1">
      <c r="A1374" s="7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3" s="34" customFormat="1">
      <c r="A1375" s="7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3" s="34" customFormat="1">
      <c r="A1376" s="7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3" s="34" customFormat="1">
      <c r="A1377" s="7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 s="34" customFormat="1">
      <c r="A1378" s="7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 s="34" customFormat="1">
      <c r="A1379" s="7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 s="34" customFormat="1">
      <c r="A1380" s="7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 s="34" customFormat="1">
      <c r="A1381" s="7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 s="34" customFormat="1">
      <c r="A1382" s="7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 s="34" customFormat="1">
      <c r="A1383" s="7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 s="34" customFormat="1">
      <c r="A1384" s="7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 s="34" customFormat="1">
      <c r="A1385" s="7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 s="34" customFormat="1">
      <c r="A1386" s="7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 s="34" customFormat="1">
      <c r="A1387" s="7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 s="34" customFormat="1">
      <c r="A1388" s="7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 s="34" customFormat="1">
      <c r="A1389" s="7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 s="34" customFormat="1">
      <c r="A1390" s="7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3" s="34" customFormat="1">
      <c r="A1391" s="7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3" s="34" customFormat="1">
      <c r="A1392" s="7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3" s="34" customFormat="1">
      <c r="A1393" s="7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3" s="34" customFormat="1">
      <c r="A1394" s="7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 s="34" customFormat="1">
      <c r="A1395" s="7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 s="34" customFormat="1">
      <c r="A1396" s="7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 s="34" customFormat="1">
      <c r="A1397" s="7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 s="34" customFormat="1">
      <c r="A1398" s="7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 s="34" customFormat="1">
      <c r="A1399" s="7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 s="34" customFormat="1">
      <c r="A1400" s="7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 s="34" customFormat="1">
      <c r="A1401" s="7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 s="34" customFormat="1">
      <c r="A1402" s="7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 s="34" customFormat="1">
      <c r="A1403" s="7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 s="34" customFormat="1">
      <c r="A1404" s="7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 s="34" customFormat="1">
      <c r="A1405" s="7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3" s="34" customFormat="1">
      <c r="A1406" s="7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3" s="34" customFormat="1">
      <c r="A1407" s="7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3" s="34" customFormat="1">
      <c r="A1408" s="7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3" s="34" customFormat="1">
      <c r="A1409" s="7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3" s="34" customFormat="1">
      <c r="A1410" s="7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3" s="34" customFormat="1">
      <c r="A1411" s="7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3" s="34" customFormat="1">
      <c r="A1412" s="7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3" s="34" customFormat="1">
      <c r="A1413" s="7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3" s="34" customFormat="1">
      <c r="A1414" s="7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3" s="34" customFormat="1">
      <c r="A1415" s="7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3" s="34" customFormat="1">
      <c r="A1416" s="7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3" s="34" customFormat="1">
      <c r="A1417" s="7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3" s="34" customFormat="1">
      <c r="A1418" s="7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3" s="34" customFormat="1">
      <c r="A1419" s="7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3" s="34" customFormat="1">
      <c r="A1420" s="7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3" s="34" customFormat="1">
      <c r="A1421" s="7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3" s="34" customFormat="1">
      <c r="A1422" s="7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3" s="34" customFormat="1">
      <c r="A1423" s="7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3" s="34" customFormat="1">
      <c r="A1424" s="7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3" s="34" customFormat="1">
      <c r="A1425" s="7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3" s="34" customFormat="1">
      <c r="A1426" s="7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3" s="34" customFormat="1">
      <c r="A1427" s="7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3" s="34" customFormat="1">
      <c r="A1428" s="7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3" s="34" customFormat="1">
      <c r="A1429" s="7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3" s="34" customFormat="1">
      <c r="A1430" s="7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3" s="34" customFormat="1">
      <c r="A1431" s="7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3" s="34" customFormat="1">
      <c r="A1432" s="7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3" s="34" customFormat="1">
      <c r="A1433" s="7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3" s="34" customFormat="1">
      <c r="A1434" s="7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3" s="34" customFormat="1">
      <c r="A1435" s="7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3" s="34" customFormat="1">
      <c r="A1436" s="7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3" s="34" customFormat="1">
      <c r="A1437" s="7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3" s="34" customFormat="1">
      <c r="A1438" s="7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3" s="34" customFormat="1">
      <c r="A1439" s="7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3" s="34" customFormat="1">
      <c r="A1440" s="7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3" s="34" customFormat="1">
      <c r="A1441" s="7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3" s="34" customFormat="1">
      <c r="A1442" s="7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 s="34" customFormat="1">
      <c r="A1443" s="7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 s="34" customFormat="1">
      <c r="A1444" s="7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 s="34" customFormat="1">
      <c r="A1445" s="7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3" s="34" customFormat="1">
      <c r="A1446" s="7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3" s="34" customFormat="1">
      <c r="A1447" s="7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3" s="34" customFormat="1">
      <c r="A1448" s="7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3" s="34" customFormat="1">
      <c r="A1449" s="7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3" s="34" customFormat="1">
      <c r="A1450" s="7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3" s="34" customFormat="1">
      <c r="A1451" s="7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 s="34" customFormat="1">
      <c r="A1452" s="7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 s="34" customFormat="1">
      <c r="A1453" s="7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 s="34" customFormat="1">
      <c r="A1454" s="7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3" s="34" customFormat="1">
      <c r="A1455" s="7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3" s="34" customFormat="1">
      <c r="A1456" s="7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3" s="34" customFormat="1">
      <c r="A1457" s="7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3" s="34" customFormat="1">
      <c r="A1458" s="7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3" s="34" customFormat="1">
      <c r="A1459" s="7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3" s="34" customFormat="1">
      <c r="A1460" s="7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 s="34" customFormat="1">
      <c r="A1461" s="7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 s="34" customFormat="1">
      <c r="A1462" s="7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 s="34" customFormat="1">
      <c r="A1463" s="7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3" s="34" customFormat="1">
      <c r="A1464" s="7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3" s="34" customFormat="1">
      <c r="A1465" s="7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3" s="34" customFormat="1">
      <c r="A1466" s="7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3" s="34" customFormat="1">
      <c r="A1467" s="7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3" s="34" customFormat="1">
      <c r="A1468" s="7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3" s="34" customFormat="1">
      <c r="A1469" s="7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 s="34" customFormat="1">
      <c r="A1470" s="7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 s="34" customFormat="1">
      <c r="A1471" s="7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 s="34" customFormat="1">
      <c r="A1472" s="7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3" s="34" customFormat="1">
      <c r="A1473" s="7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3" s="34" customFormat="1">
      <c r="A1474" s="7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3" s="34" customFormat="1">
      <c r="A1475" s="7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3" s="34" customFormat="1">
      <c r="A1476" s="7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3" s="34" customFormat="1">
      <c r="A1477" s="7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3" s="34" customFormat="1">
      <c r="A1478" s="7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3" s="34" customFormat="1">
      <c r="A1479" s="7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3" s="34" customFormat="1">
      <c r="A1480" s="7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3" s="34" customFormat="1">
      <c r="A1481" s="7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3" s="34" customFormat="1">
      <c r="A1482" s="7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3" s="34" customFormat="1">
      <c r="A1483" s="7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3" s="34" customFormat="1">
      <c r="A1484" s="7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3" s="34" customFormat="1">
      <c r="A1485" s="7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3" s="34" customFormat="1">
      <c r="A1486" s="7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 s="34" customFormat="1">
      <c r="A1487" s="7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3" s="34" customFormat="1">
      <c r="A1488" s="7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3" s="34" customFormat="1">
      <c r="A1489" s="7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 s="34" customFormat="1">
      <c r="A1490" s="7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 s="34" customFormat="1">
      <c r="A1491" s="7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 s="34" customFormat="1">
      <c r="A1492" s="7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3" s="34" customFormat="1">
      <c r="A1493" s="7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3" s="34" customFormat="1">
      <c r="A1494" s="7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3" s="34" customFormat="1">
      <c r="A1495" s="7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3" s="34" customFormat="1">
      <c r="A1496" s="7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 s="34" customFormat="1">
      <c r="A1497" s="7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 s="34" customFormat="1">
      <c r="A1498" s="7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 s="34" customFormat="1">
      <c r="A1499" s="7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 s="34" customFormat="1">
      <c r="A1500" s="7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3" s="34" customFormat="1">
      <c r="A1501" s="7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 s="34" customFormat="1">
      <c r="A1502" s="7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3" s="34" customFormat="1">
      <c r="A1503" s="7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3" s="34" customFormat="1">
      <c r="A1504" s="7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 s="34" customFormat="1">
      <c r="A1505" s="7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 s="34" customFormat="1">
      <c r="A1506" s="7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 s="34" customFormat="1">
      <c r="A1507" s="7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 s="34" customFormat="1">
      <c r="A1508" s="7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3" s="34" customFormat="1">
      <c r="A1509" s="7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3" s="34" customFormat="1">
      <c r="A1510" s="7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3" s="34" customFormat="1">
      <c r="A1511" s="7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 s="34" customFormat="1">
      <c r="A1512" s="7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 s="34" customFormat="1">
      <c r="A1513" s="7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 s="34" customFormat="1">
      <c r="A1514" s="7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 s="34" customFormat="1">
      <c r="A1515" s="7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 s="34" customFormat="1">
      <c r="A1516" s="7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 s="34" customFormat="1">
      <c r="A1517" s="7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 s="34" customFormat="1">
      <c r="A1518" s="7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 s="34" customFormat="1">
      <c r="A1519" s="7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 s="34" customFormat="1">
      <c r="A1520" s="7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 s="34" customFormat="1">
      <c r="A1521" s="7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 s="34" customFormat="1">
      <c r="A1522" s="7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 s="34" customFormat="1">
      <c r="A1523" s="7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 s="34" customFormat="1">
      <c r="A1524" s="7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 s="34" customFormat="1">
      <c r="A1525" s="7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 s="34" customFormat="1">
      <c r="A1526" s="7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 s="34" customFormat="1">
      <c r="A1527" s="7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 s="34" customFormat="1">
      <c r="A1528" s="7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 s="34" customFormat="1">
      <c r="A1529" s="7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 s="34" customFormat="1">
      <c r="A1530" s="7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 s="34" customFormat="1">
      <c r="A1531" s="7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 s="34" customFormat="1">
      <c r="A1532" s="7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 s="34" customFormat="1">
      <c r="A1533" s="7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 s="34" customFormat="1">
      <c r="A1534" s="7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 s="34" customFormat="1">
      <c r="A1535" s="7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 s="34" customFormat="1">
      <c r="A1536" s="7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 s="34" customFormat="1">
      <c r="A1537" s="7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 s="34" customFormat="1">
      <c r="A1538" s="7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 s="34" customFormat="1">
      <c r="A1539" s="7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 s="34" customFormat="1">
      <c r="A1540" s="7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 s="34" customFormat="1">
      <c r="A1541" s="7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 s="34" customFormat="1">
      <c r="A1542" s="7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 s="34" customFormat="1">
      <c r="A1543" s="7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 s="34" customFormat="1">
      <c r="A1544" s="7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 s="34" customFormat="1">
      <c r="A1545" s="7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 s="34" customFormat="1">
      <c r="A1546" s="7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 s="34" customFormat="1">
      <c r="A1547" s="7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 s="34" customFormat="1">
      <c r="A1548" s="7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 s="34" customFormat="1">
      <c r="A1549" s="7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 s="34" customFormat="1">
      <c r="A1550" s="7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 s="34" customFormat="1">
      <c r="A1551" s="7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 s="34" customFormat="1">
      <c r="A1552" s="7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 s="34" customFormat="1">
      <c r="A1553" s="7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 s="34" customFormat="1">
      <c r="A1554" s="7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 s="34" customFormat="1">
      <c r="A1555" s="7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 s="34" customFormat="1">
      <c r="A1556" s="7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 s="34" customFormat="1">
      <c r="A1557" s="7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 s="34" customFormat="1">
      <c r="A1558" s="7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 s="34" customFormat="1">
      <c r="A1559" s="7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 s="34" customFormat="1">
      <c r="A1560" s="7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 s="34" customFormat="1">
      <c r="A1561" s="7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 s="34" customFormat="1">
      <c r="A1562" s="7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 s="34" customFormat="1">
      <c r="A1563" s="7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 s="34" customFormat="1">
      <c r="A1564" s="7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 s="34" customFormat="1">
      <c r="A1565" s="7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 s="34" customFormat="1">
      <c r="A1566" s="7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 s="34" customFormat="1">
      <c r="A1567" s="7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 s="34" customFormat="1">
      <c r="A1568" s="7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 s="34" customFormat="1">
      <c r="A1569" s="7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 s="34" customFormat="1">
      <c r="A1570" s="7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 s="34" customFormat="1">
      <c r="A1571" s="7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 s="34" customFormat="1">
      <c r="A1572" s="7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 s="34" customFormat="1">
      <c r="A1573" s="7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 s="34" customFormat="1">
      <c r="A1574" s="7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 s="34" customFormat="1">
      <c r="A1575" s="7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 s="34" customFormat="1">
      <c r="A1576" s="7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 s="34" customFormat="1">
      <c r="A1577" s="7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 s="34" customFormat="1">
      <c r="A1578" s="7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 s="34" customFormat="1">
      <c r="A1579" s="7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 s="34" customFormat="1">
      <c r="A1580" s="7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 s="34" customFormat="1">
      <c r="A1581" s="7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 s="34" customFormat="1">
      <c r="A1582" s="7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 s="34" customFormat="1">
      <c r="A1583" s="7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 s="34" customFormat="1">
      <c r="A1584" s="7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3" s="34" customFormat="1">
      <c r="A1585" s="7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3" s="34" customFormat="1">
      <c r="A1586" s="7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3" s="34" customFormat="1">
      <c r="A1587" s="7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3" s="34" customFormat="1">
      <c r="A1588" s="7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3" s="34" customFormat="1">
      <c r="A1589" s="7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3" s="34" customFormat="1">
      <c r="A1590" s="7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3" s="34" customFormat="1">
      <c r="A1591" s="7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3" s="34" customFormat="1">
      <c r="A1592" s="7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3" s="34" customFormat="1">
      <c r="A1593" s="7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3" s="34" customFormat="1">
      <c r="A1594" s="7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3" s="34" customFormat="1">
      <c r="A1595" s="7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3" s="34" customFormat="1">
      <c r="A1596" s="7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3" s="34" customFormat="1">
      <c r="A1597" s="7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3" s="34" customFormat="1">
      <c r="A1598" s="7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3" s="34" customFormat="1">
      <c r="A1599" s="7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3" s="34" customFormat="1">
      <c r="A1600" s="7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3" s="34" customFormat="1">
      <c r="A1601" s="7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3" s="34" customFormat="1">
      <c r="A1602" s="7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3" s="34" customFormat="1">
      <c r="A1603" s="7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3" s="34" customFormat="1">
      <c r="A1604" s="7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3" s="34" customFormat="1">
      <c r="A1605" s="7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3" s="34" customFormat="1">
      <c r="A1606" s="7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3" s="34" customFormat="1">
      <c r="A1607" s="7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3" s="34" customFormat="1">
      <c r="A1608" s="7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 s="34" customFormat="1">
      <c r="A1609" s="7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 s="34" customFormat="1">
      <c r="A1610" s="7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 s="34" customFormat="1">
      <c r="A1611" s="7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 s="34" customFormat="1">
      <c r="A1612" s="7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3" s="34" customFormat="1">
      <c r="A1613" s="7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3" s="34" customFormat="1">
      <c r="A1614" s="7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3" s="34" customFormat="1">
      <c r="A1615" s="7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3" s="34" customFormat="1">
      <c r="A1616" s="7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 s="34" customFormat="1">
      <c r="A1617" s="7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 s="34" customFormat="1">
      <c r="A1618" s="7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3" s="34" customFormat="1">
      <c r="A1619" s="7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3" s="34" customFormat="1">
      <c r="A1620" s="7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3" s="34" customFormat="1">
      <c r="A1621" s="7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3" s="34" customFormat="1">
      <c r="A1622" s="7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 s="34" customFormat="1">
      <c r="A1623" s="7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 s="34" customFormat="1">
      <c r="A1624" s="7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 s="34" customFormat="1">
      <c r="A1625" s="7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 s="34" customFormat="1">
      <c r="A1626" s="7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3" s="34" customFormat="1">
      <c r="A1627" s="7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3" s="34" customFormat="1">
      <c r="A1628" s="7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3" s="34" customFormat="1">
      <c r="A1629" s="7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3" s="34" customFormat="1">
      <c r="A1630" s="7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 s="34" customFormat="1">
      <c r="A1631" s="7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3" s="34" customFormat="1">
      <c r="A1632" s="7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3" s="34" customFormat="1">
      <c r="A1633" s="7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3" s="34" customFormat="1">
      <c r="A1634" s="7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3" s="34" customFormat="1">
      <c r="A1635" s="7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3" s="34" customFormat="1">
      <c r="A1636" s="7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3" s="34" customFormat="1">
      <c r="A1637" s="7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3" s="34" customFormat="1">
      <c r="A1638" s="7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3" s="34" customFormat="1">
      <c r="A1639" s="7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 s="34" customFormat="1">
      <c r="A1640" s="7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 s="34" customFormat="1">
      <c r="A1641" s="7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3" s="34" customFormat="1">
      <c r="A1642" s="7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3" s="34" customFormat="1">
      <c r="A1643" s="7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3" s="34" customFormat="1">
      <c r="A1644" s="7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3" s="34" customFormat="1">
      <c r="A1645" s="7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 s="34" customFormat="1">
      <c r="A1646" s="7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 s="34" customFormat="1">
      <c r="A1647" s="7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 s="34" customFormat="1">
      <c r="A1648" s="7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 s="34" customFormat="1">
      <c r="A1649" s="7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3" s="34" customFormat="1">
      <c r="A1650" s="7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3" s="34" customFormat="1">
      <c r="A1651" s="7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3" s="34" customFormat="1">
      <c r="A1652" s="7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3" s="34" customFormat="1">
      <c r="A1653" s="7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3" s="34" customFormat="1">
      <c r="A1654" s="7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 s="34" customFormat="1">
      <c r="A1655" s="7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 s="34" customFormat="1">
      <c r="A1656" s="7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 s="34" customFormat="1">
      <c r="A1657" s="7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 s="34" customFormat="1">
      <c r="A1658" s="7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 s="34" customFormat="1">
      <c r="A1659" s="7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 s="34" customFormat="1">
      <c r="A1660" s="7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 s="34" customFormat="1">
      <c r="A1661" s="7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 s="34" customFormat="1">
      <c r="A1662" s="7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 s="34" customFormat="1">
      <c r="A1663" s="7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 s="34" customFormat="1">
      <c r="A1664" s="7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 s="34" customFormat="1">
      <c r="A1665" s="7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 s="34" customFormat="1">
      <c r="A1666" s="7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 s="34" customFormat="1">
      <c r="A1667" s="7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 s="34" customFormat="1">
      <c r="A1668" s="7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 s="34" customFormat="1">
      <c r="A1669" s="7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 s="34" customFormat="1">
      <c r="A1670" s="7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 s="34" customFormat="1">
      <c r="A1671" s="7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 s="34" customFormat="1">
      <c r="A1672" s="7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 s="34" customFormat="1">
      <c r="A1673" s="7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 s="34" customFormat="1">
      <c r="A1674" s="7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 s="34" customFormat="1">
      <c r="A1675" s="7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3" s="34" customFormat="1">
      <c r="A1676" s="7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3" s="34" customFormat="1">
      <c r="A1677" s="7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3" s="34" customFormat="1">
      <c r="A1678" s="7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3" s="34" customFormat="1">
      <c r="A1679" s="7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 s="34" customFormat="1">
      <c r="A1680" s="7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 s="34" customFormat="1">
      <c r="A1681" s="7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 s="34" customFormat="1">
      <c r="A1682" s="7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 s="34" customFormat="1">
      <c r="A1683" s="7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 s="34" customFormat="1">
      <c r="A1684" s="7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 s="34" customFormat="1">
      <c r="A1685" s="7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 s="34" customFormat="1">
      <c r="A1686" s="7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 s="34" customFormat="1">
      <c r="A1687" s="7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 s="34" customFormat="1">
      <c r="A1688" s="7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 s="34" customFormat="1">
      <c r="A1689" s="7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 s="34" customFormat="1">
      <c r="A1690" s="7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 s="34" customFormat="1">
      <c r="A1691" s="7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 s="34" customFormat="1">
      <c r="A1692" s="7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 s="34" customFormat="1">
      <c r="A1693" s="7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 s="34" customFormat="1">
      <c r="A1694" s="7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 s="34" customFormat="1">
      <c r="A1695" s="7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 s="34" customFormat="1">
      <c r="A1696" s="7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3" s="34" customFormat="1">
      <c r="A1697" s="7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3" s="34" customFormat="1">
      <c r="A1698" s="7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3" s="34" customFormat="1">
      <c r="A1699" s="7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3" s="34" customFormat="1">
      <c r="A1700" s="7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 s="34" customFormat="1">
      <c r="A1701" s="7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 s="34" customFormat="1">
      <c r="A1702" s="7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 s="34" customFormat="1">
      <c r="A1703" s="7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 s="34" customFormat="1">
      <c r="A1704" s="7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3" s="34" customFormat="1">
      <c r="A1705" s="7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3" s="34" customFormat="1">
      <c r="A1706" s="7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3" s="34" customFormat="1">
      <c r="A1707" s="7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3" s="34" customFormat="1">
      <c r="A1708" s="7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3" s="34" customFormat="1">
      <c r="A1709" s="7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3" s="34" customFormat="1">
      <c r="A1710" s="7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3" s="34" customFormat="1">
      <c r="A1711" s="7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3" s="34" customFormat="1">
      <c r="A1712" s="7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3" s="34" customFormat="1">
      <c r="A1713" s="7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3" s="34" customFormat="1">
      <c r="A1714" s="7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3" s="34" customFormat="1">
      <c r="A1715" s="7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3" s="34" customFormat="1">
      <c r="A1716" s="7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3" s="34" customFormat="1">
      <c r="A1717" s="7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3" s="34" customFormat="1">
      <c r="A1718" s="7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3" s="34" customFormat="1">
      <c r="A1719" s="7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3" s="34" customFormat="1">
      <c r="A1720" s="7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 s="34" customFormat="1">
      <c r="A1721" s="7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 s="34" customFormat="1">
      <c r="A1722" s="7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 s="34" customFormat="1">
      <c r="A1723" s="7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 s="34" customFormat="1">
      <c r="A1724" s="7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 s="34" customFormat="1">
      <c r="A1725" s="7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 s="34" customFormat="1">
      <c r="A1726" s="7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 s="34" customFormat="1">
      <c r="A1727" s="7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 s="34" customFormat="1">
      <c r="A1728" s="7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3" s="34" customFormat="1">
      <c r="A1729" s="7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 s="34" customFormat="1">
      <c r="A1730" s="7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 s="34" customFormat="1">
      <c r="A1731" s="7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 s="34" customFormat="1">
      <c r="A1732" s="7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3" s="34" customFormat="1">
      <c r="A1733" s="7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3" s="34" customFormat="1">
      <c r="A1734" s="7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3" s="34" customFormat="1">
      <c r="A1735" s="7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 s="34" customFormat="1">
      <c r="A1736" s="7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 s="34" customFormat="1">
      <c r="A1737" s="7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 s="34" customFormat="1">
      <c r="A1738" s="7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 s="34" customFormat="1">
      <c r="A1739" s="7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 s="34" customFormat="1">
      <c r="A1740" s="7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 s="34" customFormat="1">
      <c r="A1741" s="7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 s="34" customFormat="1">
      <c r="A1742" s="7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 s="34" customFormat="1">
      <c r="A1743" s="7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 s="34" customFormat="1">
      <c r="A1744" s="7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 s="34" customFormat="1">
      <c r="A1745" s="7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 s="34" customFormat="1">
      <c r="A1746" s="7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 s="34" customFormat="1">
      <c r="A1747" s="7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 s="34" customFormat="1">
      <c r="A1748" s="7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 s="34" customFormat="1">
      <c r="A1749" s="7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 s="34" customFormat="1">
      <c r="A1750" s="7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 s="34" customFormat="1">
      <c r="A1751" s="7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 s="34" customFormat="1">
      <c r="A1752" s="7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 s="34" customFormat="1">
      <c r="A1753" s="7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 s="34" customFormat="1">
      <c r="A1754" s="7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 s="34" customFormat="1">
      <c r="A1755" s="7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 s="34" customFormat="1">
      <c r="A1756" s="7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 s="34" customFormat="1">
      <c r="A1757" s="7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 s="34" customFormat="1">
      <c r="A1758" s="7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 s="34" customFormat="1">
      <c r="A1759" s="7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 s="34" customFormat="1">
      <c r="A1760" s="7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 s="34" customFormat="1">
      <c r="A1761" s="7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 s="34" customFormat="1">
      <c r="A1762" s="7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3" s="34" customFormat="1">
      <c r="A1763" s="7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3" s="34" customFormat="1">
      <c r="A1764" s="7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3" s="34" customFormat="1">
      <c r="A1765" s="7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3" s="34" customFormat="1">
      <c r="A1766" s="7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3" s="34" customFormat="1">
      <c r="A1767" s="7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3" s="34" customFormat="1">
      <c r="A1768" s="7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3" s="34" customFormat="1">
      <c r="A1769" s="7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3" s="34" customFormat="1">
      <c r="A1770" s="7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 s="34" customFormat="1">
      <c r="A1771" s="7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 s="34" customFormat="1">
      <c r="A1772" s="7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 s="34" customFormat="1">
      <c r="A1773" s="7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 s="34" customFormat="1">
      <c r="A1774" s="7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 s="34" customFormat="1">
      <c r="A1775" s="7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 s="34" customFormat="1">
      <c r="A1776" s="7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 s="34" customFormat="1">
      <c r="A1777" s="7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 s="34" customFormat="1">
      <c r="A1778" s="7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 s="34" customFormat="1">
      <c r="A1779" s="7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 s="34" customFormat="1">
      <c r="A1780" s="7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3" s="34" customFormat="1">
      <c r="A1781" s="7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3" s="34" customFormat="1">
      <c r="A1782" s="7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3" s="34" customFormat="1">
      <c r="A1783" s="7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3" s="34" customFormat="1">
      <c r="A1784" s="7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3" s="34" customFormat="1">
      <c r="A1785" s="7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3" s="34" customFormat="1">
      <c r="A1786" s="7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3" s="34" customFormat="1">
      <c r="A1787" s="7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3" s="34" customFormat="1">
      <c r="A1788" s="7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3" s="34" customFormat="1">
      <c r="A1789" s="7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3" s="34" customFormat="1">
      <c r="A1790" s="7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3" s="34" customFormat="1">
      <c r="A1791" s="7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3" s="34" customFormat="1">
      <c r="A1792" s="7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3" s="34" customFormat="1">
      <c r="A1793" s="7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3" s="34" customFormat="1">
      <c r="A1794" s="7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3" s="34" customFormat="1">
      <c r="A1795" s="7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3" s="34" customFormat="1">
      <c r="A1796" s="7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3" s="34" customFormat="1">
      <c r="A1797" s="7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3" s="34" customFormat="1">
      <c r="A1798" s="7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3" s="34" customFormat="1">
      <c r="A1799" s="7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3" s="34" customFormat="1">
      <c r="A1800" s="7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3" s="34" customFormat="1">
      <c r="A1801" s="7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3" s="34" customFormat="1">
      <c r="A1802" s="7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3" s="34" customFormat="1">
      <c r="A1803" s="7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3" s="34" customFormat="1">
      <c r="A1804" s="7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3" s="34" customFormat="1">
      <c r="A1805" s="7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3" s="34" customFormat="1">
      <c r="A1806" s="7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3" s="34" customFormat="1">
      <c r="A1807" s="7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3" s="34" customFormat="1">
      <c r="A1808" s="7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3" s="34" customFormat="1">
      <c r="A1809" s="7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3" s="34" customFormat="1">
      <c r="A1810" s="7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3" s="34" customFormat="1">
      <c r="A1811" s="7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3" s="34" customFormat="1">
      <c r="A1812" s="7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3" s="34" customFormat="1">
      <c r="A1813" s="7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3" s="34" customFormat="1">
      <c r="A1814" s="7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3" s="34" customFormat="1">
      <c r="A1815" s="7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3" s="34" customFormat="1">
      <c r="A1816" s="7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3" s="34" customFormat="1">
      <c r="A1817" s="7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3" s="34" customFormat="1">
      <c r="A1818" s="7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3" s="34" customFormat="1">
      <c r="A1819" s="7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3" s="34" customFormat="1">
      <c r="A1820" s="7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3" s="34" customFormat="1">
      <c r="A1821" s="7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3" s="34" customFormat="1">
      <c r="A1822" s="7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3" s="34" customFormat="1">
      <c r="A1823" s="7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3" s="34" customFormat="1">
      <c r="A1824" s="7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3" s="34" customFormat="1">
      <c r="A1825" s="7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3" s="34" customFormat="1">
      <c r="A1826" s="7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3" s="34" customFormat="1">
      <c r="A1827" s="7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3" s="34" customFormat="1">
      <c r="A1828" s="7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3" s="34" customFormat="1">
      <c r="A1829" s="7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3" s="34" customFormat="1">
      <c r="A1830" s="7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3" s="34" customFormat="1">
      <c r="A1831" s="7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3" s="34" customFormat="1">
      <c r="A1832" s="7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3" s="34" customFormat="1">
      <c r="A1833" s="7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3" s="34" customFormat="1">
      <c r="A1834" s="7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3" s="34" customFormat="1">
      <c r="A1835" s="7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3" s="34" customFormat="1">
      <c r="A1836" s="7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3" s="34" customFormat="1">
      <c r="A1837" s="7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3" s="34" customFormat="1">
      <c r="A1838" s="7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3" s="34" customFormat="1">
      <c r="A1839" s="7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3" s="34" customFormat="1">
      <c r="A1840" s="7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3" s="34" customFormat="1">
      <c r="A1841" s="7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3" s="34" customFormat="1">
      <c r="A1842" s="7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3" s="34" customFormat="1">
      <c r="A1843" s="7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3" s="34" customFormat="1">
      <c r="A1844" s="7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3" s="34" customFormat="1">
      <c r="A1845" s="7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3" s="34" customFormat="1">
      <c r="A1846" s="7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3" s="34" customFormat="1">
      <c r="A1847" s="7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3" s="34" customFormat="1">
      <c r="A1848" s="7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3" s="34" customFormat="1">
      <c r="A1849" s="7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3" s="34" customFormat="1">
      <c r="A1850" s="7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3" s="34" customFormat="1">
      <c r="A1851" s="7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3" s="34" customFormat="1">
      <c r="A1852" s="7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3" s="34" customFormat="1">
      <c r="A1853" s="7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3" s="34" customFormat="1">
      <c r="A1854" s="7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3" s="34" customFormat="1">
      <c r="A1855" s="7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3" s="34" customFormat="1">
      <c r="A1856" s="7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3" s="34" customFormat="1">
      <c r="A1857" s="7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3" s="34" customFormat="1">
      <c r="A1858" s="7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3" s="34" customFormat="1">
      <c r="A1859" s="7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3" s="34" customFormat="1">
      <c r="A1860" s="7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3" s="34" customFormat="1">
      <c r="A1861" s="7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3" s="34" customFormat="1">
      <c r="A1862" s="7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3" s="34" customFormat="1">
      <c r="A1863" s="7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3" s="34" customFormat="1">
      <c r="A1864" s="7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3" s="34" customFormat="1">
      <c r="A1865" s="7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3" s="34" customFormat="1">
      <c r="A1866" s="7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3" s="34" customFormat="1">
      <c r="A1867" s="7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3" s="34" customFormat="1">
      <c r="A1868" s="7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3" s="34" customFormat="1">
      <c r="A1869" s="7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3" s="34" customFormat="1">
      <c r="A1870" s="7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3" s="34" customFormat="1">
      <c r="A1871" s="7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3" s="34" customFormat="1">
      <c r="A1872" s="7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3" s="34" customFormat="1">
      <c r="A1873" s="7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3" s="34" customFormat="1">
      <c r="A1874" s="7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3" s="34" customFormat="1">
      <c r="A1875" s="7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3" s="34" customFormat="1">
      <c r="A1876" s="7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3" s="34" customFormat="1">
      <c r="A1877" s="7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3" s="34" customFormat="1">
      <c r="A1878" s="7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3" s="34" customFormat="1">
      <c r="A1879" s="7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3" s="34" customFormat="1">
      <c r="A1880" s="7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3" s="34" customFormat="1">
      <c r="A1881" s="7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3" s="34" customFormat="1">
      <c r="A1882" s="7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3" s="34" customFormat="1">
      <c r="A1883" s="7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3" s="34" customFormat="1">
      <c r="A1884" s="7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3" s="34" customFormat="1">
      <c r="A1885" s="7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3" s="34" customFormat="1">
      <c r="A1886" s="7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3" s="34" customFormat="1">
      <c r="A1887" s="7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3" s="34" customFormat="1">
      <c r="A1888" s="7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3" s="34" customFormat="1">
      <c r="A1889" s="7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3" s="34" customFormat="1">
      <c r="A1890" s="7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3" s="34" customFormat="1">
      <c r="A1891" s="7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3" s="34" customFormat="1">
      <c r="A1892" s="7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3" s="34" customFormat="1">
      <c r="A1893" s="7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3" s="34" customFormat="1">
      <c r="A1894" s="7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3" s="34" customFormat="1">
      <c r="A1895" s="7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3" s="34" customFormat="1">
      <c r="A1896" s="7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3" s="34" customFormat="1">
      <c r="A1897" s="7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3" s="34" customFormat="1">
      <c r="A1898" s="7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3" s="34" customFormat="1">
      <c r="A1899" s="7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3" s="34" customFormat="1">
      <c r="A1900" s="7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3" s="34" customFormat="1">
      <c r="A1901" s="7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3" s="34" customFormat="1">
      <c r="A1902" s="7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3" s="34" customFormat="1">
      <c r="A1903" s="7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</sheetData>
  <sheetProtection password="DD3F" sheet="1" objects="1" scenarios="1"/>
  <mergeCells count="5">
    <mergeCell ref="K29:L29"/>
    <mergeCell ref="A1:I1"/>
    <mergeCell ref="A2:I2"/>
    <mergeCell ref="A3:I3"/>
    <mergeCell ref="I29:J29"/>
  </mergeCells>
  <printOptions horizontalCentered="1"/>
  <pageMargins left="0.75" right="0.75" top="1" bottom="1" header="0.5" footer="0.5"/>
  <pageSetup scale="73" firstPageNumber="3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51"/>
  <sheetViews>
    <sheetView topLeftCell="A14" zoomScale="85" workbookViewId="0">
      <selection activeCell="B53" sqref="B53"/>
    </sheetView>
  </sheetViews>
  <sheetFormatPr defaultColWidth="9.109375" defaultRowHeight="13.2"/>
  <cols>
    <col min="1" max="1" width="9.109375" style="73"/>
    <col min="2" max="2" width="39.33203125" style="73" customWidth="1"/>
    <col min="3" max="3" width="18.6640625" style="73" customWidth="1"/>
    <col min="4" max="4" width="12" style="73" customWidth="1"/>
    <col min="5" max="5" width="9.109375" style="73"/>
    <col min="6" max="16384" width="9.109375" style="74"/>
  </cols>
  <sheetData>
    <row r="1" spans="1:37" ht="15.6">
      <c r="A1" s="10" t="str">
        <f>Scope!A1</f>
        <v>City of Austin 4 x LM6000 Power Project</v>
      </c>
      <c r="B1" s="75"/>
      <c r="C1" s="75"/>
      <c r="D1" s="75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5.6">
      <c r="A2" s="4" t="s">
        <v>641</v>
      </c>
      <c r="B2" s="75"/>
      <c r="C2" s="75"/>
      <c r="D2" s="75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3.8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3.8" thickBot="1">
      <c r="A4" s="76"/>
      <c r="B4" s="77"/>
      <c r="C4" s="78"/>
      <c r="D4" s="79" t="s">
        <v>759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>
      <c r="A5"/>
      <c r="B5" s="41"/>
      <c r="C5" s="80"/>
      <c r="D5" s="43"/>
      <c r="E5" s="3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>
      <c r="A6" s="40" t="s">
        <v>783</v>
      </c>
      <c r="B6" s="41"/>
      <c r="C6" s="80"/>
      <c r="D6" s="81">
        <f>Mob_Backup!H16</f>
        <v>0</v>
      </c>
      <c r="E6" s="3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>
      <c r="A7" s="40"/>
      <c r="B7" s="41"/>
      <c r="C7" s="80"/>
      <c r="D7" s="82"/>
      <c r="E7" s="3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>
      <c r="A8" s="46" t="s">
        <v>784</v>
      </c>
      <c r="B8" s="41"/>
      <c r="C8" s="80"/>
      <c r="D8" s="81">
        <f>Mob_Backup!H22</f>
        <v>117282.88608738461</v>
      </c>
      <c r="E8" s="3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>
      <c r="A9" s="40"/>
      <c r="B9" s="41"/>
      <c r="C9" s="80"/>
      <c r="D9" s="82"/>
      <c r="E9" s="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40" t="s">
        <v>763</v>
      </c>
      <c r="B10" s="41"/>
      <c r="C10" s="80"/>
      <c r="D10" s="82"/>
      <c r="E10" s="3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>
      <c r="A11" s="3"/>
      <c r="B11" s="41" t="s">
        <v>785</v>
      </c>
      <c r="C11" s="83"/>
      <c r="D11" s="81">
        <f>Mob_Backup!H28</f>
        <v>3950</v>
      </c>
      <c r="E11" s="3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3"/>
      <c r="B12" s="41" t="s">
        <v>786</v>
      </c>
      <c r="C12" s="83"/>
      <c r="D12" s="81">
        <f>Mob_Backup!H35</f>
        <v>5000</v>
      </c>
      <c r="E12" s="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3"/>
      <c r="B13" s="41" t="s">
        <v>787</v>
      </c>
      <c r="C13" s="83"/>
      <c r="D13" s="81">
        <f>Mob_Backup!H41</f>
        <v>10000</v>
      </c>
      <c r="E13" s="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>
      <c r="A14" s="3"/>
      <c r="B14" s="41" t="s">
        <v>788</v>
      </c>
      <c r="C14" s="83"/>
      <c r="D14" s="81">
        <f>Mob_Backup!H59</f>
        <v>9400</v>
      </c>
      <c r="E14" s="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>
      <c r="A15" s="3"/>
      <c r="B15" s="41" t="s">
        <v>789</v>
      </c>
      <c r="C15" s="83"/>
      <c r="D15" s="81">
        <f>Mob_Backup!H67</f>
        <v>8635.7142857142862</v>
      </c>
      <c r="E15" s="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>
      <c r="A16" s="3"/>
      <c r="B16" s="41" t="s">
        <v>790</v>
      </c>
      <c r="C16" s="83"/>
      <c r="D16" s="81">
        <f>Mob_Backup!H73</f>
        <v>6300</v>
      </c>
      <c r="E16" s="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>
      <c r="A17" s="3"/>
      <c r="B17" s="41" t="s">
        <v>791</v>
      </c>
      <c r="C17" s="83"/>
      <c r="D17" s="81">
        <f>Mob_Backup!H81</f>
        <v>0</v>
      </c>
      <c r="E17" s="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>
      <c r="A18" s="3"/>
      <c r="B18" s="41" t="s">
        <v>792</v>
      </c>
      <c r="C18" s="83"/>
      <c r="D18" s="81">
        <f>Mob_Backup!H98</f>
        <v>72202</v>
      </c>
      <c r="E18" s="3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>
      <c r="A19" s="3"/>
      <c r="B19" s="41" t="s">
        <v>793</v>
      </c>
      <c r="C19" s="83"/>
      <c r="D19" s="81">
        <f>Mob_Backup!H117</f>
        <v>29150</v>
      </c>
      <c r="E19" s="3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>
      <c r="A20" s="3"/>
      <c r="B20" s="41" t="s">
        <v>794</v>
      </c>
      <c r="C20" s="83"/>
      <c r="D20" s="81">
        <f>Mob_Backup!H120</f>
        <v>0</v>
      </c>
      <c r="E20" s="3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>
      <c r="A21" s="3"/>
      <c r="B21" s="21" t="s">
        <v>795</v>
      </c>
      <c r="C21" s="83"/>
      <c r="D21" s="81">
        <f>Mob_Backup!H124</f>
        <v>0</v>
      </c>
      <c r="E21" s="3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>
      <c r="A22" s="3"/>
      <c r="B22" s="21" t="s">
        <v>796</v>
      </c>
      <c r="C22" s="83"/>
      <c r="D22" s="81">
        <f>Mob_Backup!H131</f>
        <v>15250</v>
      </c>
      <c r="E22" s="3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>
      <c r="A23" s="3"/>
      <c r="B23" s="41"/>
      <c r="C23" s="83"/>
      <c r="D23" s="82"/>
      <c r="E23" s="3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>
      <c r="A24" s="3"/>
      <c r="B24" s="46" t="s">
        <v>797</v>
      </c>
      <c r="C24" s="84"/>
      <c r="D24" s="81">
        <f>SUBTOTAL(9,D11:D23)</f>
        <v>159887.71428571429</v>
      </c>
      <c r="E24" s="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>
      <c r="A25" s="3"/>
      <c r="B25" s="41"/>
      <c r="C25" s="83"/>
      <c r="D25" s="82"/>
      <c r="E25" s="3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>
      <c r="A26" s="3"/>
      <c r="B26" s="41"/>
      <c r="C26" s="83"/>
      <c r="D26" s="82"/>
      <c r="E26" s="3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>
      <c r="A27" s="40" t="s">
        <v>764</v>
      </c>
      <c r="B27" s="41"/>
      <c r="C27" s="83"/>
      <c r="D27" s="82"/>
      <c r="E27" s="3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>
      <c r="A28" s="3"/>
      <c r="B28" s="41" t="s">
        <v>798</v>
      </c>
      <c r="C28" s="83"/>
      <c r="D28" s="81">
        <f>Mob_Backup!H167</f>
        <v>44782.5</v>
      </c>
      <c r="E28" s="3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>
      <c r="A29" s="3"/>
      <c r="B29" s="41" t="s">
        <v>799</v>
      </c>
      <c r="C29" s="83"/>
      <c r="D29" s="81">
        <f>Mob_Backup!H181</f>
        <v>21420</v>
      </c>
      <c r="E29" s="3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>
      <c r="A30" s="3"/>
      <c r="B30" s="41" t="s">
        <v>800</v>
      </c>
      <c r="C30" s="83"/>
      <c r="D30" s="81">
        <f>Mob_Backup!H201</f>
        <v>3550</v>
      </c>
      <c r="E30" s="3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>
      <c r="A31" s="3"/>
      <c r="B31" s="41" t="s">
        <v>801</v>
      </c>
      <c r="C31" s="83"/>
      <c r="D31" s="81">
        <f>Mob_Backup!H209</f>
        <v>4725</v>
      </c>
      <c r="E31" s="3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>
      <c r="A32" s="3"/>
      <c r="B32" s="41" t="s">
        <v>802</v>
      </c>
      <c r="C32" s="83"/>
      <c r="D32" s="81">
        <f>Mob_Backup!H217</f>
        <v>4200</v>
      </c>
      <c r="E32" s="3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>
      <c r="A33" s="3"/>
      <c r="B33" s="41" t="s">
        <v>803</v>
      </c>
      <c r="C33" s="83"/>
      <c r="D33" s="81">
        <f>Mob_Backup!H267</f>
        <v>37217.25</v>
      </c>
      <c r="E33" s="3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>
      <c r="A34" s="3"/>
      <c r="B34" s="41" t="s">
        <v>804</v>
      </c>
      <c r="C34" s="83"/>
      <c r="D34" s="81">
        <f>Mob_Backup!H273</f>
        <v>10500</v>
      </c>
      <c r="E34" s="3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>
      <c r="A35" s="3"/>
      <c r="B35" s="41"/>
      <c r="C35" s="83"/>
      <c r="D35" s="82"/>
      <c r="E35" s="3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>
      <c r="A36" s="3"/>
      <c r="B36" s="46" t="s">
        <v>805</v>
      </c>
      <c r="C36" s="84"/>
      <c r="D36" s="81">
        <f>SUBTOTAL(9,D27:D35)</f>
        <v>126394.75</v>
      </c>
      <c r="E36" s="3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>
      <c r="A37" s="3"/>
      <c r="B37" s="41"/>
      <c r="C37" s="83"/>
      <c r="D37" s="82"/>
      <c r="E37" s="3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3.8" thickBot="1">
      <c r="A38" s="40" t="s">
        <v>765</v>
      </c>
      <c r="B38" s="41"/>
      <c r="C38" s="83"/>
      <c r="D38" s="85">
        <f>D36+D24+D8+D6</f>
        <v>403565.35037309892</v>
      </c>
      <c r="E38" s="3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>
      <c r="A39" s="40"/>
      <c r="B39" s="41"/>
      <c r="C39" s="80"/>
      <c r="D39" s="37"/>
      <c r="E39" s="3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3.8" thickBot="1">
      <c r="A40" s="74"/>
      <c r="B40" s="74"/>
      <c r="C40" s="74"/>
      <c r="D40" s="74"/>
      <c r="E40" s="3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idden="1">
      <c r="A41" s="40" t="s">
        <v>766</v>
      </c>
      <c r="B41" s="3"/>
      <c r="C41" s="80"/>
      <c r="D41" s="86" t="s">
        <v>767</v>
      </c>
      <c r="E41" s="3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3.8" hidden="1" thickBot="1">
      <c r="A42" s="40"/>
      <c r="B42" s="3"/>
      <c r="C42" s="41"/>
      <c r="D42" s="81"/>
      <c r="E42" s="3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>
      <c r="A43" s="40" t="s">
        <v>323</v>
      </c>
      <c r="B43" s="3"/>
      <c r="C43" s="41"/>
      <c r="D43" s="87" t="s">
        <v>767</v>
      </c>
      <c r="E43" s="3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>
      <c r="A44" s="40"/>
      <c r="B44" s="40"/>
      <c r="C44" s="41"/>
      <c r="D44" s="81"/>
      <c r="E44" s="3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3.8" thickBot="1">
      <c r="A45" s="40" t="s">
        <v>324</v>
      </c>
      <c r="B45" s="3"/>
      <c r="C45" s="3"/>
      <c r="D45" s="47" t="str">
        <f>Mob_Backup!H293</f>
        <v>NA</v>
      </c>
      <c r="E45" s="3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t="13.8" thickBot="1">
      <c r="A46" s="68"/>
      <c r="B46" s="3"/>
      <c r="C46" s="3"/>
      <c r="D46" s="37"/>
      <c r="E46" s="3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3.8" thickBot="1">
      <c r="A47" s="46" t="s">
        <v>768</v>
      </c>
      <c r="B47" s="3"/>
      <c r="C47" s="83"/>
      <c r="D47" s="88">
        <f>Mob_Backup!H299</f>
        <v>1135750</v>
      </c>
      <c r="E47" s="3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3.8" thickBot="1">
      <c r="A48" s="40"/>
      <c r="B48" s="3"/>
      <c r="C48" s="80"/>
      <c r="D48" s="37"/>
      <c r="E48" s="3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ht="13.8" hidden="1" thickBot="1">
      <c r="A49" s="3"/>
      <c r="B49" s="3"/>
      <c r="C49" s="3"/>
      <c r="D49" s="3"/>
      <c r="E49" s="3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3.8" thickBot="1">
      <c r="A50" s="40" t="s">
        <v>806</v>
      </c>
      <c r="B50" s="3"/>
      <c r="C50" s="3"/>
      <c r="D50" s="69">
        <f>Mob_Backup!H279</f>
        <v>160000</v>
      </c>
      <c r="E50" s="3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ht="13.8" hidden="1" thickBot="1">
      <c r="A51" s="46" t="s">
        <v>770</v>
      </c>
      <c r="B51" s="3"/>
      <c r="C51" s="3"/>
      <c r="D51" s="71">
        <f>ROUND(Mob_Backup!H285*Mob_Estimate!D8,-4)</f>
        <v>0</v>
      </c>
      <c r="E51" s="3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>
      <c r="A52" s="3"/>
      <c r="B52" s="3"/>
      <c r="C52" s="3"/>
      <c r="D52" s="3"/>
      <c r="E52" s="3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>
      <c r="A53" s="3"/>
      <c r="B53" s="3"/>
      <c r="C53" s="3"/>
      <c r="D53" s="3"/>
      <c r="E53" s="3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>
      <c r="A54" s="3"/>
      <c r="B54" s="3"/>
      <c r="C54" s="3"/>
      <c r="D54" s="3"/>
      <c r="E54" s="3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>
      <c r="A55" s="3"/>
      <c r="B55" s="3"/>
      <c r="C55" s="3"/>
      <c r="D55" s="3"/>
      <c r="E55" s="3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>
      <c r="A56" s="3"/>
      <c r="B56" s="3"/>
      <c r="C56" s="3"/>
      <c r="D56" s="3"/>
      <c r="E56" s="3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>
      <c r="A57" s="3"/>
      <c r="B57" s="3"/>
      <c r="C57" s="3"/>
      <c r="D57" s="3"/>
      <c r="E57" s="3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>
      <c r="A58" s="3"/>
      <c r="B58" s="3"/>
      <c r="C58" s="3"/>
      <c r="D58" s="3"/>
      <c r="E58" s="3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>
      <c r="A59" s="3"/>
      <c r="B59" s="3"/>
      <c r="C59" s="3"/>
      <c r="D59" s="3"/>
      <c r="E59" s="3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>
      <c r="A60" s="3"/>
      <c r="B60" s="3"/>
      <c r="C60" s="3"/>
      <c r="D60" s="3"/>
      <c r="E60" s="3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>
      <c r="A61" s="3"/>
      <c r="B61" s="3"/>
      <c r="C61" s="3"/>
      <c r="D61" s="3"/>
      <c r="E61" s="3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>
      <c r="A62" s="3"/>
      <c r="B62" s="3"/>
      <c r="C62" s="3"/>
      <c r="D62" s="3"/>
      <c r="E62" s="3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>
      <c r="A63" s="3"/>
      <c r="B63" s="3"/>
      <c r="C63" s="3"/>
      <c r="D63" s="3"/>
      <c r="E63" s="3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>
      <c r="A64" s="3"/>
      <c r="B64" s="3"/>
      <c r="C64" s="3"/>
      <c r="D64" s="3"/>
      <c r="E64" s="3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>
      <c r="A65" s="3"/>
      <c r="B65" s="3"/>
      <c r="C65" s="3"/>
      <c r="D65" s="3"/>
      <c r="E65" s="3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>
      <c r="A66" s="3"/>
      <c r="B66" s="3"/>
      <c r="C66" s="3"/>
      <c r="D66" s="3"/>
      <c r="E66" s="3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>
      <c r="A67" s="3"/>
      <c r="B67" s="3"/>
      <c r="C67" s="3"/>
      <c r="D67" s="3"/>
      <c r="E67" s="3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>
      <c r="A68" s="3"/>
      <c r="B68" s="3"/>
      <c r="C68" s="3"/>
      <c r="D68" s="3"/>
      <c r="E68" s="3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>
      <c r="A69" s="3"/>
      <c r="B69" s="3"/>
      <c r="C69" s="3"/>
      <c r="D69" s="3"/>
      <c r="E69" s="3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>
      <c r="A70" s="3"/>
      <c r="B70" s="3"/>
      <c r="C70" s="3"/>
      <c r="D70" s="3"/>
      <c r="E70" s="3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>
      <c r="A71" s="3"/>
      <c r="B71" s="3"/>
      <c r="C71" s="3"/>
      <c r="D71" s="3"/>
      <c r="E71" s="3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>
      <c r="A72" s="3"/>
      <c r="B72" s="3"/>
      <c r="C72" s="3"/>
      <c r="D72" s="3"/>
      <c r="E72" s="3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>
      <c r="A73" s="3"/>
      <c r="B73" s="3"/>
      <c r="C73" s="3"/>
      <c r="D73" s="3"/>
      <c r="E73" s="3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>
      <c r="A74" s="3"/>
      <c r="B74" s="3"/>
      <c r="C74" s="3"/>
      <c r="D74" s="3"/>
      <c r="E74" s="3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>
      <c r="A75" s="3"/>
      <c r="B75" s="3"/>
      <c r="C75" s="3"/>
      <c r="D75" s="3"/>
      <c r="E75" s="3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>
      <c r="A76" s="3"/>
      <c r="B76" s="3"/>
      <c r="C76" s="3"/>
      <c r="D76" s="3"/>
      <c r="E76" s="3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>
      <c r="A77" s="3"/>
      <c r="B77" s="3"/>
      <c r="C77" s="3"/>
      <c r="D77" s="3"/>
      <c r="E77" s="3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>
      <c r="A78" s="3"/>
      <c r="B78" s="3"/>
      <c r="C78" s="3"/>
      <c r="D78" s="3"/>
      <c r="E78" s="3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>
      <c r="A79" s="3"/>
      <c r="B79" s="3"/>
      <c r="C79" s="3"/>
      <c r="D79" s="3"/>
      <c r="E79" s="3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>
      <c r="A80" s="3"/>
      <c r="B80" s="3"/>
      <c r="C80" s="3"/>
      <c r="D80" s="3"/>
      <c r="E80" s="3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>
      <c r="A81" s="3"/>
      <c r="B81" s="3"/>
      <c r="C81" s="3"/>
      <c r="D81" s="3"/>
      <c r="E81" s="3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>
      <c r="A82" s="3"/>
      <c r="B82" s="3"/>
      <c r="C82" s="3"/>
      <c r="D82" s="3"/>
      <c r="E82" s="3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>
      <c r="A83" s="3"/>
      <c r="B83" s="3"/>
      <c r="C83" s="3"/>
      <c r="D83" s="3"/>
      <c r="E83" s="3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>
      <c r="A84" s="3"/>
      <c r="B84" s="3"/>
      <c r="C84" s="3"/>
      <c r="D84" s="3"/>
      <c r="E84" s="3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>
      <c r="A85" s="3"/>
      <c r="B85" s="3"/>
      <c r="C85" s="3"/>
      <c r="D85" s="3"/>
      <c r="E85" s="3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>
      <c r="A86" s="3"/>
      <c r="B86" s="3"/>
      <c r="C86" s="3"/>
      <c r="D86" s="3"/>
      <c r="E86" s="3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>
      <c r="A87" s="3"/>
      <c r="B87" s="3"/>
      <c r="C87" s="3"/>
      <c r="D87" s="3"/>
      <c r="E87" s="3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>
      <c r="A88" s="3"/>
      <c r="B88" s="3"/>
      <c r="C88" s="3"/>
      <c r="D88" s="3"/>
      <c r="E88" s="3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>
      <c r="A89" s="3"/>
      <c r="B89" s="3"/>
      <c r="C89" s="3"/>
      <c r="D89" s="3"/>
      <c r="E89" s="3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>
      <c r="A90" s="3"/>
      <c r="B90" s="3"/>
      <c r="C90" s="3"/>
      <c r="D90" s="3"/>
      <c r="E90" s="3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>
      <c r="A91" s="3"/>
      <c r="B91" s="3"/>
      <c r="C91" s="3"/>
      <c r="D91" s="3"/>
      <c r="E91" s="3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>
      <c r="A92" s="3"/>
      <c r="B92" s="3"/>
      <c r="C92" s="3"/>
      <c r="D92" s="3"/>
      <c r="E92" s="3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>
      <c r="A93" s="3"/>
      <c r="B93" s="3"/>
      <c r="C93" s="3"/>
      <c r="D93" s="3"/>
      <c r="E93" s="3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>
      <c r="A94" s="3"/>
      <c r="B94" s="3"/>
      <c r="C94" s="3"/>
      <c r="D94" s="3"/>
      <c r="E94" s="3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>
      <c r="A95" s="3"/>
      <c r="B95" s="3"/>
      <c r="C95" s="3"/>
      <c r="D95" s="3"/>
      <c r="E95" s="3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>
      <c r="A96" s="3"/>
      <c r="B96" s="3"/>
      <c r="C96" s="3"/>
      <c r="D96" s="3"/>
      <c r="E96" s="3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>
      <c r="A97" s="3"/>
      <c r="B97" s="3"/>
      <c r="C97" s="3"/>
      <c r="D97" s="3"/>
      <c r="E97" s="3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>
      <c r="A98" s="3"/>
      <c r="B98" s="3"/>
      <c r="C98" s="3"/>
      <c r="D98" s="3"/>
      <c r="E98" s="3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>
      <c r="A99" s="3"/>
      <c r="B99" s="3"/>
      <c r="C99" s="3"/>
      <c r="D99" s="3"/>
      <c r="E99" s="3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>
      <c r="A100" s="3"/>
      <c r="B100" s="3"/>
      <c r="C100" s="3"/>
      <c r="D100" s="3"/>
      <c r="E100" s="3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>
      <c r="A101" s="3"/>
      <c r="B101" s="3"/>
      <c r="C101" s="3"/>
      <c r="D101" s="3"/>
      <c r="E101" s="3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1:37">
      <c r="A102" s="3"/>
      <c r="B102" s="3"/>
      <c r="C102" s="3"/>
      <c r="D102" s="3"/>
      <c r="E102" s="3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>
      <c r="A103" s="3"/>
      <c r="B103" s="3"/>
      <c r="C103" s="3"/>
      <c r="D103" s="3"/>
      <c r="E103" s="3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1:37">
      <c r="A104" s="3"/>
      <c r="B104" s="3"/>
      <c r="C104" s="3"/>
      <c r="D104" s="3"/>
      <c r="E104" s="3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>
      <c r="A105" s="3"/>
      <c r="B105" s="3"/>
      <c r="C105" s="3"/>
      <c r="D105" s="3"/>
      <c r="E105" s="3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>
      <c r="A106" s="3"/>
      <c r="B106" s="3"/>
      <c r="C106" s="3"/>
      <c r="D106" s="3"/>
      <c r="E106" s="3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1:37">
      <c r="A107" s="3"/>
      <c r="B107" s="3"/>
      <c r="C107" s="3"/>
      <c r="D107" s="3"/>
      <c r="E107" s="3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1:37">
      <c r="A108" s="3"/>
      <c r="B108" s="3"/>
      <c r="C108" s="3"/>
      <c r="D108" s="3"/>
      <c r="E108" s="3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>
      <c r="A109" s="3"/>
      <c r="B109" s="3"/>
      <c r="C109" s="3"/>
      <c r="D109" s="3"/>
      <c r="E109" s="3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>
      <c r="A110" s="3"/>
      <c r="B110" s="3"/>
      <c r="C110" s="3"/>
      <c r="D110" s="3"/>
      <c r="E110" s="3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>
      <c r="A111" s="3"/>
      <c r="B111" s="3"/>
      <c r="C111" s="3"/>
      <c r="D111" s="3"/>
      <c r="E111" s="3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>
      <c r="A112" s="3"/>
      <c r="B112" s="3"/>
      <c r="C112" s="3"/>
      <c r="D112" s="3"/>
      <c r="E112" s="3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>
      <c r="A113" s="3"/>
      <c r="B113" s="3"/>
      <c r="C113" s="3"/>
      <c r="D113" s="3"/>
      <c r="E113" s="3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1:37">
      <c r="A114" s="3"/>
      <c r="B114" s="3"/>
      <c r="C114" s="3"/>
      <c r="D114" s="3"/>
      <c r="E114" s="3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1:37">
      <c r="A115" s="3"/>
      <c r="B115" s="3"/>
      <c r="C115" s="3"/>
      <c r="D115" s="3"/>
      <c r="E115" s="3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1:37">
      <c r="A116" s="3"/>
      <c r="B116" s="3"/>
      <c r="C116" s="3"/>
      <c r="D116" s="3"/>
      <c r="E116" s="3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1:37">
      <c r="A117" s="3"/>
      <c r="B117" s="3"/>
      <c r="C117" s="3"/>
      <c r="D117" s="3"/>
      <c r="E117" s="3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1:37">
      <c r="A118" s="3"/>
      <c r="B118" s="3"/>
      <c r="C118" s="3"/>
      <c r="D118" s="3"/>
      <c r="E118" s="3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>
      <c r="A119" s="3"/>
      <c r="B119" s="3"/>
      <c r="C119" s="3"/>
      <c r="D119" s="3"/>
      <c r="E119" s="3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>
      <c r="A120" s="3"/>
      <c r="B120" s="3"/>
      <c r="C120" s="3"/>
      <c r="D120" s="3"/>
      <c r="E120" s="3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1:37">
      <c r="A121" s="3"/>
      <c r="B121" s="3"/>
      <c r="C121" s="3"/>
      <c r="D121" s="3"/>
      <c r="E121" s="3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1:37">
      <c r="A122" s="3"/>
      <c r="B122" s="3"/>
      <c r="C122" s="3"/>
      <c r="D122" s="3"/>
      <c r="E122" s="3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>
      <c r="A123" s="3"/>
      <c r="B123" s="3"/>
      <c r="C123" s="3"/>
      <c r="D123" s="3"/>
      <c r="E123" s="3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>
      <c r="A124" s="3"/>
      <c r="B124" s="3"/>
      <c r="C124" s="3"/>
      <c r="D124" s="3"/>
      <c r="E124" s="3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1:37">
      <c r="A125" s="3"/>
      <c r="B125" s="3"/>
      <c r="C125" s="3"/>
      <c r="D125" s="3"/>
      <c r="E125" s="3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1:37">
      <c r="A126" s="3"/>
      <c r="B126" s="3"/>
      <c r="C126" s="3"/>
      <c r="D126" s="3"/>
      <c r="E126" s="3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1:37">
      <c r="A127" s="3"/>
      <c r="B127" s="3"/>
      <c r="C127" s="3"/>
      <c r="D127" s="3"/>
      <c r="E127" s="3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1:37">
      <c r="A128" s="3"/>
      <c r="B128" s="3"/>
      <c r="C128" s="3"/>
      <c r="D128" s="3"/>
      <c r="E128" s="3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1:37">
      <c r="A129" s="3"/>
      <c r="B129" s="3"/>
      <c r="C129" s="3"/>
      <c r="D129" s="3"/>
      <c r="E129" s="3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>
      <c r="A130" s="3"/>
      <c r="B130" s="3"/>
      <c r="C130" s="3"/>
      <c r="D130" s="3"/>
      <c r="E130" s="3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>
      <c r="A131" s="3"/>
      <c r="B131" s="3"/>
      <c r="C131" s="3"/>
      <c r="D131" s="3"/>
      <c r="E131" s="3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>
      <c r="A132" s="3"/>
      <c r="B132" s="3"/>
      <c r="C132" s="3"/>
      <c r="D132" s="3"/>
      <c r="E132" s="3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>
      <c r="A133" s="3"/>
      <c r="B133" s="3"/>
      <c r="C133" s="3"/>
      <c r="D133" s="3"/>
      <c r="E133" s="3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>
      <c r="A134" s="3"/>
      <c r="B134" s="3"/>
      <c r="C134" s="3"/>
      <c r="D134" s="3"/>
      <c r="E134" s="3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1:37">
      <c r="A135" s="3"/>
      <c r="B135" s="3"/>
      <c r="C135" s="3"/>
      <c r="D135" s="3"/>
      <c r="E135" s="3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1:37">
      <c r="A136" s="3"/>
      <c r="B136" s="3"/>
      <c r="C136" s="3"/>
      <c r="D136" s="3"/>
      <c r="E136" s="3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1:37">
      <c r="A137" s="3"/>
      <c r="B137" s="3"/>
      <c r="C137" s="3"/>
      <c r="D137" s="3"/>
      <c r="E137" s="3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1:37">
      <c r="A138" s="3"/>
      <c r="B138" s="3"/>
      <c r="C138" s="3"/>
      <c r="D138" s="3"/>
      <c r="E138" s="3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1:37">
      <c r="A139" s="3"/>
      <c r="B139" s="3"/>
      <c r="C139" s="3"/>
      <c r="D139" s="3"/>
      <c r="E139" s="3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1:37">
      <c r="A140" s="3"/>
      <c r="B140" s="3"/>
      <c r="C140" s="3"/>
      <c r="D140" s="3"/>
      <c r="E140" s="3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1:37">
      <c r="A141" s="3"/>
      <c r="B141" s="3"/>
      <c r="C141" s="3"/>
      <c r="D141" s="3"/>
      <c r="E141" s="3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1:37">
      <c r="A142" s="3"/>
      <c r="B142" s="3"/>
      <c r="C142" s="3"/>
      <c r="D142" s="3"/>
      <c r="E142" s="3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1:37">
      <c r="A143" s="3"/>
      <c r="B143" s="3"/>
      <c r="C143" s="3"/>
      <c r="D143" s="3"/>
      <c r="E143" s="3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1:37">
      <c r="A144" s="3"/>
      <c r="B144" s="3"/>
      <c r="C144" s="3"/>
      <c r="D144" s="3"/>
      <c r="E144" s="3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1:37">
      <c r="A145" s="3"/>
      <c r="B145" s="3"/>
      <c r="C145" s="3"/>
      <c r="D145" s="3"/>
      <c r="E145" s="3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1:37">
      <c r="A146" s="3"/>
      <c r="B146" s="3"/>
      <c r="C146" s="3"/>
      <c r="D146" s="3"/>
      <c r="E146" s="3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1:37">
      <c r="A147" s="3"/>
      <c r="B147" s="3"/>
      <c r="C147" s="3"/>
      <c r="D147" s="3"/>
      <c r="E147" s="3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1:37">
      <c r="A148" s="3"/>
      <c r="B148" s="3"/>
      <c r="C148" s="3"/>
      <c r="D148" s="3"/>
      <c r="E148" s="3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  <row r="149" spans="1:37">
      <c r="A149" s="3"/>
      <c r="B149" s="3"/>
      <c r="C149" s="3"/>
      <c r="D149" s="3"/>
      <c r="E149" s="3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</row>
    <row r="150" spans="1:37">
      <c r="A150" s="3"/>
      <c r="B150" s="3"/>
      <c r="C150" s="3"/>
      <c r="D150" s="3"/>
      <c r="E150" s="3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</row>
    <row r="151" spans="1:37">
      <c r="A151" s="3"/>
      <c r="B151" s="3"/>
      <c r="C151" s="3"/>
      <c r="D151" s="3"/>
      <c r="E151" s="3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</row>
    <row r="152" spans="1:37">
      <c r="A152" s="3"/>
      <c r="B152" s="3"/>
      <c r="C152" s="3"/>
      <c r="D152" s="3"/>
      <c r="E152" s="3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</row>
    <row r="153" spans="1:37">
      <c r="A153" s="3"/>
      <c r="B153" s="3"/>
      <c r="C153" s="3"/>
      <c r="D153" s="3"/>
      <c r="E153" s="3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</row>
    <row r="154" spans="1:37">
      <c r="A154" s="3"/>
      <c r="B154" s="3"/>
      <c r="C154" s="3"/>
      <c r="D154" s="3"/>
      <c r="E154" s="3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</row>
    <row r="155" spans="1:37">
      <c r="A155" s="3"/>
      <c r="B155" s="3"/>
      <c r="C155" s="3"/>
      <c r="D155" s="3"/>
      <c r="E155" s="3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</row>
    <row r="156" spans="1:37">
      <c r="A156" s="3"/>
      <c r="B156" s="3"/>
      <c r="C156" s="3"/>
      <c r="D156" s="3"/>
      <c r="E156" s="3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</row>
    <row r="157" spans="1:37">
      <c r="A157" s="3"/>
      <c r="B157" s="3"/>
      <c r="C157" s="3"/>
      <c r="D157" s="3"/>
      <c r="E157" s="3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</row>
    <row r="158" spans="1:37">
      <c r="A158" s="3"/>
      <c r="B158" s="3"/>
      <c r="C158" s="3"/>
      <c r="D158" s="3"/>
      <c r="E158" s="3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</row>
    <row r="159" spans="1:37">
      <c r="A159" s="3"/>
      <c r="B159" s="3"/>
      <c r="C159" s="3"/>
      <c r="D159" s="3"/>
      <c r="E159" s="3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</row>
    <row r="160" spans="1:37">
      <c r="A160" s="3"/>
      <c r="B160" s="3"/>
      <c r="C160" s="3"/>
      <c r="D160" s="3"/>
      <c r="E160" s="3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</row>
    <row r="161" spans="1:37">
      <c r="A161" s="3"/>
      <c r="B161" s="3"/>
      <c r="C161" s="3"/>
      <c r="D161" s="3"/>
      <c r="E161" s="3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</row>
    <row r="162" spans="1:37">
      <c r="A162" s="3"/>
      <c r="B162" s="3"/>
      <c r="C162" s="3"/>
      <c r="D162" s="3"/>
      <c r="E162" s="3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</row>
    <row r="163" spans="1:37">
      <c r="A163" s="3"/>
      <c r="B163" s="3"/>
      <c r="C163" s="3"/>
      <c r="D163" s="3"/>
      <c r="E163" s="3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</row>
    <row r="164" spans="1:37">
      <c r="A164" s="3"/>
      <c r="B164" s="3"/>
      <c r="C164" s="3"/>
      <c r="D164" s="3"/>
      <c r="E164" s="3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</row>
    <row r="165" spans="1:37">
      <c r="A165" s="3"/>
      <c r="B165" s="3"/>
      <c r="C165" s="3"/>
      <c r="D165" s="3"/>
      <c r="E165" s="3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</row>
    <row r="166" spans="1:37">
      <c r="A166" s="3"/>
      <c r="B166" s="3"/>
      <c r="C166" s="3"/>
      <c r="D166" s="3"/>
      <c r="E166" s="3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</row>
    <row r="167" spans="1:37">
      <c r="A167" s="3"/>
      <c r="B167" s="3"/>
      <c r="C167" s="3"/>
      <c r="D167" s="3"/>
      <c r="E167" s="3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</row>
    <row r="168" spans="1:37">
      <c r="A168" s="3"/>
      <c r="B168" s="3"/>
      <c r="C168" s="3"/>
      <c r="D168" s="3"/>
      <c r="E168" s="3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</row>
    <row r="169" spans="1:37">
      <c r="A169" s="3"/>
      <c r="B169" s="3"/>
      <c r="C169" s="3"/>
      <c r="D169" s="3"/>
      <c r="E169" s="3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</row>
    <row r="170" spans="1:37">
      <c r="A170" s="3"/>
      <c r="B170" s="3"/>
      <c r="C170" s="3"/>
      <c r="D170" s="3"/>
      <c r="E170" s="3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</row>
    <row r="171" spans="1:37">
      <c r="A171" s="3"/>
      <c r="B171" s="3"/>
      <c r="C171" s="3"/>
      <c r="D171" s="3"/>
      <c r="E171" s="3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</row>
    <row r="172" spans="1:37">
      <c r="A172" s="3"/>
      <c r="B172" s="3"/>
      <c r="C172" s="3"/>
      <c r="D172" s="3"/>
      <c r="E172" s="3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</row>
    <row r="173" spans="1:37">
      <c r="A173" s="3"/>
      <c r="B173" s="3"/>
      <c r="C173" s="3"/>
      <c r="D173" s="3"/>
      <c r="E173" s="3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</row>
    <row r="174" spans="1:37">
      <c r="A174" s="3"/>
      <c r="B174" s="3"/>
      <c r="C174" s="3"/>
      <c r="D174" s="3"/>
      <c r="E174" s="3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</row>
    <row r="175" spans="1:37">
      <c r="A175" s="3"/>
      <c r="B175" s="3"/>
      <c r="C175" s="3"/>
      <c r="D175" s="3"/>
      <c r="E175" s="3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</row>
    <row r="176" spans="1:37">
      <c r="A176" s="3"/>
      <c r="B176" s="3"/>
      <c r="C176" s="3"/>
      <c r="D176" s="3"/>
      <c r="E176" s="3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</row>
    <row r="177" spans="1:37">
      <c r="A177" s="3"/>
      <c r="B177" s="3"/>
      <c r="C177" s="3"/>
      <c r="D177" s="3"/>
      <c r="E177" s="3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</row>
    <row r="178" spans="1:37">
      <c r="A178" s="3"/>
      <c r="B178" s="3"/>
      <c r="C178" s="3"/>
      <c r="D178" s="3"/>
      <c r="E178" s="3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</row>
    <row r="179" spans="1:37">
      <c r="A179" s="3"/>
      <c r="B179" s="3"/>
      <c r="C179" s="3"/>
      <c r="D179" s="3"/>
      <c r="E179" s="3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</row>
    <row r="180" spans="1:37">
      <c r="A180" s="3"/>
      <c r="B180" s="3"/>
      <c r="C180" s="3"/>
      <c r="D180" s="3"/>
      <c r="E180" s="3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</row>
    <row r="181" spans="1:37">
      <c r="A181" s="3"/>
      <c r="B181" s="3"/>
      <c r="C181" s="3"/>
      <c r="D181" s="3"/>
      <c r="E181" s="3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</row>
    <row r="182" spans="1:37">
      <c r="A182" s="3"/>
      <c r="B182" s="3"/>
      <c r="C182" s="3"/>
      <c r="D182" s="3"/>
      <c r="E182" s="3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</row>
    <row r="183" spans="1:37">
      <c r="A183" s="3"/>
      <c r="B183" s="3"/>
      <c r="C183" s="3"/>
      <c r="D183" s="3"/>
      <c r="E183" s="3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</row>
    <row r="184" spans="1:37">
      <c r="A184" s="3"/>
      <c r="B184" s="3"/>
      <c r="C184" s="3"/>
      <c r="D184" s="3"/>
      <c r="E184" s="3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</row>
    <row r="185" spans="1:37">
      <c r="A185" s="3"/>
      <c r="B185" s="3"/>
      <c r="C185" s="3"/>
      <c r="D185" s="3"/>
      <c r="E185" s="3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</row>
    <row r="186" spans="1:37">
      <c r="A186" s="3"/>
      <c r="B186" s="3"/>
      <c r="C186" s="3"/>
      <c r="D186" s="3"/>
      <c r="E186" s="3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</row>
    <row r="187" spans="1:37">
      <c r="A187" s="3"/>
      <c r="B187" s="3"/>
      <c r="C187" s="3"/>
      <c r="D187" s="3"/>
      <c r="E187" s="3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</row>
    <row r="188" spans="1:37">
      <c r="A188" s="3"/>
      <c r="B188" s="3"/>
      <c r="C188" s="3"/>
      <c r="D188" s="3"/>
      <c r="E188" s="3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</row>
    <row r="189" spans="1:37">
      <c r="A189" s="3"/>
      <c r="B189" s="3"/>
      <c r="C189" s="3"/>
      <c r="D189" s="3"/>
      <c r="E189" s="3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</row>
    <row r="190" spans="1:37">
      <c r="A190" s="3"/>
      <c r="B190" s="3"/>
      <c r="C190" s="3"/>
      <c r="D190" s="3"/>
      <c r="E190" s="3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</row>
    <row r="191" spans="1:37">
      <c r="A191" s="3"/>
      <c r="B191" s="3"/>
      <c r="C191" s="3"/>
      <c r="D191" s="3"/>
      <c r="E191" s="3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</row>
    <row r="192" spans="1:37">
      <c r="A192" s="3"/>
      <c r="B192" s="3"/>
      <c r="C192" s="3"/>
      <c r="D192" s="3"/>
      <c r="E192" s="3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</row>
    <row r="193" spans="1:37">
      <c r="A193" s="3"/>
      <c r="B193" s="3"/>
      <c r="C193" s="3"/>
      <c r="D193" s="3"/>
      <c r="E193" s="3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</row>
    <row r="194" spans="1:37">
      <c r="A194" s="3"/>
      <c r="B194" s="3"/>
      <c r="C194" s="3"/>
      <c r="D194" s="3"/>
      <c r="E194" s="3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</row>
    <row r="195" spans="1:37">
      <c r="A195" s="3"/>
      <c r="B195" s="3"/>
      <c r="C195" s="3"/>
      <c r="D195" s="3"/>
      <c r="E195" s="3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</row>
    <row r="196" spans="1:37">
      <c r="A196" s="3"/>
      <c r="B196" s="3"/>
      <c r="C196" s="3"/>
      <c r="D196" s="3"/>
      <c r="E196" s="3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</row>
    <row r="197" spans="1:37">
      <c r="A197" s="3"/>
      <c r="B197" s="3"/>
      <c r="C197" s="3"/>
      <c r="D197" s="3"/>
      <c r="E197" s="3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</row>
    <row r="198" spans="1:37">
      <c r="A198" s="3"/>
      <c r="B198" s="3"/>
      <c r="C198" s="3"/>
      <c r="D198" s="3"/>
      <c r="E198" s="3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</row>
    <row r="199" spans="1:37">
      <c r="A199" s="3"/>
      <c r="B199" s="3"/>
      <c r="C199" s="3"/>
      <c r="D199" s="3"/>
      <c r="E199" s="3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</row>
    <row r="200" spans="1:37">
      <c r="A200" s="3"/>
      <c r="B200" s="3"/>
      <c r="C200" s="3"/>
      <c r="D200" s="3"/>
      <c r="E200" s="3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</row>
    <row r="201" spans="1:37">
      <c r="A201" s="3"/>
      <c r="B201" s="3"/>
      <c r="C201" s="3"/>
      <c r="D201" s="3"/>
      <c r="E201" s="3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>
      <c r="A202" s="3"/>
      <c r="B202" s="3"/>
      <c r="C202" s="3"/>
      <c r="D202" s="3"/>
      <c r="E202" s="3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</row>
    <row r="203" spans="1:37">
      <c r="A203" s="3"/>
      <c r="B203" s="3"/>
      <c r="C203" s="3"/>
      <c r="D203" s="3"/>
      <c r="E203" s="3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</row>
    <row r="204" spans="1:37">
      <c r="A204" s="3"/>
      <c r="B204" s="3"/>
      <c r="C204" s="3"/>
      <c r="D204" s="3"/>
      <c r="E204" s="3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</row>
    <row r="205" spans="1:37">
      <c r="A205" s="3"/>
      <c r="B205" s="3"/>
      <c r="C205" s="3"/>
      <c r="D205" s="3"/>
      <c r="E205" s="3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</row>
    <row r="206" spans="1:37">
      <c r="A206" s="3"/>
      <c r="B206" s="3"/>
      <c r="C206" s="3"/>
      <c r="D206" s="3"/>
      <c r="E206" s="3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</row>
    <row r="207" spans="1:37">
      <c r="A207" s="3"/>
      <c r="B207" s="3"/>
      <c r="C207" s="3"/>
      <c r="D207" s="3"/>
      <c r="E207" s="3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</row>
    <row r="208" spans="1:37">
      <c r="A208" s="3"/>
      <c r="B208" s="3"/>
      <c r="C208" s="3"/>
      <c r="D208" s="3"/>
      <c r="E208" s="3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</row>
    <row r="209" spans="1:37">
      <c r="A209" s="3"/>
      <c r="B209" s="3"/>
      <c r="C209" s="3"/>
      <c r="D209" s="3"/>
      <c r="E209" s="3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</row>
    <row r="210" spans="1:37">
      <c r="A210" s="3"/>
      <c r="B210" s="3"/>
      <c r="C210" s="3"/>
      <c r="D210" s="3"/>
      <c r="E210" s="3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</row>
    <row r="211" spans="1:37">
      <c r="A211" s="3"/>
      <c r="B211" s="3"/>
      <c r="C211" s="3"/>
      <c r="D211" s="3"/>
      <c r="E211" s="3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</row>
    <row r="212" spans="1:37">
      <c r="A212" s="3"/>
      <c r="B212" s="3"/>
      <c r="C212" s="3"/>
      <c r="D212" s="3"/>
      <c r="E212" s="3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</row>
    <row r="213" spans="1:37">
      <c r="A213" s="3"/>
      <c r="B213" s="3"/>
      <c r="C213" s="3"/>
      <c r="D213" s="3"/>
      <c r="E213" s="3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</row>
    <row r="214" spans="1:37">
      <c r="A214" s="3"/>
      <c r="B214" s="3"/>
      <c r="C214" s="3"/>
      <c r="D214" s="3"/>
      <c r="E214" s="3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</row>
    <row r="215" spans="1:37">
      <c r="A215" s="3"/>
      <c r="B215" s="3"/>
      <c r="C215" s="3"/>
      <c r="D215" s="3"/>
      <c r="E215" s="3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1:37">
      <c r="A216" s="3"/>
      <c r="B216" s="3"/>
      <c r="C216" s="3"/>
      <c r="D216" s="3"/>
      <c r="E216" s="3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</row>
    <row r="217" spans="1:37">
      <c r="A217" s="3"/>
      <c r="B217" s="3"/>
      <c r="C217" s="3"/>
      <c r="D217" s="3"/>
      <c r="E217" s="3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</row>
    <row r="218" spans="1:37">
      <c r="A218" s="3"/>
      <c r="B218" s="3"/>
      <c r="C218" s="3"/>
      <c r="D218" s="3"/>
      <c r="E218" s="3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</row>
    <row r="219" spans="1:37">
      <c r="A219" s="3"/>
      <c r="B219" s="3"/>
      <c r="C219" s="3"/>
      <c r="D219" s="3"/>
      <c r="E219" s="3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</row>
    <row r="220" spans="1:37">
      <c r="A220" s="3"/>
      <c r="B220" s="3"/>
      <c r="C220" s="3"/>
      <c r="D220" s="3"/>
      <c r="E220" s="3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</row>
    <row r="221" spans="1:37">
      <c r="A221" s="3"/>
      <c r="B221" s="3"/>
      <c r="C221" s="3"/>
      <c r="D221" s="3"/>
      <c r="E221" s="3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</row>
    <row r="222" spans="1:37">
      <c r="A222" s="3"/>
      <c r="B222" s="3"/>
      <c r="C222" s="3"/>
      <c r="D222" s="3"/>
      <c r="E222" s="3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</row>
    <row r="223" spans="1:37">
      <c r="A223" s="3"/>
      <c r="B223" s="3"/>
      <c r="C223" s="3"/>
      <c r="D223" s="3"/>
      <c r="E223" s="3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</row>
    <row r="224" spans="1:37">
      <c r="A224" s="3"/>
      <c r="B224" s="3"/>
      <c r="C224" s="3"/>
      <c r="D224" s="3"/>
      <c r="E224" s="3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</row>
    <row r="225" spans="1:37">
      <c r="A225" s="3"/>
      <c r="B225" s="3"/>
      <c r="C225" s="3"/>
      <c r="D225" s="3"/>
      <c r="E225" s="3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</row>
    <row r="226" spans="1:37">
      <c r="A226" s="3"/>
      <c r="B226" s="3"/>
      <c r="C226" s="3"/>
      <c r="D226" s="3"/>
      <c r="E226" s="3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</row>
    <row r="227" spans="1:37">
      <c r="A227" s="3"/>
      <c r="B227" s="3"/>
      <c r="C227" s="3"/>
      <c r="D227" s="3"/>
      <c r="E227" s="3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</row>
    <row r="228" spans="1:37">
      <c r="A228" s="3"/>
      <c r="B228" s="3"/>
      <c r="C228" s="3"/>
      <c r="D228" s="3"/>
      <c r="E228" s="3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</row>
    <row r="229" spans="1:37">
      <c r="A229" s="3"/>
      <c r="B229" s="3"/>
      <c r="C229" s="3"/>
      <c r="D229" s="3"/>
      <c r="E229" s="3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</row>
    <row r="230" spans="1:37">
      <c r="A230" s="3"/>
      <c r="B230" s="3"/>
      <c r="C230" s="3"/>
      <c r="D230" s="3"/>
      <c r="E230" s="3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</row>
    <row r="231" spans="1:37">
      <c r="A231" s="3"/>
      <c r="B231" s="3"/>
      <c r="C231" s="3"/>
      <c r="D231" s="3"/>
      <c r="E231" s="3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</row>
    <row r="232" spans="1:37">
      <c r="A232" s="3"/>
      <c r="B232" s="3"/>
      <c r="C232" s="3"/>
      <c r="D232" s="3"/>
      <c r="E232" s="3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</row>
    <row r="233" spans="1:37">
      <c r="A233" s="3"/>
      <c r="B233" s="3"/>
      <c r="C233" s="3"/>
      <c r="D233" s="3"/>
      <c r="E233" s="3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</row>
    <row r="234" spans="1:37">
      <c r="A234" s="3"/>
      <c r="B234" s="3"/>
      <c r="C234" s="3"/>
      <c r="D234" s="3"/>
      <c r="E234" s="3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</row>
    <row r="235" spans="1:37">
      <c r="A235" s="3"/>
      <c r="B235" s="3"/>
      <c r="C235" s="3"/>
      <c r="D235" s="3"/>
      <c r="E235" s="3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</row>
    <row r="236" spans="1:37">
      <c r="A236" s="3"/>
      <c r="B236" s="3"/>
      <c r="C236" s="3"/>
      <c r="D236" s="3"/>
      <c r="E236" s="3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</row>
    <row r="237" spans="1:37">
      <c r="A237" s="3"/>
      <c r="B237" s="3"/>
      <c r="C237" s="3"/>
      <c r="D237" s="3"/>
      <c r="E237" s="3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</row>
    <row r="238" spans="1:37">
      <c r="A238" s="3"/>
      <c r="B238" s="3"/>
      <c r="C238" s="3"/>
      <c r="D238" s="3"/>
      <c r="E238" s="3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</row>
    <row r="239" spans="1:37">
      <c r="A239" s="3"/>
      <c r="B239" s="3"/>
      <c r="C239" s="3"/>
      <c r="D239" s="3"/>
      <c r="E239" s="3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</row>
    <row r="240" spans="1:37">
      <c r="A240" s="3"/>
      <c r="B240" s="3"/>
      <c r="C240" s="3"/>
      <c r="D240" s="3"/>
      <c r="E240" s="3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</row>
    <row r="241" spans="1:37">
      <c r="A241" s="3"/>
      <c r="B241" s="3"/>
      <c r="C241" s="3"/>
      <c r="D241" s="3"/>
      <c r="E241" s="3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</row>
    <row r="242" spans="1:37">
      <c r="A242" s="3"/>
      <c r="B242" s="3"/>
      <c r="C242" s="3"/>
      <c r="D242" s="3"/>
      <c r="E242" s="3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</row>
    <row r="243" spans="1:37">
      <c r="A243" s="3"/>
      <c r="B243" s="3"/>
      <c r="C243" s="3"/>
      <c r="D243" s="3"/>
      <c r="E243" s="3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</row>
    <row r="244" spans="1:37">
      <c r="A244" s="3"/>
      <c r="B244" s="3"/>
      <c r="C244" s="3"/>
      <c r="D244" s="3"/>
      <c r="E244" s="3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</row>
    <row r="245" spans="1:37">
      <c r="A245" s="3"/>
      <c r="B245" s="3"/>
      <c r="C245" s="3"/>
      <c r="D245" s="3"/>
      <c r="E245" s="3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</row>
    <row r="246" spans="1:37">
      <c r="A246" s="3"/>
      <c r="B246" s="3"/>
      <c r="C246" s="3"/>
      <c r="D246" s="3"/>
      <c r="E246" s="3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</row>
    <row r="247" spans="1:37">
      <c r="A247" s="3"/>
      <c r="B247" s="3"/>
      <c r="C247" s="3"/>
      <c r="D247" s="3"/>
      <c r="E247" s="3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</row>
    <row r="248" spans="1:37">
      <c r="A248" s="3"/>
      <c r="B248" s="3"/>
      <c r="C248" s="3"/>
      <c r="D248" s="3"/>
      <c r="E248" s="3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</row>
    <row r="249" spans="1:37">
      <c r="A249" s="3"/>
      <c r="B249" s="3"/>
      <c r="C249" s="3"/>
      <c r="D249" s="3"/>
      <c r="E249" s="3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</row>
    <row r="250" spans="1:37">
      <c r="A250" s="3"/>
      <c r="B250" s="3"/>
      <c r="C250" s="3"/>
      <c r="D250" s="3"/>
      <c r="E250" s="3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</row>
    <row r="251" spans="1:37">
      <c r="A251" s="3"/>
      <c r="B251" s="3"/>
      <c r="C251" s="3"/>
      <c r="D251" s="3"/>
      <c r="E251" s="3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spans="1:37">
      <c r="A252" s="3"/>
      <c r="B252" s="3"/>
      <c r="C252" s="3"/>
      <c r="D252" s="3"/>
      <c r="E252" s="3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spans="1:37">
      <c r="A253" s="3"/>
      <c r="B253" s="3"/>
      <c r="C253" s="3"/>
      <c r="D253" s="3"/>
      <c r="E253" s="3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spans="1:37">
      <c r="A254" s="3"/>
      <c r="B254" s="3"/>
      <c r="C254" s="3"/>
      <c r="D254" s="3"/>
      <c r="E254" s="3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spans="1:37">
      <c r="A255" s="3"/>
      <c r="B255" s="3"/>
      <c r="C255" s="3"/>
      <c r="D255" s="3"/>
      <c r="E255" s="3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spans="1:37">
      <c r="A256" s="3"/>
      <c r="B256" s="3"/>
      <c r="C256" s="3"/>
      <c r="D256" s="3"/>
      <c r="E256" s="3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spans="1:37">
      <c r="A257" s="3"/>
      <c r="B257" s="3"/>
      <c r="C257" s="3"/>
      <c r="D257" s="3"/>
      <c r="E257" s="3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spans="1:37">
      <c r="A258" s="3"/>
      <c r="B258" s="3"/>
      <c r="C258" s="3"/>
      <c r="D258" s="3"/>
      <c r="E258" s="3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spans="1:37">
      <c r="A259" s="3"/>
      <c r="B259" s="3"/>
      <c r="C259" s="3"/>
      <c r="D259" s="3"/>
      <c r="E259" s="3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spans="1:37">
      <c r="A260" s="3"/>
      <c r="B260" s="3"/>
      <c r="C260" s="3"/>
      <c r="D260" s="3"/>
      <c r="E260" s="3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spans="1:37">
      <c r="A261" s="3"/>
      <c r="B261" s="3"/>
      <c r="C261" s="3"/>
      <c r="D261" s="3"/>
      <c r="E261" s="3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spans="1:37">
      <c r="A262" s="3"/>
      <c r="B262" s="3"/>
      <c r="C262" s="3"/>
      <c r="D262" s="3"/>
      <c r="E262" s="3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spans="1:37">
      <c r="A263" s="3"/>
      <c r="B263" s="3"/>
      <c r="C263" s="3"/>
      <c r="D263" s="3"/>
      <c r="E263" s="3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spans="1:37">
      <c r="A264" s="3"/>
      <c r="B264" s="3"/>
      <c r="C264" s="3"/>
      <c r="D264" s="3"/>
      <c r="E264" s="3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spans="1:37">
      <c r="A265" s="3"/>
      <c r="B265" s="3"/>
      <c r="C265" s="3"/>
      <c r="D265" s="3"/>
      <c r="E265" s="3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spans="1:37">
      <c r="A266" s="3"/>
      <c r="B266" s="3"/>
      <c r="C266" s="3"/>
      <c r="D266" s="3"/>
      <c r="E266" s="3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spans="1:37">
      <c r="A267" s="3"/>
      <c r="B267" s="3"/>
      <c r="C267" s="3"/>
      <c r="D267" s="3"/>
      <c r="E267" s="3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spans="1:37">
      <c r="A268" s="3"/>
      <c r="B268" s="3"/>
      <c r="C268" s="3"/>
      <c r="D268" s="3"/>
      <c r="E268" s="3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spans="1:37">
      <c r="A269" s="3"/>
      <c r="B269" s="3"/>
      <c r="C269" s="3"/>
      <c r="D269" s="3"/>
      <c r="E269" s="3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spans="1:37">
      <c r="A270" s="3"/>
      <c r="B270" s="3"/>
      <c r="C270" s="3"/>
      <c r="D270" s="3"/>
      <c r="E270" s="3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spans="1:37">
      <c r="A271" s="3"/>
      <c r="B271" s="3"/>
      <c r="C271" s="3"/>
      <c r="D271" s="3"/>
      <c r="E271" s="3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spans="1:37">
      <c r="A272" s="3"/>
      <c r="B272" s="3"/>
      <c r="C272" s="3"/>
      <c r="D272" s="3"/>
      <c r="E272" s="3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spans="1:37">
      <c r="A273" s="3"/>
      <c r="B273" s="3"/>
      <c r="C273" s="3"/>
      <c r="D273" s="3"/>
      <c r="E273" s="3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spans="1:37">
      <c r="A274" s="3"/>
      <c r="B274" s="3"/>
      <c r="C274" s="3"/>
      <c r="D274" s="3"/>
      <c r="E274" s="3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spans="1:37">
      <c r="A275" s="3"/>
      <c r="B275" s="3"/>
      <c r="C275" s="3"/>
      <c r="D275" s="3"/>
      <c r="E275" s="3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spans="1:37">
      <c r="A276" s="3"/>
      <c r="B276" s="3"/>
      <c r="C276" s="3"/>
      <c r="D276" s="3"/>
      <c r="E276" s="3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spans="1:37">
      <c r="A277" s="3"/>
      <c r="B277" s="3"/>
      <c r="C277" s="3"/>
      <c r="D277" s="3"/>
      <c r="E277" s="3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spans="1:37">
      <c r="A278" s="3"/>
      <c r="B278" s="3"/>
      <c r="C278" s="3"/>
      <c r="D278" s="3"/>
      <c r="E278" s="3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spans="1:37">
      <c r="A279" s="3"/>
      <c r="B279" s="3"/>
      <c r="C279" s="3"/>
      <c r="D279" s="3"/>
      <c r="E279" s="3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spans="1:37">
      <c r="A280" s="3"/>
      <c r="B280" s="3"/>
      <c r="C280" s="3"/>
      <c r="D280" s="3"/>
      <c r="E280" s="3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spans="1:37">
      <c r="A281" s="3"/>
      <c r="B281" s="3"/>
      <c r="C281" s="3"/>
      <c r="D281" s="3"/>
      <c r="E281" s="3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spans="1:37">
      <c r="A282" s="3"/>
      <c r="B282" s="3"/>
      <c r="C282" s="3"/>
      <c r="D282" s="3"/>
      <c r="E282" s="3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spans="1:37">
      <c r="A283" s="3"/>
      <c r="B283" s="3"/>
      <c r="C283" s="3"/>
      <c r="D283" s="3"/>
      <c r="E283" s="3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spans="1:37">
      <c r="A284" s="3"/>
      <c r="B284" s="3"/>
      <c r="C284" s="3"/>
      <c r="D284" s="3"/>
      <c r="E284" s="3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spans="1:37">
      <c r="A285" s="3"/>
      <c r="B285" s="3"/>
      <c r="C285" s="3"/>
      <c r="D285" s="3"/>
      <c r="E285" s="3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spans="1:37">
      <c r="A286" s="3"/>
      <c r="B286" s="3"/>
      <c r="C286" s="3"/>
      <c r="D286" s="3"/>
      <c r="E286" s="3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spans="1:37">
      <c r="A287" s="3"/>
      <c r="B287" s="3"/>
      <c r="C287" s="3"/>
      <c r="D287" s="3"/>
      <c r="E287" s="3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spans="1:37">
      <c r="A288" s="3"/>
      <c r="B288" s="3"/>
      <c r="C288" s="3"/>
      <c r="D288" s="3"/>
      <c r="E288" s="3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spans="1:37">
      <c r="A289" s="3"/>
      <c r="B289" s="3"/>
      <c r="C289" s="3"/>
      <c r="D289" s="3"/>
      <c r="E289" s="3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spans="1:37">
      <c r="A290" s="3"/>
      <c r="B290" s="3"/>
      <c r="C290" s="3"/>
      <c r="D290" s="3"/>
      <c r="E290" s="3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spans="1:37">
      <c r="A291" s="3"/>
      <c r="B291" s="3"/>
      <c r="C291" s="3"/>
      <c r="D291" s="3"/>
      <c r="E291" s="3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spans="1:37">
      <c r="A292" s="3"/>
      <c r="B292" s="3"/>
      <c r="C292" s="3"/>
      <c r="D292" s="3"/>
      <c r="E292" s="3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spans="1:37">
      <c r="A293" s="3"/>
      <c r="B293" s="3"/>
      <c r="C293" s="3"/>
      <c r="D293" s="3"/>
      <c r="E293" s="3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spans="1:37">
      <c r="A294" s="3"/>
      <c r="B294" s="3"/>
      <c r="C294" s="3"/>
      <c r="D294" s="3"/>
      <c r="E294" s="3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spans="1:37">
      <c r="A295" s="3"/>
      <c r="B295" s="3"/>
      <c r="C295" s="3"/>
      <c r="D295" s="3"/>
      <c r="E295" s="3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spans="1:37">
      <c r="A296" s="3"/>
      <c r="B296" s="3"/>
      <c r="C296" s="3"/>
      <c r="D296" s="3"/>
      <c r="E296" s="3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spans="1:37">
      <c r="A297" s="3"/>
      <c r="B297" s="3"/>
      <c r="C297" s="3"/>
      <c r="D297" s="3"/>
      <c r="E297" s="3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spans="1:37">
      <c r="A298" s="3"/>
      <c r="B298" s="3"/>
      <c r="C298" s="3"/>
      <c r="D298" s="3"/>
      <c r="E298" s="3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spans="1:37">
      <c r="A299" s="3"/>
      <c r="B299" s="3"/>
      <c r="C299" s="3"/>
      <c r="D299" s="3"/>
      <c r="E299" s="3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spans="1:37">
      <c r="A300" s="3"/>
      <c r="B300" s="3"/>
      <c r="C300" s="3"/>
      <c r="D300" s="3"/>
      <c r="E300" s="3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spans="1:37">
      <c r="A301" s="3"/>
      <c r="B301" s="3"/>
      <c r="C301" s="3"/>
      <c r="D301" s="3"/>
      <c r="E301" s="3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spans="1:37">
      <c r="A302" s="3"/>
      <c r="B302" s="3"/>
      <c r="C302" s="3"/>
      <c r="D302" s="3"/>
      <c r="E302" s="3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spans="1:37">
      <c r="A303" s="3"/>
      <c r="B303" s="3"/>
      <c r="C303" s="3"/>
      <c r="D303" s="3"/>
      <c r="E303" s="3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spans="1:37">
      <c r="A304" s="3"/>
      <c r="B304" s="3"/>
      <c r="C304" s="3"/>
      <c r="D304" s="3"/>
      <c r="E304" s="3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spans="1:37">
      <c r="A305" s="3"/>
      <c r="B305" s="3"/>
      <c r="C305" s="3"/>
      <c r="D305" s="3"/>
      <c r="E305" s="3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spans="1:37">
      <c r="A306" s="3"/>
      <c r="B306" s="3"/>
      <c r="C306" s="3"/>
      <c r="D306" s="3"/>
      <c r="E306" s="3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spans="1:37">
      <c r="A307" s="3"/>
      <c r="B307" s="3"/>
      <c r="C307" s="3"/>
      <c r="D307" s="3"/>
      <c r="E307" s="3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spans="1:37">
      <c r="A308" s="3"/>
      <c r="B308" s="3"/>
      <c r="C308" s="3"/>
      <c r="D308" s="3"/>
      <c r="E308" s="3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spans="1:37">
      <c r="A309" s="3"/>
      <c r="B309" s="3"/>
      <c r="C309" s="3"/>
      <c r="D309" s="3"/>
      <c r="E309" s="3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spans="1:37">
      <c r="A310" s="3"/>
      <c r="B310" s="3"/>
      <c r="C310" s="3"/>
      <c r="D310" s="3"/>
      <c r="E310" s="3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spans="1:37">
      <c r="A311" s="3"/>
      <c r="B311" s="3"/>
      <c r="C311" s="3"/>
      <c r="D311" s="3"/>
      <c r="E311" s="3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spans="1:37">
      <c r="A312" s="3"/>
      <c r="B312" s="3"/>
      <c r="C312" s="3"/>
      <c r="D312" s="3"/>
      <c r="E312" s="3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spans="1:37">
      <c r="A313" s="3"/>
      <c r="B313" s="3"/>
      <c r="C313" s="3"/>
      <c r="D313" s="3"/>
      <c r="E313" s="3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spans="1:37">
      <c r="A314" s="3"/>
      <c r="B314" s="3"/>
      <c r="C314" s="3"/>
      <c r="D314" s="3"/>
      <c r="E314" s="3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spans="1:37">
      <c r="A315" s="3"/>
      <c r="B315" s="3"/>
      <c r="C315" s="3"/>
      <c r="D315" s="3"/>
      <c r="E315" s="3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spans="1:37">
      <c r="A316" s="3"/>
      <c r="B316" s="3"/>
      <c r="C316" s="3"/>
      <c r="D316" s="3"/>
      <c r="E316" s="3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spans="1:37">
      <c r="A317" s="3"/>
      <c r="B317" s="3"/>
      <c r="C317" s="3"/>
      <c r="D317" s="3"/>
      <c r="E317" s="3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spans="1:37">
      <c r="A318" s="3"/>
      <c r="B318" s="3"/>
      <c r="C318" s="3"/>
      <c r="D318" s="3"/>
      <c r="E318" s="3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spans="1:37">
      <c r="A319" s="3"/>
      <c r="B319" s="3"/>
      <c r="C319" s="3"/>
      <c r="D319" s="3"/>
      <c r="E319" s="3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spans="1:37">
      <c r="A320" s="3"/>
      <c r="B320" s="3"/>
      <c r="C320" s="3"/>
      <c r="D320" s="3"/>
      <c r="E320" s="3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spans="1:37">
      <c r="A321" s="3"/>
      <c r="B321" s="3"/>
      <c r="C321" s="3"/>
      <c r="D321" s="3"/>
      <c r="E321" s="3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spans="1:37">
      <c r="A322" s="3"/>
      <c r="B322" s="3"/>
      <c r="C322" s="3"/>
      <c r="D322" s="3"/>
      <c r="E322" s="3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spans="1:37">
      <c r="A323" s="3"/>
      <c r="B323" s="3"/>
      <c r="C323" s="3"/>
      <c r="D323" s="3"/>
      <c r="E323" s="3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spans="1:37">
      <c r="A324" s="3"/>
      <c r="B324" s="3"/>
      <c r="C324" s="3"/>
      <c r="D324" s="3"/>
      <c r="E324" s="3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spans="1:37">
      <c r="A325" s="3"/>
      <c r="B325" s="3"/>
      <c r="C325" s="3"/>
      <c r="D325" s="3"/>
      <c r="E325" s="3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spans="1:37">
      <c r="A326" s="3"/>
      <c r="B326" s="3"/>
      <c r="C326" s="3"/>
      <c r="D326" s="3"/>
      <c r="E326" s="3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spans="1:37">
      <c r="A327" s="3"/>
      <c r="B327" s="3"/>
      <c r="C327" s="3"/>
      <c r="D327" s="3"/>
      <c r="E327" s="3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spans="1:37">
      <c r="A328" s="3"/>
      <c r="B328" s="3"/>
      <c r="C328" s="3"/>
      <c r="D328" s="3"/>
      <c r="E328" s="3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spans="1:37">
      <c r="A329" s="3"/>
      <c r="B329" s="3"/>
      <c r="C329" s="3"/>
      <c r="D329" s="3"/>
      <c r="E329" s="3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spans="1:37">
      <c r="A330" s="3"/>
      <c r="B330" s="3"/>
      <c r="C330" s="3"/>
      <c r="D330" s="3"/>
      <c r="E330" s="3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spans="1:37">
      <c r="A331" s="3"/>
      <c r="B331" s="3"/>
      <c r="C331" s="3"/>
      <c r="D331" s="3"/>
      <c r="E331" s="3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spans="1:37">
      <c r="A332" s="3"/>
      <c r="B332" s="3"/>
      <c r="C332" s="3"/>
      <c r="D332" s="3"/>
      <c r="E332" s="3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spans="1:37">
      <c r="A333" s="3"/>
      <c r="B333" s="3"/>
      <c r="C333" s="3"/>
      <c r="D333" s="3"/>
      <c r="E333" s="3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spans="1:37">
      <c r="A334" s="3"/>
      <c r="B334" s="3"/>
      <c r="C334" s="3"/>
      <c r="D334" s="3"/>
      <c r="E334" s="3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spans="1:37">
      <c r="A335" s="3"/>
      <c r="B335" s="3"/>
      <c r="C335" s="3"/>
      <c r="D335" s="3"/>
      <c r="E335" s="3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spans="1:37">
      <c r="A336" s="3"/>
      <c r="B336" s="3"/>
      <c r="C336" s="3"/>
      <c r="D336" s="3"/>
      <c r="E336" s="3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spans="1:37">
      <c r="A337" s="3"/>
      <c r="B337" s="3"/>
      <c r="C337" s="3"/>
      <c r="D337" s="3"/>
      <c r="E337" s="3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spans="1:37">
      <c r="A338" s="3"/>
      <c r="B338" s="3"/>
      <c r="C338" s="3"/>
      <c r="D338" s="3"/>
      <c r="E338" s="3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spans="1:37">
      <c r="A339" s="3"/>
      <c r="B339" s="3"/>
      <c r="C339" s="3"/>
      <c r="D339" s="3"/>
      <c r="E339" s="3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spans="1:37">
      <c r="A340" s="3"/>
      <c r="B340" s="3"/>
      <c r="C340" s="3"/>
      <c r="D340" s="3"/>
      <c r="E340" s="3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spans="1:37">
      <c r="A341" s="3"/>
      <c r="B341" s="3"/>
      <c r="C341" s="3"/>
      <c r="D341" s="3"/>
      <c r="E341" s="3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spans="1:37">
      <c r="A342" s="3"/>
      <c r="B342" s="3"/>
      <c r="C342" s="3"/>
      <c r="D342" s="3"/>
      <c r="E342" s="3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spans="1:37">
      <c r="A343" s="3"/>
      <c r="B343" s="3"/>
      <c r="C343" s="3"/>
      <c r="D343" s="3"/>
      <c r="E343" s="3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spans="1:37">
      <c r="A344" s="3"/>
      <c r="B344" s="3"/>
      <c r="C344" s="3"/>
      <c r="D344" s="3"/>
      <c r="E344" s="3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spans="1:37">
      <c r="A345" s="3"/>
      <c r="B345" s="3"/>
      <c r="C345" s="3"/>
      <c r="D345" s="3"/>
      <c r="E345" s="3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spans="1:37">
      <c r="A346" s="3"/>
      <c r="B346" s="3"/>
      <c r="C346" s="3"/>
      <c r="D346" s="3"/>
      <c r="E346" s="3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spans="1:37">
      <c r="A347" s="3"/>
      <c r="B347" s="3"/>
      <c r="C347" s="3"/>
      <c r="D347" s="3"/>
      <c r="E347" s="3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spans="1:37">
      <c r="A348" s="3"/>
      <c r="B348" s="3"/>
      <c r="C348" s="3"/>
      <c r="D348" s="3"/>
      <c r="E348" s="3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spans="1:37">
      <c r="A349" s="3"/>
      <c r="B349" s="3"/>
      <c r="C349" s="3"/>
      <c r="D349" s="3"/>
      <c r="E349" s="3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spans="1:37">
      <c r="A350" s="3"/>
      <c r="B350" s="3"/>
      <c r="C350" s="3"/>
      <c r="D350" s="3"/>
      <c r="E350" s="3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spans="1:37">
      <c r="A351" s="3"/>
      <c r="B351" s="3"/>
      <c r="C351" s="3"/>
      <c r="D351" s="3"/>
      <c r="E351" s="3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</row>
  </sheetData>
  <printOptions horizontalCentered="1"/>
  <pageMargins left="0.75" right="0.75" top="1" bottom="1" header="0.5" footer="0.5"/>
  <pageSetup scale="96" firstPageNumber="6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0"/>
  <sheetViews>
    <sheetView showGridLines="0" topLeftCell="I1" zoomScale="75" workbookViewId="0">
      <selection activeCell="N29" sqref="N29"/>
    </sheetView>
  </sheetViews>
  <sheetFormatPr defaultRowHeight="13.2"/>
  <cols>
    <col min="1" max="1" width="20.44140625" customWidth="1"/>
    <col min="2" max="13" width="8.6640625" customWidth="1"/>
    <col min="18" max="26" width="8.6640625" customWidth="1"/>
    <col min="30" max="30" width="9.33203125" customWidth="1"/>
  </cols>
  <sheetData>
    <row r="1" spans="1:54" ht="15.6">
      <c r="A1" s="10" t="str">
        <f>Scope!A1</f>
        <v>City of Austin 4 x LM6000 Power Project</v>
      </c>
      <c r="B1" s="10"/>
      <c r="C1" s="10"/>
      <c r="D1" s="10"/>
      <c r="E1" s="1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5.6">
      <c r="A2" s="89" t="s">
        <v>807</v>
      </c>
      <c r="B2" s="89"/>
      <c r="C2" s="89"/>
      <c r="D2" s="89"/>
      <c r="E2" s="8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1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ht="15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ht="15">
      <c r="A5" s="92" t="s">
        <v>808</v>
      </c>
      <c r="B5" s="462">
        <v>6</v>
      </c>
      <c r="C5" s="463"/>
      <c r="D5" s="463"/>
      <c r="E5" s="464"/>
      <c r="F5" s="465">
        <f>B5-1</f>
        <v>5</v>
      </c>
      <c r="G5" s="463"/>
      <c r="H5" s="463"/>
      <c r="I5" s="464"/>
      <c r="J5" s="462">
        <f>F5-1</f>
        <v>4</v>
      </c>
      <c r="K5" s="463"/>
      <c r="L5" s="463"/>
      <c r="M5" s="464"/>
      <c r="N5" s="462">
        <f>J5-1</f>
        <v>3</v>
      </c>
      <c r="O5" s="463"/>
      <c r="P5" s="463"/>
      <c r="Q5" s="464"/>
      <c r="R5" s="462">
        <f>N5-1</f>
        <v>2</v>
      </c>
      <c r="S5" s="463"/>
      <c r="T5" s="463"/>
      <c r="U5" s="464"/>
      <c r="V5" s="462">
        <f>R5-1</f>
        <v>1</v>
      </c>
      <c r="W5" s="463"/>
      <c r="X5" s="463"/>
      <c r="Y5" s="464"/>
      <c r="Z5" s="93" t="s">
        <v>809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ht="15">
      <c r="A6" s="92" t="s">
        <v>810</v>
      </c>
      <c r="B6" s="94" t="s">
        <v>592</v>
      </c>
      <c r="C6" s="95"/>
      <c r="D6" s="96"/>
      <c r="E6" s="96"/>
      <c r="F6" s="97"/>
      <c r="G6" s="98"/>
      <c r="H6" s="98"/>
      <c r="I6" s="94"/>
      <c r="J6" s="99"/>
      <c r="K6" s="95"/>
      <c r="L6" s="95"/>
      <c r="M6" s="98"/>
      <c r="N6" s="94" t="s">
        <v>591</v>
      </c>
      <c r="O6" s="99"/>
      <c r="P6" s="97"/>
      <c r="Q6" s="98"/>
      <c r="R6" s="99"/>
      <c r="S6" s="95"/>
      <c r="T6" s="101"/>
      <c r="U6" s="100"/>
      <c r="V6" s="94" t="s">
        <v>811</v>
      </c>
      <c r="W6" s="95"/>
      <c r="X6" s="95"/>
      <c r="Y6" s="102"/>
      <c r="Z6" s="10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5">
      <c r="A7" s="92"/>
      <c r="B7" s="104"/>
      <c r="C7" s="105"/>
      <c r="D7" s="106"/>
      <c r="E7" s="105"/>
      <c r="F7" s="107"/>
      <c r="G7" s="107"/>
      <c r="H7" s="108"/>
      <c r="I7" s="108"/>
      <c r="J7" s="109"/>
      <c r="K7" s="109"/>
      <c r="L7" s="109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hidden="1">
      <c r="A8" s="111"/>
      <c r="B8" s="112" t="s">
        <v>812</v>
      </c>
      <c r="C8" s="112"/>
      <c r="D8" s="111"/>
      <c r="E8" s="112"/>
      <c r="F8" s="113"/>
      <c r="G8" s="114"/>
      <c r="H8" s="112"/>
      <c r="I8" s="115"/>
      <c r="J8" s="113"/>
      <c r="K8" s="115"/>
      <c r="L8" s="115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ht="15" hidden="1">
      <c r="A9" s="111"/>
      <c r="B9" s="116"/>
      <c r="C9" s="112"/>
      <c r="D9" s="111"/>
      <c r="E9" s="112"/>
      <c r="F9" s="112" t="s">
        <v>813</v>
      </c>
      <c r="G9" s="114"/>
      <c r="H9" s="112"/>
      <c r="I9" s="115"/>
      <c r="J9" s="113"/>
      <c r="K9" s="115"/>
      <c r="L9" s="115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hidden="1">
      <c r="A10" s="111"/>
      <c r="B10" s="116"/>
      <c r="C10" s="112"/>
      <c r="D10" s="111"/>
      <c r="E10" s="112"/>
      <c r="F10" s="112" t="s">
        <v>814</v>
      </c>
      <c r="G10" s="114"/>
      <c r="H10" s="112"/>
      <c r="I10" s="115"/>
      <c r="J10" s="113"/>
      <c r="K10" s="115"/>
      <c r="L10" s="115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>
      <c r="A11" s="111"/>
      <c r="B11" s="116"/>
      <c r="C11" s="112"/>
      <c r="D11" s="117"/>
      <c r="E11" s="113"/>
      <c r="F11" s="113"/>
      <c r="G11" s="114"/>
      <c r="H11" s="112"/>
      <c r="I11" s="115"/>
      <c r="J11" s="113"/>
      <c r="K11" s="115"/>
      <c r="L11" s="115"/>
      <c r="M11" s="114"/>
      <c r="N11" s="112" t="str">
        <f>Mob_Staffing!A13</f>
        <v>CONTROL ROOM TECHNICIAN</v>
      </c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">
      <c r="A12" s="111"/>
      <c r="B12" s="116"/>
      <c r="C12" s="114"/>
      <c r="D12" s="114"/>
      <c r="E12" s="112"/>
      <c r="F12" s="113"/>
      <c r="G12" s="114"/>
      <c r="H12" s="112"/>
      <c r="I12" s="115"/>
      <c r="J12" s="113"/>
      <c r="K12" s="115"/>
      <c r="L12" s="115"/>
      <c r="M12" s="112"/>
      <c r="N12" s="112" t="str">
        <f>Mob_Staffing!A14</f>
        <v>OUTSIDE TECHNICIAN</v>
      </c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" hidden="1">
      <c r="A13" s="118"/>
      <c r="B13" s="114"/>
      <c r="C13" s="114"/>
      <c r="D13" s="114"/>
      <c r="E13" s="114"/>
      <c r="F13" s="114"/>
      <c r="G13" s="114"/>
      <c r="H13" s="114"/>
      <c r="I13" s="114"/>
      <c r="J13" s="113"/>
      <c r="K13" s="115"/>
      <c r="L13" s="113"/>
      <c r="M13" s="113"/>
      <c r="N13" s="113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ht="15" hidden="1">
      <c r="A14" s="118"/>
      <c r="B14" s="114"/>
      <c r="C14" s="114"/>
      <c r="D14" s="114"/>
      <c r="E14" s="114"/>
      <c r="F14" s="114"/>
      <c r="G14" s="114"/>
      <c r="H14" s="114"/>
      <c r="I14" s="114"/>
      <c r="J14" s="113"/>
      <c r="K14" s="115"/>
      <c r="L14" s="114"/>
      <c r="M14" s="113"/>
      <c r="N14" s="113"/>
      <c r="P14" s="112"/>
      <c r="Q14" s="113"/>
      <c r="R14" s="113"/>
      <c r="T14" s="112"/>
      <c r="U14" s="112"/>
      <c r="V14" s="112"/>
      <c r="W14" s="112"/>
      <c r="X14" s="112"/>
      <c r="Y14" s="112"/>
      <c r="Z14" s="112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" hidden="1">
      <c r="A15" s="118"/>
      <c r="B15" s="114"/>
      <c r="C15" s="114"/>
      <c r="D15" s="114"/>
      <c r="E15" s="114"/>
      <c r="F15" s="114"/>
      <c r="G15" s="114"/>
      <c r="H15" s="114"/>
      <c r="I15" s="114"/>
      <c r="J15" s="113"/>
      <c r="K15" s="115"/>
      <c r="L15" s="114"/>
      <c r="M15" s="112"/>
      <c r="N15" s="113"/>
      <c r="P15" s="113"/>
      <c r="Q15" s="115"/>
      <c r="R15" s="113"/>
      <c r="T15" s="112"/>
      <c r="U15" s="112"/>
      <c r="V15" s="112"/>
      <c r="W15" s="112"/>
      <c r="X15" s="112"/>
      <c r="Y15" s="112"/>
      <c r="Z15" s="11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" hidden="1">
      <c r="A16" s="118"/>
      <c r="B16" s="114"/>
      <c r="C16" s="114"/>
      <c r="D16" s="114"/>
      <c r="E16" s="114"/>
      <c r="F16" s="114"/>
      <c r="G16" s="114"/>
      <c r="H16" s="114"/>
      <c r="I16" s="114"/>
      <c r="J16" s="113"/>
      <c r="K16" s="115"/>
      <c r="L16" s="114"/>
      <c r="M16" s="112"/>
      <c r="N16" s="112"/>
      <c r="O16" s="112"/>
      <c r="P16" s="113"/>
      <c r="Q16" s="115"/>
      <c r="R16" s="113"/>
      <c r="T16" s="112"/>
      <c r="U16" s="112"/>
      <c r="V16" s="112"/>
      <c r="W16" s="112"/>
      <c r="X16" s="112"/>
      <c r="Y16" s="112"/>
      <c r="Z16" s="11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>
      <c r="A17" s="118"/>
      <c r="B17" s="114"/>
      <c r="C17" s="114"/>
      <c r="D17" s="114"/>
      <c r="E17" s="114"/>
      <c r="F17" s="114"/>
      <c r="G17" s="114"/>
      <c r="H17" s="114"/>
      <c r="I17" s="114"/>
      <c r="J17" s="113"/>
      <c r="K17" s="115"/>
      <c r="L17" s="114"/>
      <c r="M17" s="112"/>
      <c r="N17" s="112"/>
      <c r="O17" s="112"/>
      <c r="P17" s="119"/>
      <c r="Q17" s="120"/>
      <c r="R17" s="119"/>
      <c r="T17" s="112"/>
      <c r="U17" s="112"/>
      <c r="V17" s="112"/>
      <c r="W17" s="112"/>
      <c r="X17" s="112"/>
      <c r="Y17" s="112"/>
      <c r="Z17" s="112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5">
      <c r="A18" s="121"/>
      <c r="B18" s="122"/>
      <c r="C18" s="122"/>
      <c r="D18" s="122"/>
      <c r="E18" s="122"/>
      <c r="F18" s="123"/>
      <c r="G18" s="123"/>
      <c r="H18" s="123"/>
      <c r="I18" s="123"/>
      <c r="J18" s="123"/>
      <c r="K18" s="124"/>
      <c r="L18" s="124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>
      <c r="A19" s="126"/>
      <c r="B19" s="127"/>
      <c r="C19" s="128"/>
      <c r="D19" s="129"/>
      <c r="E19" s="129"/>
      <c r="F19" s="129"/>
      <c r="G19" s="128"/>
      <c r="H19" s="130"/>
      <c r="I19" s="130"/>
      <c r="J19" s="130"/>
      <c r="K19" s="130"/>
      <c r="L19" s="130"/>
      <c r="M19" s="131"/>
      <c r="N19" s="131"/>
      <c r="O19" s="131"/>
      <c r="P19" s="131"/>
      <c r="Q19" s="131"/>
      <c r="R19" s="129"/>
      <c r="S19" s="130"/>
      <c r="T19" s="131"/>
      <c r="U19" s="131"/>
      <c r="V19" s="131"/>
      <c r="W19" s="131"/>
      <c r="X19" s="131"/>
      <c r="Y19" s="131"/>
      <c r="Z19" s="131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">
      <c r="A20" s="118" t="s">
        <v>815</v>
      </c>
      <c r="B20" s="116"/>
      <c r="C20" s="114"/>
      <c r="D20" s="112"/>
      <c r="E20" s="112"/>
      <c r="F20" s="112"/>
      <c r="G20" s="114"/>
      <c r="H20" s="114"/>
      <c r="I20" s="114"/>
      <c r="J20" s="114"/>
      <c r="K20" s="114"/>
      <c r="L20" s="114"/>
      <c r="M20" s="112"/>
      <c r="N20" s="112"/>
      <c r="O20" s="112"/>
      <c r="P20" s="112"/>
      <c r="Q20" s="112"/>
      <c r="R20" s="113"/>
      <c r="T20" s="112"/>
      <c r="U20" s="112"/>
      <c r="V20" s="112"/>
      <c r="W20" s="112"/>
      <c r="X20" s="112"/>
      <c r="Y20" s="112"/>
      <c r="Z20" s="112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5" hidden="1">
      <c r="A21" s="118"/>
      <c r="B21" s="116"/>
      <c r="C21" s="114"/>
      <c r="D21" s="112"/>
      <c r="E21" s="112"/>
      <c r="F21" s="114" t="s">
        <v>816</v>
      </c>
      <c r="G21" s="114"/>
      <c r="H21" s="114"/>
      <c r="I21" s="114"/>
      <c r="J21" s="114"/>
      <c r="K21" s="114"/>
      <c r="L21" s="114"/>
      <c r="M21" s="112"/>
      <c r="N21" s="112"/>
      <c r="O21" s="112"/>
      <c r="Q21" s="112"/>
      <c r="R21" s="112"/>
      <c r="S21" s="114"/>
      <c r="T21" s="112"/>
      <c r="U21" s="112"/>
      <c r="V21" s="112"/>
      <c r="W21" s="112"/>
      <c r="X21" s="112"/>
      <c r="Y21" s="112"/>
      <c r="Z21" s="112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" hidden="1">
      <c r="A22" s="118"/>
      <c r="B22" s="116"/>
      <c r="C22" s="114"/>
      <c r="D22" s="112"/>
      <c r="E22" s="112"/>
      <c r="F22" s="114" t="s">
        <v>817</v>
      </c>
      <c r="G22" s="114"/>
      <c r="H22" s="114"/>
      <c r="I22" s="114"/>
      <c r="J22" s="114"/>
      <c r="K22" s="114"/>
      <c r="L22" s="114"/>
      <c r="M22" s="112"/>
      <c r="N22" s="112"/>
      <c r="O22" s="112"/>
      <c r="Q22" s="112"/>
      <c r="R22" s="112"/>
      <c r="S22" s="114"/>
      <c r="T22" s="112"/>
      <c r="U22" s="112"/>
      <c r="V22" s="112"/>
      <c r="W22" s="112"/>
      <c r="X22" s="112"/>
      <c r="Y22" s="112"/>
      <c r="Z22" s="112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">
      <c r="A23" s="118"/>
      <c r="B23" s="116"/>
      <c r="C23" s="114"/>
      <c r="D23" s="112"/>
      <c r="E23" s="112"/>
      <c r="F23" s="112"/>
      <c r="G23" s="114"/>
      <c r="H23" s="114"/>
      <c r="I23" s="114"/>
      <c r="J23" s="114" t="s">
        <v>818</v>
      </c>
      <c r="K23" s="115"/>
      <c r="L23" s="114"/>
      <c r="M23" s="112"/>
      <c r="N23" s="112"/>
      <c r="O23" s="112"/>
      <c r="P23" s="114"/>
      <c r="Q23" s="112"/>
      <c r="R23" s="113"/>
      <c r="T23" s="112"/>
      <c r="U23" s="112"/>
      <c r="V23" s="112"/>
      <c r="W23" s="112"/>
      <c r="X23" s="112"/>
      <c r="Y23" s="112"/>
      <c r="Z23" s="112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" hidden="1">
      <c r="A24" s="118"/>
      <c r="B24" s="116"/>
      <c r="C24" s="114"/>
      <c r="D24" s="112"/>
      <c r="E24" s="112"/>
      <c r="F24" s="112"/>
      <c r="G24" s="114"/>
      <c r="H24" s="114"/>
      <c r="I24" s="114"/>
      <c r="J24" s="114" t="s">
        <v>819</v>
      </c>
      <c r="K24" s="115"/>
      <c r="L24" s="114"/>
      <c r="M24" s="111"/>
      <c r="N24" s="112"/>
      <c r="O24" s="112"/>
      <c r="P24" s="112"/>
      <c r="Q24" s="112"/>
      <c r="R24" s="113"/>
      <c r="T24" s="112"/>
      <c r="U24" s="112"/>
      <c r="V24" s="112"/>
      <c r="W24" s="112"/>
      <c r="X24" s="112"/>
      <c r="Y24" s="112"/>
      <c r="Z24" s="112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">
      <c r="A25" s="118"/>
      <c r="B25" s="116"/>
      <c r="C25" s="114"/>
      <c r="D25" s="112"/>
      <c r="E25" s="112"/>
      <c r="F25" s="112"/>
      <c r="G25" s="114"/>
      <c r="H25" s="114"/>
      <c r="I25" s="114"/>
      <c r="J25" s="114"/>
      <c r="K25" s="114"/>
      <c r="M25" s="113"/>
      <c r="N25" s="112" t="s">
        <v>820</v>
      </c>
      <c r="O25" s="112"/>
      <c r="P25" s="112"/>
      <c r="Q25" s="112"/>
      <c r="R25" s="113"/>
      <c r="T25" s="112"/>
      <c r="U25" s="112"/>
      <c r="V25" s="112"/>
      <c r="W25" s="112"/>
      <c r="X25" s="112"/>
      <c r="Y25" s="112"/>
      <c r="Z25" s="112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">
      <c r="A26" s="118"/>
      <c r="B26" s="116"/>
      <c r="C26" s="114"/>
      <c r="D26" s="112"/>
      <c r="E26" s="112"/>
      <c r="F26" s="112"/>
      <c r="G26" s="114"/>
      <c r="H26" s="114"/>
      <c r="I26" s="114"/>
      <c r="J26" s="114"/>
      <c r="K26" s="114"/>
      <c r="M26" s="113"/>
      <c r="N26" s="112" t="s">
        <v>821</v>
      </c>
      <c r="P26" s="112"/>
      <c r="Q26" s="112"/>
      <c r="R26" s="113"/>
      <c r="T26" s="112"/>
      <c r="U26" s="112"/>
      <c r="V26" s="112"/>
      <c r="W26" s="112"/>
      <c r="X26" s="112"/>
      <c r="Y26" s="112"/>
      <c r="Z26" s="112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">
      <c r="A27" s="118"/>
      <c r="B27" s="116"/>
      <c r="C27" s="114"/>
      <c r="D27" s="112"/>
      <c r="E27" s="112"/>
      <c r="F27" s="112"/>
      <c r="G27" s="114"/>
      <c r="H27" s="114"/>
      <c r="I27" s="114"/>
      <c r="J27" s="114"/>
      <c r="K27" s="114"/>
      <c r="L27" s="114"/>
      <c r="M27" s="112"/>
      <c r="N27" s="112"/>
      <c r="O27" s="112"/>
      <c r="P27" s="112"/>
      <c r="Q27" s="112"/>
      <c r="R27" s="112"/>
      <c r="S27" s="114"/>
      <c r="T27" s="112"/>
      <c r="U27" s="112"/>
      <c r="V27" s="112"/>
      <c r="W27" s="112"/>
      <c r="X27" s="112"/>
      <c r="Y27" s="112"/>
      <c r="Z27" s="11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">
      <c r="A28" s="118"/>
      <c r="B28" s="116"/>
      <c r="C28" s="114"/>
      <c r="D28" s="112"/>
      <c r="E28" s="112"/>
      <c r="F28" s="112"/>
      <c r="G28" s="114"/>
      <c r="H28" s="114"/>
      <c r="I28" s="114"/>
      <c r="J28" s="114"/>
      <c r="K28" s="114"/>
      <c r="L28" s="114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">
      <c r="A29" s="118"/>
      <c r="B29" s="116"/>
      <c r="C29" s="114"/>
      <c r="D29" s="112"/>
      <c r="E29" s="112"/>
      <c r="F29" s="112"/>
      <c r="G29" s="114"/>
      <c r="H29" s="114"/>
      <c r="I29" s="114"/>
      <c r="J29" s="114"/>
      <c r="K29" s="114"/>
      <c r="L29" s="114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">
      <c r="A30" s="118"/>
      <c r="B30" s="116"/>
      <c r="C30" s="114"/>
      <c r="D30" s="112"/>
      <c r="E30" s="112"/>
      <c r="F30" s="112"/>
      <c r="G30" s="114"/>
      <c r="H30" s="114"/>
      <c r="I30" s="114"/>
      <c r="J30" s="114"/>
      <c r="K30" s="114"/>
      <c r="L30" s="114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1:5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1:5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1:5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1:5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1:5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1:5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1:5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1:5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1:5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1:5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1:5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1:5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1:5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1:5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1:5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1:5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1:5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1:5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1:5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1:5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1:5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1:5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1:5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1:5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1:5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1:5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1:5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1:5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1:5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1:5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1:5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1:5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1:5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1:5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1:5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1:5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1:5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1:5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1:5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1:5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1:5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1:5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1:5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1:5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1:5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1:5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1:5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1:5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1:5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1:5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1:5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1:5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1:5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1:5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1:5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1:5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1:5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1:5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1:5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1:5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1:5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1:5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1:5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1:5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1:5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1:5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1:5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1:5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1:5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1:5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1:5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1:5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1:5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</sheetData>
  <mergeCells count="6">
    <mergeCell ref="R5:U5"/>
    <mergeCell ref="V5:Y5"/>
    <mergeCell ref="B5:E5"/>
    <mergeCell ref="F5:I5"/>
    <mergeCell ref="J5:M5"/>
    <mergeCell ref="N5:Q5"/>
  </mergeCells>
  <printOptions horizontalCentered="1"/>
  <pageMargins left="0.75" right="0.75" top="1" bottom="1" header="0.5" footer="0.5"/>
  <pageSetup scale="51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zoomScale="75" workbookViewId="0">
      <selection activeCell="A21" sqref="A21"/>
    </sheetView>
  </sheetViews>
  <sheetFormatPr defaultRowHeight="13.2"/>
  <cols>
    <col min="1" max="1" width="32.109375" customWidth="1"/>
    <col min="6" max="6" width="10.88671875" bestFit="1" customWidth="1"/>
  </cols>
  <sheetData>
    <row r="1" spans="1:10" ht="15.6">
      <c r="A1" s="10" t="str">
        <f>Scope!A1</f>
        <v>City of Austin 4 x LM6000 Power Project</v>
      </c>
      <c r="B1" s="2"/>
      <c r="C1" s="2"/>
      <c r="D1" s="2"/>
      <c r="E1" s="2"/>
      <c r="F1" s="2"/>
      <c r="G1" s="2"/>
      <c r="H1" s="2"/>
      <c r="I1" s="2"/>
      <c r="J1" s="3"/>
    </row>
    <row r="2" spans="1:10" ht="15.6">
      <c r="A2" s="89" t="s">
        <v>643</v>
      </c>
      <c r="B2" s="2"/>
      <c r="C2" s="2"/>
      <c r="D2" s="2"/>
      <c r="E2" s="2"/>
      <c r="F2" s="2"/>
      <c r="G2" s="2"/>
      <c r="H2" s="2"/>
      <c r="I2" s="2"/>
      <c r="J2" s="3"/>
    </row>
    <row r="3" spans="1:10" ht="13.8" thickBo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73"/>
      <c r="B4" s="132"/>
      <c r="C4" s="132" t="s">
        <v>822</v>
      </c>
      <c r="D4" s="132" t="s">
        <v>823</v>
      </c>
      <c r="E4" s="132" t="s">
        <v>824</v>
      </c>
      <c r="F4" s="132" t="s">
        <v>825</v>
      </c>
      <c r="G4" s="73"/>
      <c r="H4" s="73"/>
      <c r="I4" s="73"/>
      <c r="J4" s="73"/>
    </row>
    <row r="5" spans="1:10">
      <c r="A5" s="73"/>
      <c r="B5" s="133" t="s">
        <v>826</v>
      </c>
      <c r="C5" s="133" t="s">
        <v>827</v>
      </c>
      <c r="D5" s="133" t="s">
        <v>828</v>
      </c>
      <c r="E5" s="133" t="s">
        <v>829</v>
      </c>
      <c r="F5" s="133" t="s">
        <v>830</v>
      </c>
      <c r="G5" s="73"/>
      <c r="H5" s="73"/>
      <c r="I5" s="73"/>
      <c r="J5" s="73"/>
    </row>
    <row r="6" spans="1:10" ht="13.8" thickBot="1">
      <c r="A6" s="73"/>
      <c r="B6" s="134" t="s">
        <v>831</v>
      </c>
      <c r="C6" s="134" t="s">
        <v>832</v>
      </c>
      <c r="D6" s="135" t="s">
        <v>833</v>
      </c>
      <c r="E6" s="135" t="s">
        <v>834</v>
      </c>
      <c r="F6" s="135" t="s">
        <v>759</v>
      </c>
      <c r="G6" s="73"/>
      <c r="H6" s="73"/>
      <c r="I6" s="73"/>
      <c r="J6" s="73"/>
    </row>
    <row r="7" spans="1:10">
      <c r="A7" s="73"/>
      <c r="B7" s="136"/>
      <c r="C7" s="136"/>
      <c r="D7" s="136"/>
      <c r="E7" s="137"/>
      <c r="F7" s="138"/>
      <c r="G7" s="73"/>
      <c r="H7" s="73"/>
      <c r="I7" s="73"/>
      <c r="J7" s="73"/>
    </row>
    <row r="8" spans="1:10" hidden="1">
      <c r="A8" s="73" t="s">
        <v>812</v>
      </c>
      <c r="B8" s="139">
        <v>0</v>
      </c>
      <c r="C8" s="140" t="s">
        <v>835</v>
      </c>
      <c r="D8" s="139">
        <v>6</v>
      </c>
      <c r="E8" s="141">
        <f>Plt_Staff!H8/12</f>
        <v>0</v>
      </c>
      <c r="F8" s="142">
        <f>E8*D8*B8</f>
        <v>0</v>
      </c>
      <c r="G8" s="73"/>
      <c r="H8" s="73"/>
      <c r="I8" s="73"/>
      <c r="J8" s="73"/>
    </row>
    <row r="9" spans="1:10" hidden="1">
      <c r="A9" s="73" t="s">
        <v>836</v>
      </c>
      <c r="B9" s="139">
        <v>0</v>
      </c>
      <c r="C9" s="140" t="s">
        <v>837</v>
      </c>
      <c r="D9" s="139">
        <v>0</v>
      </c>
      <c r="E9" s="141"/>
      <c r="F9" s="142">
        <f>E9*D9*B9</f>
        <v>0</v>
      </c>
      <c r="G9" s="73"/>
      <c r="H9" s="73"/>
      <c r="I9" s="73"/>
      <c r="J9" s="73"/>
    </row>
    <row r="10" spans="1:10" hidden="1">
      <c r="A10" s="73" t="s">
        <v>838</v>
      </c>
      <c r="B10" s="139">
        <v>0</v>
      </c>
      <c r="C10" s="140" t="s">
        <v>835</v>
      </c>
      <c r="D10" s="139">
        <v>0</v>
      </c>
      <c r="E10" s="141"/>
      <c r="F10" s="142">
        <f>E10*D10*B10</f>
        <v>0</v>
      </c>
      <c r="G10" s="73"/>
      <c r="H10" s="73"/>
      <c r="I10" s="73"/>
      <c r="J10" s="73"/>
    </row>
    <row r="11" spans="1:10" hidden="1">
      <c r="A11" s="73" t="s">
        <v>813</v>
      </c>
      <c r="B11" s="139">
        <v>0</v>
      </c>
      <c r="C11" s="140" t="s">
        <v>835</v>
      </c>
      <c r="D11" s="139">
        <v>5</v>
      </c>
      <c r="E11" s="141">
        <f>Plt_Staff!H9/12</f>
        <v>0</v>
      </c>
      <c r="F11" s="142">
        <f>E11*D11*B11</f>
        <v>0</v>
      </c>
      <c r="G11" s="73"/>
      <c r="H11" s="73"/>
      <c r="I11" s="73"/>
      <c r="J11" s="73"/>
    </row>
    <row r="12" spans="1:10" hidden="1">
      <c r="A12" s="73" t="s">
        <v>839</v>
      </c>
      <c r="B12" s="139">
        <v>0</v>
      </c>
      <c r="C12" s="140" t="s">
        <v>840</v>
      </c>
      <c r="D12" s="139">
        <v>5</v>
      </c>
      <c r="E12" s="141">
        <f>Plt_Staff!H10/12</f>
        <v>0</v>
      </c>
      <c r="F12" s="142">
        <f>E12*D12*B12</f>
        <v>0</v>
      </c>
      <c r="G12" s="73"/>
      <c r="H12" s="73"/>
      <c r="I12" s="73"/>
      <c r="J12" s="73"/>
    </row>
    <row r="13" spans="1:10">
      <c r="A13" s="73" t="s">
        <v>618</v>
      </c>
      <c r="B13" s="139">
        <f>'Pay &amp; Benefits Calculations'!N34</f>
        <v>3</v>
      </c>
      <c r="C13" s="140" t="s">
        <v>842</v>
      </c>
      <c r="D13" s="139">
        <v>3</v>
      </c>
      <c r="E13" s="141">
        <f>('Pay &amp; Benefits Calculations'!P34+'Pay &amp; Benefits Calculations'!P52)/'Pay &amp; Benefits Calculations'!O34*160</f>
        <v>24577.11932307692</v>
      </c>
      <c r="F13" s="142">
        <f>E13*D13</f>
        <v>73731.357969230769</v>
      </c>
      <c r="G13" s="73"/>
      <c r="H13" s="73"/>
      <c r="I13" s="73"/>
      <c r="J13" s="73"/>
    </row>
    <row r="14" spans="1:10">
      <c r="A14" s="73" t="s">
        <v>619</v>
      </c>
      <c r="B14" s="139">
        <f>'Pay &amp; Benefits Calculations'!N35</f>
        <v>2</v>
      </c>
      <c r="C14" s="140" t="s">
        <v>842</v>
      </c>
      <c r="D14" s="139">
        <v>3</v>
      </c>
      <c r="E14" s="141">
        <f>('Pay &amp; Benefits Calculations'!P35+'Pay &amp; Benefits Calculations'!P53)/'Pay &amp; Benefits Calculations'!O35*160</f>
        <v>14517.176039384616</v>
      </c>
      <c r="F14" s="142">
        <f>E14*D14</f>
        <v>43551.528118153845</v>
      </c>
      <c r="G14" s="73"/>
      <c r="H14" s="73"/>
      <c r="I14" s="73"/>
      <c r="J14" s="73"/>
    </row>
    <row r="15" spans="1:10">
      <c r="A15" s="73" t="s">
        <v>844</v>
      </c>
      <c r="B15" s="139"/>
      <c r="C15" s="140"/>
      <c r="D15" s="139"/>
      <c r="E15" s="141"/>
      <c r="F15" s="142">
        <f>Plt_Staff!H18/12*D14*2</f>
        <v>0</v>
      </c>
      <c r="G15" s="73"/>
      <c r="H15" s="73"/>
      <c r="I15" s="73"/>
      <c r="J15" s="73"/>
    </row>
    <row r="16" spans="1:10" ht="13.8" thickBot="1">
      <c r="A16" s="73"/>
      <c r="B16" s="135"/>
      <c r="C16" s="143"/>
      <c r="D16" s="135"/>
      <c r="E16" s="144"/>
      <c r="F16" s="145"/>
      <c r="G16" s="73"/>
      <c r="H16" s="73"/>
      <c r="I16" s="73"/>
      <c r="J16" s="73"/>
    </row>
    <row r="17" spans="1:10">
      <c r="A17" s="73"/>
      <c r="B17" s="146"/>
      <c r="C17" s="146"/>
      <c r="D17" s="146"/>
      <c r="E17" s="147"/>
      <c r="F17" s="147"/>
      <c r="G17" s="73"/>
      <c r="H17" s="73"/>
      <c r="I17" s="73"/>
      <c r="J17" s="73"/>
    </row>
    <row r="18" spans="1:10" ht="13.8" thickBot="1">
      <c r="A18" s="20"/>
      <c r="B18" s="146"/>
      <c r="C18" s="146"/>
      <c r="D18" s="146"/>
      <c r="E18" s="148"/>
      <c r="F18" s="147"/>
      <c r="G18" s="20"/>
      <c r="H18" s="20"/>
      <c r="I18" s="20"/>
      <c r="J18" s="20"/>
    </row>
    <row r="19" spans="1:10" ht="13.8" thickBot="1">
      <c r="A19" s="73" t="s">
        <v>845</v>
      </c>
      <c r="B19" s="149">
        <f>SUM(B7:B16)</f>
        <v>5</v>
      </c>
      <c r="C19" s="150"/>
      <c r="D19" s="151"/>
      <c r="E19" s="152"/>
      <c r="F19" s="153">
        <f>SUM(F8:F16)</f>
        <v>117282.88608738461</v>
      </c>
      <c r="G19" s="73"/>
      <c r="H19" s="73"/>
      <c r="I19" s="73"/>
      <c r="J19" s="73"/>
    </row>
    <row r="20" spans="1:10">
      <c r="A20" s="73"/>
      <c r="B20" s="154"/>
      <c r="C20" s="73"/>
      <c r="D20" s="73"/>
      <c r="E20" s="154"/>
      <c r="F20" s="73"/>
      <c r="G20" s="73"/>
      <c r="H20" s="73"/>
      <c r="I20" s="73"/>
      <c r="J20" s="73"/>
    </row>
  </sheetData>
  <printOptions horizontalCentered="1"/>
  <pageMargins left="0.75" right="0.75" top="1" bottom="1" header="0.5" footer="0.5"/>
  <pageSetup scale="85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51"/>
  <sheetViews>
    <sheetView topLeftCell="A7" workbookViewId="0">
      <selection activeCell="B47" sqref="B47"/>
    </sheetView>
  </sheetViews>
  <sheetFormatPr defaultRowHeight="13.2"/>
  <cols>
    <col min="6" max="6" width="33" customWidth="1"/>
    <col min="8" max="8" width="12.5546875" customWidth="1"/>
    <col min="9" max="9" width="15.33203125" bestFit="1" customWidth="1"/>
    <col min="11" max="11" width="41.6640625" bestFit="1" customWidth="1"/>
  </cols>
  <sheetData>
    <row r="1" spans="1:44" ht="15.6">
      <c r="A1" s="10" t="str">
        <f>Scope!A1</f>
        <v>City of Austin 4 x LM6000 Power Project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6">
      <c r="A2" s="89" t="s">
        <v>644</v>
      </c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>
      <c r="A4" s="3"/>
      <c r="B4" s="3"/>
      <c r="C4" s="3"/>
      <c r="D4" s="3"/>
      <c r="E4" s="3"/>
      <c r="F4" s="3"/>
      <c r="G4" s="3"/>
      <c r="H4" s="7" t="s">
        <v>847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>
      <c r="A5" s="3"/>
      <c r="B5" s="3"/>
      <c r="C5" s="3"/>
      <c r="D5" s="3"/>
      <c r="E5" s="3"/>
      <c r="F5" s="3"/>
      <c r="G5" s="155" t="s">
        <v>848</v>
      </c>
      <c r="H5" s="155" t="s">
        <v>849</v>
      </c>
      <c r="I5" s="155" t="s">
        <v>850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>
      <c r="A6" s="40" t="s">
        <v>586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>
      <c r="A7" s="3"/>
      <c r="B7" s="3" t="s">
        <v>851</v>
      </c>
      <c r="C7" s="3"/>
      <c r="D7" s="3"/>
      <c r="E7" s="3"/>
      <c r="F7" s="3"/>
      <c r="G7" s="156">
        <v>0.2</v>
      </c>
      <c r="H7" s="156">
        <f>G7*1</f>
        <v>0.2</v>
      </c>
      <c r="I7" s="157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>
      <c r="A8" s="3"/>
      <c r="B8" s="3" t="s">
        <v>852</v>
      </c>
      <c r="C8" s="3"/>
      <c r="D8" s="3"/>
      <c r="E8" s="3"/>
      <c r="F8" s="3"/>
      <c r="G8" s="156">
        <v>0.6</v>
      </c>
      <c r="H8" s="156">
        <f>G8*1</f>
        <v>0.6</v>
      </c>
      <c r="I8" s="157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3"/>
      <c r="B9" s="3" t="s">
        <v>574</v>
      </c>
      <c r="C9" s="3"/>
      <c r="D9" s="3"/>
      <c r="E9" s="3"/>
      <c r="F9" s="3"/>
      <c r="G9" s="156">
        <v>0.4</v>
      </c>
      <c r="H9" s="156">
        <f>G9*1</f>
        <v>0.4</v>
      </c>
      <c r="I9" s="157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>
      <c r="A10" s="3"/>
      <c r="B10" s="3" t="s">
        <v>575</v>
      </c>
      <c r="C10" s="3"/>
      <c r="D10" s="3"/>
      <c r="E10" s="3"/>
      <c r="F10" s="3"/>
      <c r="G10" s="158">
        <v>0.6</v>
      </c>
      <c r="H10" s="158">
        <f>G10*1</f>
        <v>0.6</v>
      </c>
      <c r="I10" s="159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>
      <c r="A11" s="3"/>
      <c r="B11" s="3"/>
      <c r="C11" s="3"/>
      <c r="D11" s="3"/>
      <c r="E11" s="3"/>
      <c r="F11" s="3"/>
      <c r="G11" s="156">
        <f>+SUM(G7:G10)</f>
        <v>1.8000000000000003</v>
      </c>
      <c r="H11" s="156">
        <f>+SUM(H7:H10)</f>
        <v>1.8000000000000003</v>
      </c>
      <c r="I11" s="160">
        <f>SUM(I7:I10)</f>
        <v>0</v>
      </c>
      <c r="J11" s="4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>
      <c r="A12" s="3"/>
      <c r="B12" s="3"/>
      <c r="C12" s="3"/>
      <c r="D12" s="3"/>
      <c r="E12" s="3"/>
      <c r="F12" s="3"/>
      <c r="G12" s="156"/>
      <c r="H12" s="156"/>
      <c r="I12" s="15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>
      <c r="A13" s="40" t="s">
        <v>580</v>
      </c>
      <c r="B13" s="3"/>
      <c r="C13" s="3"/>
      <c r="D13" s="3"/>
      <c r="E13" s="3"/>
      <c r="F13" s="3"/>
      <c r="G13" s="156"/>
      <c r="H13" s="156"/>
      <c r="I13" s="15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5.6">
      <c r="A14" s="40"/>
      <c r="B14" s="3" t="s">
        <v>565</v>
      </c>
      <c r="C14" s="3"/>
      <c r="D14" s="3"/>
      <c r="E14" s="3"/>
      <c r="F14" s="3"/>
      <c r="G14" s="158">
        <v>0.6</v>
      </c>
      <c r="H14" s="158">
        <f>G14</f>
        <v>0.6</v>
      </c>
      <c r="I14" s="159">
        <f>H14*25</f>
        <v>15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idden="1">
      <c r="A15" s="40"/>
      <c r="B15" s="3" t="s">
        <v>853</v>
      </c>
      <c r="C15" s="3"/>
      <c r="D15" s="3"/>
      <c r="E15" s="3"/>
      <c r="F15" s="3"/>
      <c r="G15" s="156">
        <v>0</v>
      </c>
      <c r="H15" s="156">
        <f>G15</f>
        <v>0</v>
      </c>
      <c r="I15" s="157">
        <f>H15*8</f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idden="1">
      <c r="A16" s="3"/>
      <c r="B16" s="29" t="s">
        <v>854</v>
      </c>
      <c r="C16" s="3"/>
      <c r="D16" s="3"/>
      <c r="E16" s="3"/>
      <c r="F16" s="3"/>
      <c r="G16" s="158">
        <v>0</v>
      </c>
      <c r="H16" s="158">
        <f>G16*1</f>
        <v>0</v>
      </c>
      <c r="I16" s="161">
        <f>H16*8</f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>
      <c r="A17" s="3"/>
      <c r="B17" s="29"/>
      <c r="C17" s="3"/>
      <c r="D17" s="3"/>
      <c r="E17" s="3"/>
      <c r="F17" s="3"/>
      <c r="G17" s="156">
        <f>SUM(G14:G16)</f>
        <v>0.6</v>
      </c>
      <c r="H17" s="156">
        <f>SUM(H14:H16)</f>
        <v>0.6</v>
      </c>
      <c r="I17" s="156">
        <f>SUM(I14:I16)</f>
        <v>15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>
      <c r="A18" s="3"/>
      <c r="B18" s="29"/>
      <c r="C18" s="3"/>
      <c r="D18" s="3"/>
      <c r="E18" s="3"/>
      <c r="F18" s="3"/>
      <c r="G18" s="156"/>
      <c r="H18" s="156"/>
      <c r="I18" s="15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>
      <c r="A19" s="40" t="s">
        <v>584</v>
      </c>
      <c r="B19" s="29"/>
      <c r="C19" s="3"/>
      <c r="D19" s="3"/>
      <c r="E19" s="3"/>
      <c r="F19" s="3"/>
      <c r="G19" s="156"/>
      <c r="H19" s="156"/>
      <c r="I19" s="15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>
      <c r="A20" s="162" t="s">
        <v>855</v>
      </c>
      <c r="B20" s="29" t="s">
        <v>585</v>
      </c>
      <c r="C20" s="3"/>
      <c r="D20" s="3"/>
      <c r="E20" s="3"/>
      <c r="F20" s="3"/>
      <c r="G20" s="163">
        <v>0.4</v>
      </c>
      <c r="H20" s="163">
        <f>G20</f>
        <v>0.4</v>
      </c>
      <c r="I20" s="164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>
      <c r="A21" s="3"/>
      <c r="B21" s="29"/>
      <c r="C21" s="3"/>
      <c r="D21" s="3"/>
      <c r="E21" s="3"/>
      <c r="F21" s="3"/>
      <c r="G21" s="156">
        <f>SUM(G20)</f>
        <v>0.4</v>
      </c>
      <c r="H21" s="156">
        <f>G21*1</f>
        <v>0.4</v>
      </c>
      <c r="I21" s="165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>
      <c r="A22" s="3"/>
      <c r="B22" s="29"/>
      <c r="C22" s="3"/>
      <c r="D22" s="3"/>
      <c r="E22" s="3"/>
      <c r="F22" s="3"/>
      <c r="G22" s="156"/>
      <c r="H22" s="156"/>
      <c r="I22" s="15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>
      <c r="A23" s="40" t="s">
        <v>581</v>
      </c>
      <c r="B23" s="29"/>
      <c r="C23" s="3"/>
      <c r="D23" s="3"/>
      <c r="E23" s="3"/>
      <c r="F23" s="3"/>
      <c r="G23" s="156"/>
      <c r="H23" s="156"/>
      <c r="I23" s="15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>
      <c r="A24" s="3"/>
      <c r="B24" s="29" t="s">
        <v>573</v>
      </c>
      <c r="C24" s="3"/>
      <c r="D24" s="3"/>
      <c r="E24" s="3"/>
      <c r="F24" s="3"/>
      <c r="G24" s="156">
        <v>0.6</v>
      </c>
      <c r="H24" s="156">
        <f>G24*1</f>
        <v>0.6</v>
      </c>
      <c r="I24" s="165">
        <f>H24*25</f>
        <v>15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idden="1">
      <c r="A25" s="3"/>
      <c r="B25" s="29" t="s">
        <v>856</v>
      </c>
      <c r="C25" s="3"/>
      <c r="D25" s="3"/>
      <c r="E25" s="3"/>
      <c r="F25" s="3"/>
      <c r="G25" s="156">
        <v>0</v>
      </c>
      <c r="H25" s="156">
        <f>G25*1</f>
        <v>0</v>
      </c>
      <c r="I25" s="165">
        <f>H25*8</f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5.6">
      <c r="A26" s="3"/>
      <c r="B26" s="29" t="s">
        <v>583</v>
      </c>
      <c r="C26" s="3"/>
      <c r="D26" s="3"/>
      <c r="E26" s="3"/>
      <c r="F26" s="3"/>
      <c r="G26" s="158">
        <v>0.6</v>
      </c>
      <c r="H26" s="158">
        <f>G26*1</f>
        <v>0.6</v>
      </c>
      <c r="I26" s="161">
        <f>25*H26</f>
        <v>15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>
      <c r="A27" s="3"/>
      <c r="B27" s="29"/>
      <c r="C27" s="3"/>
      <c r="D27" s="3"/>
      <c r="E27" s="3"/>
      <c r="F27" s="3"/>
      <c r="G27" s="156">
        <f>SUM(G24:G26)</f>
        <v>1.2</v>
      </c>
      <c r="H27" s="156">
        <f>SUM(H24:H26)</f>
        <v>1.2</v>
      </c>
      <c r="I27" s="156">
        <f>SUM(I24:I26)</f>
        <v>30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>
      <c r="A28" s="3"/>
      <c r="B28" s="29"/>
      <c r="C28" s="3"/>
      <c r="D28" s="3"/>
      <c r="E28" s="3"/>
      <c r="F28" s="3"/>
      <c r="G28" s="156"/>
      <c r="H28" s="156"/>
      <c r="I28" s="15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>
      <c r="A29" s="40" t="s">
        <v>579</v>
      </c>
      <c r="B29" s="29"/>
      <c r="C29" s="3"/>
      <c r="D29" s="3"/>
      <c r="E29" s="3"/>
      <c r="F29" s="3"/>
      <c r="G29" s="156"/>
      <c r="H29" s="156"/>
      <c r="I29" s="15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>
      <c r="A30" s="40"/>
      <c r="B30" s="29" t="s">
        <v>570</v>
      </c>
      <c r="C30" s="3"/>
      <c r="D30" s="3"/>
      <c r="E30" s="3"/>
      <c r="F30" s="3"/>
      <c r="G30" s="156">
        <v>1</v>
      </c>
      <c r="H30" s="156">
        <f>G30</f>
        <v>1</v>
      </c>
      <c r="I30" s="157">
        <f>2*1924/1000</f>
        <v>3.8479999999999999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>
      <c r="A31" s="3"/>
      <c r="B31" s="29" t="s">
        <v>571</v>
      </c>
      <c r="C31" s="3"/>
      <c r="D31" s="3"/>
      <c r="E31" s="3"/>
      <c r="F31" s="3"/>
      <c r="G31">
        <f>7/5</f>
        <v>1.4</v>
      </c>
      <c r="H31" s="156">
        <f>G31</f>
        <v>1.4</v>
      </c>
      <c r="I31" s="418">
        <f>2*4235/1000</f>
        <v>8.4700000000000006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>
      <c r="A32" s="3"/>
      <c r="B32" s="29" t="s">
        <v>572</v>
      </c>
      <c r="C32" s="3"/>
      <c r="D32" s="3"/>
      <c r="E32" s="3"/>
      <c r="F32" s="3"/>
      <c r="G32" s="158">
        <v>0.6</v>
      </c>
      <c r="H32" s="158">
        <f>G32</f>
        <v>0.6</v>
      </c>
      <c r="I32" s="161">
        <f>2*1767/1000</f>
        <v>3.5339999999999998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>
      <c r="A33" s="3"/>
      <c r="B33" s="29"/>
      <c r="C33" s="3"/>
      <c r="D33" s="3"/>
      <c r="E33" s="3"/>
      <c r="F33" s="3"/>
      <c r="G33" s="156">
        <f>SUM(G30:G32)</f>
        <v>3</v>
      </c>
      <c r="H33" s="156">
        <f>SUM(H30:H32)</f>
        <v>3</v>
      </c>
      <c r="I33" s="156">
        <f>SUM(I30:I32)</f>
        <v>15.852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>
      <c r="A34" s="40" t="s">
        <v>578</v>
      </c>
      <c r="B34" s="29"/>
      <c r="C34" s="3"/>
      <c r="D34" s="3"/>
      <c r="E34" s="3"/>
      <c r="F34" s="3"/>
      <c r="G34" s="156"/>
      <c r="H34" s="156"/>
      <c r="I34" s="15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>
      <c r="A35" s="40"/>
      <c r="B35" s="29" t="s">
        <v>573</v>
      </c>
      <c r="C35" s="3"/>
      <c r="D35" s="3"/>
      <c r="E35" s="3"/>
      <c r="F35" s="3"/>
      <c r="G35" s="156">
        <v>2</v>
      </c>
      <c r="H35" s="156">
        <f>G35</f>
        <v>2</v>
      </c>
      <c r="I35" s="157">
        <f>3*5000/1000</f>
        <v>15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>
      <c r="A36" s="3"/>
      <c r="B36" s="29" t="s">
        <v>582</v>
      </c>
      <c r="C36" s="3"/>
      <c r="D36" s="3"/>
      <c r="E36" s="3"/>
      <c r="F36" s="3"/>
      <c r="G36" s="156">
        <v>0.6</v>
      </c>
      <c r="H36" s="156">
        <f>G36</f>
        <v>0.6</v>
      </c>
      <c r="I36" s="165">
        <f>3*2000/1000</f>
        <v>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idden="1">
      <c r="A37" s="3"/>
      <c r="B37" s="29" t="s">
        <v>857</v>
      </c>
      <c r="C37" s="3"/>
      <c r="D37" s="3"/>
      <c r="E37" s="3"/>
      <c r="F37" s="3"/>
      <c r="G37" s="156">
        <v>0</v>
      </c>
      <c r="H37" s="156">
        <f>G37</f>
        <v>0</v>
      </c>
      <c r="I37" s="165">
        <f>H37*8</f>
        <v>0</v>
      </c>
      <c r="J37" s="3"/>
      <c r="K37" s="3" t="s">
        <v>568</v>
      </c>
      <c r="L37" s="3" t="s">
        <v>569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>
      <c r="A38" s="3"/>
      <c r="B38" s="29" t="s">
        <v>858</v>
      </c>
      <c r="C38" s="3"/>
      <c r="D38" s="3"/>
      <c r="E38" s="3"/>
      <c r="F38" s="3"/>
      <c r="G38" s="163">
        <v>0.4</v>
      </c>
      <c r="H38" s="158">
        <f>G38</f>
        <v>0.4</v>
      </c>
      <c r="I38" s="161">
        <f>20*H38</f>
        <v>8</v>
      </c>
      <c r="J38" s="3"/>
      <c r="K38" s="3"/>
      <c r="L38" s="417"/>
      <c r="M38" s="41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>
      <c r="A39" s="3"/>
      <c r="B39" s="3"/>
      <c r="C39" s="3"/>
      <c r="D39" s="3"/>
      <c r="E39" s="3"/>
      <c r="F39" s="3"/>
      <c r="G39" s="156">
        <f>SUM(G35:G38)</f>
        <v>3</v>
      </c>
      <c r="H39" s="156">
        <f>G39</f>
        <v>3</v>
      </c>
      <c r="I39" s="166">
        <f>SUM(I35:I38)</f>
        <v>29</v>
      </c>
      <c r="J39" s="3"/>
      <c r="K39" s="3"/>
      <c r="L39" s="34"/>
      <c r="M39" s="3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>
      <c r="A40" s="3"/>
      <c r="B40" s="3"/>
      <c r="C40" s="3"/>
      <c r="D40" s="3"/>
      <c r="E40" s="3"/>
      <c r="F40" s="3"/>
      <c r="G40" s="156"/>
      <c r="H40" s="166"/>
      <c r="I40" s="166"/>
      <c r="J40" s="3"/>
      <c r="K40" s="3"/>
      <c r="L40" s="34"/>
      <c r="M40" s="3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>
      <c r="A41" s="40" t="s">
        <v>859</v>
      </c>
      <c r="B41" s="3"/>
      <c r="C41" s="3"/>
      <c r="D41" s="3"/>
      <c r="E41" s="3"/>
      <c r="F41" s="3"/>
      <c r="G41" s="156"/>
      <c r="H41" s="156">
        <f>H39+H33+H27+H21+H17+H11</f>
        <v>10.000000000000002</v>
      </c>
      <c r="I41" s="166">
        <f>I39+I33+I27+I21+I17+I11</f>
        <v>89.852000000000004</v>
      </c>
      <c r="J41" s="3"/>
      <c r="K41" s="3"/>
      <c r="L41" s="34"/>
      <c r="M41" s="3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>
      <c r="A42" s="3"/>
      <c r="B42" s="3"/>
      <c r="C42" s="3"/>
      <c r="D42" s="3"/>
      <c r="E42" s="3"/>
      <c r="F42" s="3"/>
      <c r="G42" s="156"/>
      <c r="H42" s="156"/>
      <c r="I42" s="157"/>
      <c r="J42" s="3"/>
      <c r="K42" s="3"/>
      <c r="L42" s="34"/>
      <c r="M42" s="3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>
      <c r="A43" s="40" t="s">
        <v>860</v>
      </c>
      <c r="B43" s="3"/>
      <c r="C43" s="3"/>
      <c r="D43" s="3"/>
      <c r="E43" s="3"/>
      <c r="F43" s="3"/>
      <c r="G43" s="156"/>
      <c r="H43" s="156"/>
      <c r="I43" s="15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>
      <c r="A44" s="3"/>
      <c r="B44" s="3" t="s">
        <v>590</v>
      </c>
      <c r="C44" s="3"/>
      <c r="D44" s="3"/>
      <c r="E44" s="3"/>
      <c r="F44" s="3"/>
      <c r="G44" s="156"/>
      <c r="H44" s="156"/>
      <c r="I44" s="418">
        <f>(2*19*150+3*19*150)/1000</f>
        <v>14.25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>
      <c r="A45" s="3"/>
      <c r="B45" s="3" t="s">
        <v>587</v>
      </c>
      <c r="C45" s="3"/>
      <c r="D45" s="3"/>
      <c r="E45" s="3"/>
      <c r="F45" s="3"/>
      <c r="G45" s="156"/>
      <c r="H45" s="156"/>
      <c r="I45" s="165">
        <f>1.8*5*150/1000</f>
        <v>1.35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>
      <c r="A46" s="3"/>
      <c r="B46" s="3" t="s">
        <v>588</v>
      </c>
      <c r="C46" s="3"/>
      <c r="D46" s="3"/>
      <c r="E46" s="3"/>
      <c r="F46" s="3"/>
      <c r="G46" s="156"/>
      <c r="H46" s="156"/>
      <c r="I46" s="165">
        <v>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>
      <c r="A47" s="3"/>
      <c r="B47" s="3" t="s">
        <v>589</v>
      </c>
      <c r="C47" s="3"/>
      <c r="D47" s="3"/>
      <c r="E47" s="3"/>
      <c r="F47" s="3"/>
      <c r="G47" s="156"/>
      <c r="H47" s="156"/>
      <c r="I47" s="161">
        <v>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idden="1">
      <c r="B48" s="167" t="s">
        <v>861</v>
      </c>
      <c r="C48" s="3"/>
      <c r="D48" s="3"/>
      <c r="E48" s="3"/>
      <c r="F48" s="3"/>
      <c r="G48" s="156"/>
      <c r="H48" s="156"/>
      <c r="I48" s="168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>
      <c r="A49" s="3"/>
      <c r="B49" s="3"/>
      <c r="C49" s="3"/>
      <c r="D49" s="3"/>
      <c r="E49" s="3"/>
      <c r="F49" s="3"/>
      <c r="G49" s="156"/>
      <c r="H49" s="156"/>
      <c r="I49" s="169">
        <f>SUM(I45:I48)</f>
        <v>12.35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>
      <c r="A50" s="3"/>
      <c r="B50" s="3"/>
      <c r="C50" s="3"/>
      <c r="D50" s="3"/>
      <c r="E50" s="3"/>
      <c r="F50" s="3"/>
      <c r="G50" s="156"/>
      <c r="H50" s="156"/>
      <c r="I50" s="16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>
      <c r="A51" s="40" t="s">
        <v>862</v>
      </c>
      <c r="B51" s="3"/>
      <c r="C51" s="3"/>
      <c r="D51" s="3"/>
      <c r="E51" s="40"/>
      <c r="F51" s="3"/>
      <c r="G51" s="156"/>
      <c r="H51" s="166"/>
      <c r="I51" s="157">
        <f>SUM(I45:I48)+I41</f>
        <v>102.202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>
      <c r="A52" s="3"/>
      <c r="B52" s="40" t="s">
        <v>863</v>
      </c>
      <c r="C52" s="3"/>
      <c r="D52" s="3"/>
      <c r="E52" s="3"/>
      <c r="F52" s="3"/>
      <c r="G52" s="3"/>
      <c r="H52" s="3"/>
      <c r="I52" s="159">
        <f>I14+I26</f>
        <v>30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>
      <c r="A53" s="40" t="s">
        <v>864</v>
      </c>
      <c r="B53" s="40"/>
      <c r="C53" s="3"/>
      <c r="D53" s="3"/>
      <c r="E53" s="3"/>
      <c r="F53" s="3"/>
      <c r="G53" s="3"/>
      <c r="H53" s="3"/>
      <c r="I53" s="157">
        <f>I51-I52</f>
        <v>72.201999999999998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>
      <c r="A54" s="3"/>
      <c r="B54" s="40"/>
      <c r="C54" s="3"/>
      <c r="D54" s="3"/>
      <c r="E54" s="3"/>
      <c r="F54" s="3"/>
      <c r="G54" s="3"/>
      <c r="H54" s="3"/>
      <c r="I54" s="15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>
      <c r="A55" s="3" t="s">
        <v>865</v>
      </c>
      <c r="B55" s="3"/>
      <c r="C55" s="3"/>
      <c r="D55" s="3"/>
      <c r="E55" s="3"/>
      <c r="F55" s="3"/>
      <c r="G55" s="3"/>
      <c r="H55" s="3"/>
      <c r="I55" s="17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>
      <c r="A56" s="3" t="s">
        <v>866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>
      <c r="A57" s="3" t="s">
        <v>867</v>
      </c>
      <c r="B57" s="3" t="s">
        <v>576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>
      <c r="A58" s="3"/>
      <c r="B58" s="3" t="s">
        <v>577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>
      <c r="A59" s="3"/>
      <c r="B59" s="3" t="s">
        <v>868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>
      <c r="A60" s="3" t="s">
        <v>869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>
      <c r="A61" s="3" t="s">
        <v>593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</sheetData>
  <printOptions horizontalCentered="1"/>
  <pageMargins left="0.75" right="0.75" top="1" bottom="1" header="0.5" footer="0.5"/>
  <pageSetup scale="78" orientation="portrait" horizontalDpi="4294967292" verticalDpi="4294967292" r:id="rId1"/>
  <headerFooter alignWithMargins="0">
    <oddFooter>&amp;LScot Chambers
&amp;D&amp;CPage _____&amp;R&amp;F
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Table of Contents</vt:lpstr>
      <vt:lpstr>Scope</vt:lpstr>
      <vt:lpstr>Assumptions</vt:lpstr>
      <vt:lpstr>Map</vt:lpstr>
      <vt:lpstr>Summary</vt:lpstr>
      <vt:lpstr>Mob_Estimate</vt:lpstr>
      <vt:lpstr>Mob_Schedule</vt:lpstr>
      <vt:lpstr>Mob_Staffing</vt:lpstr>
      <vt:lpstr>Training</vt:lpstr>
      <vt:lpstr>ScopeSplit</vt:lpstr>
      <vt:lpstr>Mob_Backup</vt:lpstr>
      <vt:lpstr>O&amp;M_Estimate</vt:lpstr>
      <vt:lpstr>Plt_Staff</vt:lpstr>
      <vt:lpstr>Pay &amp; Benefits Calculations</vt:lpstr>
      <vt:lpstr>O&amp;M_Backup</vt:lpstr>
      <vt:lpstr>LM6000PC_MMR_Gas</vt:lpstr>
      <vt:lpstr>'O&amp;M_Backup'!CompleteFilterPrint</vt:lpstr>
      <vt:lpstr>Mob_Backup!Print_Area</vt:lpstr>
      <vt:lpstr>Mob_Estimate!Print_Area</vt:lpstr>
      <vt:lpstr>Mob_Schedule!Print_Area</vt:lpstr>
      <vt:lpstr>'O&amp;M_Backup'!Print_Area</vt:lpstr>
      <vt:lpstr>'O&amp;M_Estimate'!Print_Area</vt:lpstr>
      <vt:lpstr>ScopeSplit!Print_Area</vt:lpstr>
      <vt:lpstr>Summary!Print_Area</vt:lpstr>
      <vt:lpstr>'Table of Contents'!Print_Area</vt:lpstr>
      <vt:lpstr>Training!Print_Area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2000-03-03T20:37:25Z</cp:lastPrinted>
  <dcterms:created xsi:type="dcterms:W3CDTF">2000-03-02T22:37:36Z</dcterms:created>
  <dcterms:modified xsi:type="dcterms:W3CDTF">2023-09-10T11:56:41Z</dcterms:modified>
</cp:coreProperties>
</file>