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Capital Budget" sheetId="1" r:id="rId1"/>
    <sheet name="Fixed and Variable Costs" sheetId="2" r:id="rId2"/>
  </sheets>
  <externalReferences>
    <externalReference r:id="rId3"/>
    <externalReference r:id="rId4"/>
  </externalReferences>
  <calcPr calcId="0"/>
</workbook>
</file>

<file path=xl/calcChain.xml><?xml version="1.0" encoding="utf-8"?>
<calcChain xmlns="http://schemas.openxmlformats.org/spreadsheetml/2006/main">
  <c r="E7" i="1" l="1"/>
  <c r="F7" i="1"/>
  <c r="H7" i="1"/>
  <c r="I7" i="1"/>
  <c r="C8" i="1"/>
  <c r="E8" i="1"/>
  <c r="F8" i="1"/>
  <c r="I8" i="1"/>
  <c r="E9" i="1"/>
  <c r="F9" i="1"/>
  <c r="I9" i="1"/>
  <c r="E10" i="1"/>
  <c r="F10" i="1"/>
  <c r="I10" i="1"/>
  <c r="E11" i="1"/>
  <c r="F11" i="1"/>
  <c r="I11" i="1"/>
  <c r="E12" i="1"/>
  <c r="F12" i="1"/>
  <c r="I12" i="1"/>
  <c r="E13" i="1"/>
  <c r="F13" i="1"/>
  <c r="I13" i="1"/>
  <c r="E14" i="1"/>
  <c r="F14" i="1"/>
  <c r="I14" i="1"/>
  <c r="C15" i="1"/>
  <c r="D15" i="1"/>
  <c r="E15" i="1"/>
  <c r="F15" i="1"/>
  <c r="H15" i="1"/>
  <c r="I15" i="1"/>
  <c r="E18" i="1"/>
  <c r="F18" i="1"/>
  <c r="E19" i="1"/>
  <c r="F19" i="1"/>
  <c r="C20" i="1"/>
  <c r="E20" i="1"/>
  <c r="F20" i="1"/>
  <c r="C21" i="1"/>
  <c r="D21" i="1"/>
  <c r="E21" i="1"/>
  <c r="F21" i="1"/>
  <c r="E23" i="1"/>
  <c r="F23" i="1"/>
  <c r="E24" i="1"/>
  <c r="F24" i="1"/>
  <c r="E25" i="1"/>
  <c r="F25" i="1"/>
  <c r="E26" i="1"/>
  <c r="F26" i="1"/>
  <c r="C27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C36" i="1"/>
  <c r="D36" i="1"/>
  <c r="E36" i="1"/>
  <c r="F36" i="1"/>
  <c r="E37" i="1"/>
  <c r="F37" i="1"/>
  <c r="F40" i="1"/>
  <c r="F41" i="1"/>
  <c r="F42" i="1"/>
  <c r="F43" i="1"/>
  <c r="F44" i="1"/>
  <c r="F45" i="1"/>
  <c r="F46" i="1"/>
  <c r="F47" i="1"/>
  <c r="F48" i="1"/>
  <c r="F49" i="1"/>
  <c r="F50" i="1"/>
  <c r="C51" i="1"/>
  <c r="F51" i="1"/>
  <c r="F52" i="1"/>
  <c r="F53" i="1"/>
  <c r="F54" i="1"/>
  <c r="F55" i="1"/>
  <c r="C56" i="1"/>
  <c r="F56" i="1"/>
  <c r="F57" i="1"/>
  <c r="C58" i="1"/>
  <c r="F58" i="1"/>
  <c r="C59" i="1"/>
  <c r="F59" i="1"/>
  <c r="F62" i="1"/>
  <c r="F63" i="1"/>
  <c r="C64" i="1"/>
  <c r="F64" i="1"/>
  <c r="C67" i="1"/>
  <c r="F67" i="1"/>
  <c r="C68" i="1"/>
  <c r="F68" i="1"/>
  <c r="C69" i="1"/>
  <c r="F69" i="1"/>
  <c r="C70" i="1"/>
  <c r="F70" i="1"/>
  <c r="C71" i="1"/>
  <c r="F71" i="1"/>
  <c r="C72" i="1"/>
  <c r="F72" i="1"/>
  <c r="C74" i="1"/>
  <c r="C75" i="1"/>
  <c r="F75" i="1"/>
  <c r="A1" i="2"/>
  <c r="B1" i="2"/>
  <c r="A2" i="2"/>
  <c r="C11" i="2"/>
  <c r="C23" i="2"/>
  <c r="C26" i="2"/>
  <c r="D26" i="2"/>
  <c r="E26" i="2"/>
  <c r="C27" i="2"/>
  <c r="D27" i="2"/>
</calcChain>
</file>

<file path=xl/sharedStrings.xml><?xml version="1.0" encoding="utf-8"?>
<sst xmlns="http://schemas.openxmlformats.org/spreadsheetml/2006/main" count="108" uniqueCount="105">
  <si>
    <t>UAE Lowell Power Expansion</t>
  </si>
  <si>
    <t>PRELIMINARY DATA; ENGINEERING STUDY UNDERWAY TO CONFIRM ASSUMPTIONS</t>
  </si>
  <si>
    <t>Capital Cost  Breakdown ($ = 000's)</t>
  </si>
  <si>
    <t>5x GE LM 6000 Base Package - Simple Cycle</t>
  </si>
  <si>
    <t>DLE Combustor</t>
  </si>
  <si>
    <t>(1=yes, 0=no)</t>
  </si>
  <si>
    <t>Feb 23 Meeting with Enron Capital and Trade</t>
  </si>
  <si>
    <t>Lowell Expansion</t>
  </si>
  <si>
    <t>GT Pro</t>
  </si>
  <si>
    <t>Gas Turbine Package</t>
  </si>
  <si>
    <t>Equipment</t>
  </si>
  <si>
    <t>Installation</t>
  </si>
  <si>
    <t>Total</t>
  </si>
  <si>
    <t>Per Unit</t>
  </si>
  <si>
    <t>Gas Turbine Generator</t>
  </si>
  <si>
    <t>Sprint Package Adder (unavail w/DLE)</t>
  </si>
  <si>
    <t>Inlet Air Chiller</t>
  </si>
  <si>
    <t>Switchgear/MCC/Relays/Breaker Set</t>
  </si>
  <si>
    <t>Stack(s)/Noise Attenuation/Buildings</t>
  </si>
  <si>
    <t>Water Tube Oil Cooler</t>
  </si>
  <si>
    <t>Freight</t>
  </si>
  <si>
    <t>Spare Parts Inventory</t>
  </si>
  <si>
    <t>Total Base Package</t>
  </si>
  <si>
    <t>Emissions Controls</t>
  </si>
  <si>
    <t>Vanadium-Titanium SCR (to 2 ppm NOX)</t>
  </si>
  <si>
    <t>CO Oxidation Catalyst (to 10ppm CO)</t>
  </si>
  <si>
    <t xml:space="preserve">Dry Low Emissions (DLE) Combustor Adder </t>
  </si>
  <si>
    <t>Balance Of Plant</t>
  </si>
  <si>
    <t>Pads and Grading</t>
  </si>
  <si>
    <t>Fuel Gas Compressors</t>
  </si>
  <si>
    <t>Control Room (upgrade to existing unit)</t>
  </si>
  <si>
    <t>Controls For Remote Operation</t>
  </si>
  <si>
    <t>Demin Water Treatment (for Sprint/Water Inj)</t>
  </si>
  <si>
    <t>Fire Protection</t>
  </si>
  <si>
    <t>Cooling Tower for Chiller</t>
  </si>
  <si>
    <t>Ammonia System (Tanks, Unldg./Fwdg. Pumps)</t>
  </si>
  <si>
    <t>Step-Up Transformer(s)</t>
  </si>
  <si>
    <t>Piping</t>
  </si>
  <si>
    <t>Wiring</t>
  </si>
  <si>
    <t>Continuous Emissions Monitoring</t>
  </si>
  <si>
    <t>Other</t>
  </si>
  <si>
    <t>Total Emissions and BOP</t>
  </si>
  <si>
    <t>Total EPC</t>
  </si>
  <si>
    <t>Owner's Cost</t>
  </si>
  <si>
    <t>Air Permitting</t>
  </si>
  <si>
    <t>Air Permit Fees</t>
  </si>
  <si>
    <t>Boston Gas Upgrades</t>
  </si>
  <si>
    <t>Utility Connection Cost (NEP)</t>
  </si>
  <si>
    <t>Interconnect Study (NEP)</t>
  </si>
  <si>
    <t>Property Purchase</t>
  </si>
  <si>
    <t>Water/Sewer Connect</t>
  </si>
  <si>
    <t>Phase I/Phase II Environmental Review</t>
  </si>
  <si>
    <t>Engineering Plant Specification</t>
  </si>
  <si>
    <t>Engineering (Studies/Services/Conceptual)</t>
  </si>
  <si>
    <t>Development/Construction Management</t>
  </si>
  <si>
    <t xml:space="preserve">Interest During Construction </t>
  </si>
  <si>
    <t>Misc. Permits/Fees</t>
  </si>
  <si>
    <t>Legal Fees</t>
  </si>
  <si>
    <t>Bank Fees</t>
  </si>
  <si>
    <t>Emissions Offsets</t>
  </si>
  <si>
    <t>Working Capital</t>
  </si>
  <si>
    <t>Miscellaneous Consultants</t>
  </si>
  <si>
    <t>Owner's Contingency (3% of EPC)</t>
  </si>
  <si>
    <t>Total Owner's</t>
  </si>
  <si>
    <t>Commissioning</t>
  </si>
  <si>
    <t>Site Infrastructure (roads, landscape, neighbors)</t>
  </si>
  <si>
    <t xml:space="preserve">Start Up </t>
  </si>
  <si>
    <t>Total Commissioning</t>
  </si>
  <si>
    <t>Base Package</t>
  </si>
  <si>
    <t>BOP</t>
  </si>
  <si>
    <t>Sales Tax (5.0%)</t>
  </si>
  <si>
    <t>Other Costs</t>
  </si>
  <si>
    <t>Total Capital Cost</t>
  </si>
  <si>
    <t>ISO Output (MW)</t>
  </si>
  <si>
    <t>$/kW</t>
  </si>
  <si>
    <t>DLE Estimated Output at 90 deg F</t>
  </si>
  <si>
    <t>Sprint/Water Inj Estimated Output at 90 deg F</t>
  </si>
  <si>
    <t>Operations Summary</t>
  </si>
  <si>
    <t>FIXED COSTS</t>
  </si>
  <si>
    <t>Labor</t>
  </si>
  <si>
    <t>Fixed - maint &amp; consum</t>
  </si>
  <si>
    <t>Operator Fee</t>
  </si>
  <si>
    <t>G&amp;A</t>
  </si>
  <si>
    <t>Real Property Taxes</t>
  </si>
  <si>
    <t>Water Supply/Discharge</t>
  </si>
  <si>
    <t>Interconnect and NEPOOL Fees</t>
  </si>
  <si>
    <t>Audit/Miscellaneous</t>
  </si>
  <si>
    <t>NOx Budget</t>
  </si>
  <si>
    <t>Asset Mgt. Cost</t>
  </si>
  <si>
    <t>VARIABLE COSTS</t>
  </si>
  <si>
    <t>hrs/yr</t>
  </si>
  <si>
    <t>Capacity</t>
  </si>
  <si>
    <t>Energy</t>
  </si>
  <si>
    <t>$/mwhr</t>
  </si>
  <si>
    <t>Cost</t>
  </si>
  <si>
    <t>LM6000</t>
  </si>
  <si>
    <t>Consumables</t>
  </si>
  <si>
    <t>add one+ maintenance</t>
  </si>
  <si>
    <t>Annual Inspection of Gas Turbines</t>
  </si>
  <si>
    <t>per S&amp;S</t>
  </si>
  <si>
    <t>Property &amp; BI Insurance</t>
  </si>
  <si>
    <t>Replacement Power Insurance</t>
  </si>
  <si>
    <t>discuss</t>
  </si>
  <si>
    <t>same as existing PILOT</t>
  </si>
  <si>
    <t>cooling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</si>
</sst>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"/>
    <numFmt numFmtId="166" formatCode="0.00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2" applyFont="1"/>
    <xf numFmtId="0" fontId="1" fillId="0" borderId="0" xfId="2"/>
    <xf numFmtId="0" fontId="1" fillId="0" borderId="0" xfId="2" applyFont="1"/>
    <xf numFmtId="0" fontId="3" fillId="0" borderId="1" xfId="2" applyFont="1" applyBorder="1" applyAlignment="1">
      <alignment horizontal="centerContinuous"/>
    </xf>
    <xf numFmtId="0" fontId="4" fillId="0" borderId="1" xfId="2" applyFont="1" applyBorder="1" applyAlignment="1">
      <alignment horizontal="centerContinuous"/>
    </xf>
    <xf numFmtId="0" fontId="1" fillId="0" borderId="1" xfId="2" applyBorder="1"/>
    <xf numFmtId="0" fontId="3" fillId="0" borderId="1" xfId="2" applyFont="1" applyBorder="1" applyAlignment="1">
      <alignment horizontal="center"/>
    </xf>
    <xf numFmtId="0" fontId="2" fillId="0" borderId="2" xfId="2" applyFont="1" applyBorder="1"/>
    <xf numFmtId="0" fontId="1" fillId="0" borderId="2" xfId="2" applyBorder="1"/>
    <xf numFmtId="0" fontId="1" fillId="0" borderId="1" xfId="2" applyBorder="1" applyAlignment="1">
      <alignment horizontal="right"/>
    </xf>
    <xf numFmtId="0" fontId="1" fillId="0" borderId="1" xfId="2" applyFont="1" applyBorder="1" applyAlignment="1">
      <alignment horizontal="right"/>
    </xf>
    <xf numFmtId="164" fontId="1" fillId="0" borderId="1" xfId="2" applyNumberFormat="1" applyBorder="1"/>
    <xf numFmtId="6" fontId="1" fillId="0" borderId="1" xfId="2" applyNumberFormat="1" applyBorder="1"/>
    <xf numFmtId="164" fontId="5" fillId="0" borderId="1" xfId="2" applyNumberFormat="1" applyFont="1" applyBorder="1"/>
    <xf numFmtId="6" fontId="1" fillId="0" borderId="0" xfId="2" applyNumberFormat="1"/>
    <xf numFmtId="6" fontId="1" fillId="0" borderId="1" xfId="2" applyNumberFormat="1" applyFont="1" applyBorder="1" applyAlignment="1">
      <alignment horizontal="right"/>
    </xf>
    <xf numFmtId="164" fontId="1" fillId="0" borderId="1" xfId="2" applyNumberFormat="1" applyFont="1" applyBorder="1" applyAlignment="1">
      <alignment horizontal="right"/>
    </xf>
    <xf numFmtId="164" fontId="1" fillId="0" borderId="1" xfId="2" applyNumberFormat="1" applyBorder="1" applyAlignment="1">
      <alignment horizontal="right"/>
    </xf>
    <xf numFmtId="6" fontId="1" fillId="0" borderId="1" xfId="2" applyNumberFormat="1" applyBorder="1" applyAlignment="1">
      <alignment horizontal="right"/>
    </xf>
    <xf numFmtId="6" fontId="2" fillId="0" borderId="1" xfId="2" applyNumberFormat="1" applyFont="1" applyBorder="1"/>
    <xf numFmtId="164" fontId="2" fillId="0" borderId="1" xfId="2" applyNumberFormat="1" applyFont="1" applyBorder="1"/>
    <xf numFmtId="6" fontId="2" fillId="0" borderId="1" xfId="2" applyNumberFormat="1" applyFont="1" applyBorder="1" applyAlignment="1">
      <alignment horizontal="right"/>
    </xf>
    <xf numFmtId="0" fontId="2" fillId="0" borderId="1" xfId="2" applyFont="1" applyBorder="1"/>
    <xf numFmtId="0" fontId="2" fillId="0" borderId="3" xfId="2" applyFont="1" applyBorder="1"/>
    <xf numFmtId="6" fontId="2" fillId="0" borderId="0" xfId="2" applyNumberFormat="1" applyFont="1" applyBorder="1"/>
    <xf numFmtId="0" fontId="1" fillId="0" borderId="3" xfId="2" applyBorder="1"/>
    <xf numFmtId="164" fontId="1" fillId="0" borderId="0" xfId="2" applyNumberFormat="1" applyBorder="1"/>
    <xf numFmtId="6" fontId="1" fillId="0" borderId="0" xfId="2" applyNumberFormat="1" applyBorder="1"/>
    <xf numFmtId="164" fontId="5" fillId="0" borderId="0" xfId="2" applyNumberFormat="1" applyFont="1" applyBorder="1" applyAlignment="1">
      <alignment horizontal="right"/>
    </xf>
    <xf numFmtId="0" fontId="1" fillId="0" borderId="0" xfId="2" applyBorder="1"/>
    <xf numFmtId="6" fontId="2" fillId="0" borderId="3" xfId="2" applyNumberFormat="1" applyFont="1" applyBorder="1"/>
    <xf numFmtId="164" fontId="1" fillId="0" borderId="1" xfId="2" applyNumberFormat="1" applyFont="1" applyBorder="1"/>
    <xf numFmtId="165" fontId="1" fillId="0" borderId="0" xfId="2" applyNumberFormat="1" applyFont="1" applyBorder="1"/>
    <xf numFmtId="164" fontId="1" fillId="0" borderId="1" xfId="2" quotePrefix="1" applyNumberFormat="1" applyBorder="1" applyAlignment="1">
      <alignment horizontal="right"/>
    </xf>
    <xf numFmtId="164" fontId="2" fillId="0" borderId="0" xfId="2" applyNumberFormat="1" applyFont="1" applyBorder="1"/>
    <xf numFmtId="0" fontId="2" fillId="0" borderId="1" xfId="2" applyNumberFormat="1" applyFont="1" applyBorder="1"/>
    <xf numFmtId="0" fontId="2" fillId="0" borderId="0" xfId="2" applyFont="1" applyBorder="1"/>
    <xf numFmtId="0" fontId="6" fillId="0" borderId="0" xfId="0" applyFont="1"/>
    <xf numFmtId="0" fontId="7" fillId="0" borderId="0" xfId="0" applyFont="1"/>
    <xf numFmtId="9" fontId="7" fillId="0" borderId="0" xfId="3" applyFont="1"/>
    <xf numFmtId="3" fontId="7" fillId="0" borderId="0" xfId="0" applyNumberFormat="1" applyFont="1"/>
    <xf numFmtId="166" fontId="7" fillId="0" borderId="0" xfId="0" applyNumberFormat="1" applyFont="1" applyProtection="1"/>
    <xf numFmtId="3" fontId="7" fillId="0" borderId="0" xfId="1" applyNumberFormat="1" applyFont="1"/>
    <xf numFmtId="3" fontId="7" fillId="0" borderId="0" xfId="0" applyNumberFormat="1" applyFont="1" applyProtection="1"/>
    <xf numFmtId="3" fontId="7" fillId="0" borderId="0" xfId="1" applyNumberFormat="1" applyFont="1" applyProtection="1"/>
    <xf numFmtId="7" fontId="7" fillId="0" borderId="0" xfId="0" applyNumberFormat="1" applyFont="1" applyProtection="1"/>
    <xf numFmtId="0" fontId="7" fillId="0" borderId="0" xfId="0" applyFont="1" applyAlignment="1">
      <alignment horizontal="right"/>
    </xf>
    <xf numFmtId="44" fontId="7" fillId="0" borderId="0" xfId="1" applyFont="1"/>
    <xf numFmtId="3" fontId="4" fillId="0" borderId="0" xfId="0" applyNumberFormat="1" applyFont="1"/>
    <xf numFmtId="0" fontId="0" fillId="0" borderId="0" xfId="0" applyAlignment="1">
      <alignment horizontal="right"/>
    </xf>
    <xf numFmtId="3" fontId="7" fillId="0" borderId="0" xfId="0" applyNumberFormat="1" applyFont="1" applyAlignment="1">
      <alignment horizontal="right"/>
    </xf>
  </cellXfs>
  <cellStyles count="4">
    <cellStyle name="Currency" xfId="1" builtinId="4"/>
    <cellStyle name="Normal" xfId="0" builtinId="0"/>
    <cellStyle name="Normal_ProjectBkdwn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AE%20Files/ECT02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AE%20Files/Development/Thor/feb00/5xLM02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"/>
      <sheetName val="Capital"/>
      <sheetName val="Operations"/>
      <sheetName val="Tax_Dep"/>
      <sheetName val="Book_Dep"/>
    </sheetNames>
    <sheetDataSet>
      <sheetData sheetId="0">
        <row r="5">
          <cell r="B5">
            <v>2500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 Forma"/>
      <sheetName val="Operations"/>
      <sheetName val="Perf. Summ. by Model"/>
      <sheetName val="Perf. Summ. by Amb. Temp."/>
      <sheetName val="Maintenance"/>
      <sheetName val="Capital Cost"/>
      <sheetName val="TechnologyVariance"/>
    </sheetNames>
    <sheetDataSet>
      <sheetData sheetId="0">
        <row r="1">
          <cell r="B1" t="str">
            <v>United American Energy</v>
          </cell>
        </row>
        <row r="2">
          <cell r="B2" t="str">
            <v>Lowell Power Expansion</v>
          </cell>
        </row>
        <row r="3">
          <cell r="B3" t="str">
            <v>PRELIMINARY ECONOMIC ANALYSIS</v>
          </cell>
        </row>
        <row r="15">
          <cell r="D15">
            <v>2450.1019199999996</v>
          </cell>
        </row>
      </sheetData>
      <sheetData sheetId="1"/>
      <sheetData sheetId="2"/>
      <sheetData sheetId="3"/>
      <sheetData sheetId="4">
        <row r="45">
          <cell r="E45">
            <v>31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62" workbookViewId="0">
      <selection activeCell="B31" sqref="B31"/>
    </sheetView>
  </sheetViews>
  <sheetFormatPr defaultColWidth="9.109375" defaultRowHeight="13.2" outlineLevelCol="1" x14ac:dyDescent="0.25"/>
  <cols>
    <col min="1" max="1" width="4.6640625" style="2" customWidth="1"/>
    <col min="2" max="2" width="41.44140625" style="2" customWidth="1"/>
    <col min="3" max="3" width="18.5546875" style="2" customWidth="1"/>
    <col min="4" max="4" width="11.88671875" style="2" customWidth="1"/>
    <col min="5" max="5" width="13.44140625" style="2" customWidth="1"/>
    <col min="6" max="6" width="12.109375" style="2" hidden="1" customWidth="1" outlineLevel="1"/>
    <col min="7" max="7" width="9.109375" style="2" hidden="1" customWidth="1" outlineLevel="1"/>
    <col min="8" max="8" width="13.6640625" style="2" customWidth="1" collapsed="1"/>
    <col min="9" max="11" width="9.109375" style="2"/>
    <col min="12" max="12" width="13.109375" style="2" customWidth="1"/>
    <col min="13" max="16384" width="9.109375" style="2"/>
  </cols>
  <sheetData>
    <row r="1" spans="1:9" x14ac:dyDescent="0.25">
      <c r="A1" s="1" t="s">
        <v>0</v>
      </c>
      <c r="C1" s="3" t="s">
        <v>1</v>
      </c>
    </row>
    <row r="2" spans="1:9" x14ac:dyDescent="0.25">
      <c r="A2" s="1" t="s">
        <v>2</v>
      </c>
    </row>
    <row r="3" spans="1:9" x14ac:dyDescent="0.25">
      <c r="A3" s="1"/>
      <c r="B3" s="3" t="s">
        <v>3</v>
      </c>
      <c r="C3" s="3" t="s">
        <v>4</v>
      </c>
      <c r="D3" s="2">
        <v>0</v>
      </c>
      <c r="E3" s="3" t="s">
        <v>5</v>
      </c>
    </row>
    <row r="4" spans="1:9" x14ac:dyDescent="0.25">
      <c r="A4" s="1"/>
      <c r="B4" s="3" t="s">
        <v>6</v>
      </c>
    </row>
    <row r="5" spans="1:9" x14ac:dyDescent="0.25">
      <c r="C5" s="4" t="s">
        <v>7</v>
      </c>
      <c r="D5" s="5"/>
      <c r="E5" s="5"/>
      <c r="F5" s="5"/>
      <c r="G5" s="6"/>
      <c r="H5" s="7" t="s">
        <v>8</v>
      </c>
    </row>
    <row r="6" spans="1:9" x14ac:dyDescent="0.25">
      <c r="A6" s="8" t="s">
        <v>9</v>
      </c>
      <c r="B6" s="9"/>
      <c r="C6" s="10" t="s">
        <v>10</v>
      </c>
      <c r="D6" s="10" t="s">
        <v>11</v>
      </c>
      <c r="E6" s="10" t="s">
        <v>12</v>
      </c>
      <c r="F6" s="11" t="s">
        <v>13</v>
      </c>
      <c r="G6" s="10"/>
      <c r="H6" s="12"/>
    </row>
    <row r="7" spans="1:9" x14ac:dyDescent="0.25">
      <c r="B7" s="3" t="s">
        <v>14</v>
      </c>
      <c r="C7" s="13">
        <v>69000</v>
      </c>
      <c r="D7" s="12">
        <v>1000</v>
      </c>
      <c r="E7" s="12">
        <f>C7+D7</f>
        <v>70000</v>
      </c>
      <c r="F7" s="12">
        <f t="shared" ref="F7:F14" si="0">(C7+D7)/5</f>
        <v>14000</v>
      </c>
      <c r="G7" s="6"/>
      <c r="H7" s="14">
        <f>E7</f>
        <v>70000</v>
      </c>
      <c r="I7" s="15">
        <f t="shared" ref="I7:I14" si="1">E7-H7</f>
        <v>0</v>
      </c>
    </row>
    <row r="8" spans="1:9" x14ac:dyDescent="0.25">
      <c r="B8" s="3" t="s">
        <v>15</v>
      </c>
      <c r="C8" s="16">
        <f>300*5*(1-D3)</f>
        <v>1500</v>
      </c>
      <c r="D8" s="17">
        <v>0</v>
      </c>
      <c r="E8" s="12">
        <f>C8+D8</f>
        <v>1500</v>
      </c>
      <c r="F8" s="12">
        <f t="shared" si="0"/>
        <v>300</v>
      </c>
      <c r="G8" s="6"/>
      <c r="H8" s="18"/>
      <c r="I8" s="15">
        <f t="shared" si="1"/>
        <v>1500</v>
      </c>
    </row>
    <row r="9" spans="1:9" x14ac:dyDescent="0.25">
      <c r="B9" s="2" t="s">
        <v>16</v>
      </c>
      <c r="C9" s="13">
        <v>3800</v>
      </c>
      <c r="D9" s="12">
        <v>250</v>
      </c>
      <c r="E9" s="12">
        <f t="shared" ref="E9:E14" si="2">C9+D9</f>
        <v>4050</v>
      </c>
      <c r="F9" s="12">
        <f t="shared" si="0"/>
        <v>810</v>
      </c>
      <c r="G9" s="6"/>
      <c r="H9" s="12">
        <v>4278</v>
      </c>
      <c r="I9" s="15">
        <f t="shared" si="1"/>
        <v>-228</v>
      </c>
    </row>
    <row r="10" spans="1:9" x14ac:dyDescent="0.25">
      <c r="B10" s="2" t="s">
        <v>17</v>
      </c>
      <c r="C10" s="13">
        <v>1000</v>
      </c>
      <c r="D10" s="12">
        <v>250</v>
      </c>
      <c r="E10" s="12">
        <f t="shared" si="2"/>
        <v>1250</v>
      </c>
      <c r="F10" s="12">
        <f t="shared" si="0"/>
        <v>250</v>
      </c>
      <c r="G10" s="6"/>
      <c r="H10" s="12">
        <v>770</v>
      </c>
      <c r="I10" s="15">
        <f t="shared" si="1"/>
        <v>480</v>
      </c>
    </row>
    <row r="11" spans="1:9" x14ac:dyDescent="0.25">
      <c r="B11" s="3" t="s">
        <v>18</v>
      </c>
      <c r="C11" s="13">
        <v>1250</v>
      </c>
      <c r="D11" s="12">
        <v>250</v>
      </c>
      <c r="E11" s="12">
        <f t="shared" si="2"/>
        <v>1500</v>
      </c>
      <c r="F11" s="12">
        <f t="shared" si="0"/>
        <v>300</v>
      </c>
      <c r="G11" s="6"/>
      <c r="H11" s="18"/>
      <c r="I11" s="15">
        <f t="shared" si="1"/>
        <v>1500</v>
      </c>
    </row>
    <row r="12" spans="1:9" x14ac:dyDescent="0.25">
      <c r="B12" s="2" t="s">
        <v>19</v>
      </c>
      <c r="C12" s="19">
        <v>0</v>
      </c>
      <c r="D12" s="19">
        <v>0</v>
      </c>
      <c r="E12" s="12">
        <f t="shared" si="2"/>
        <v>0</v>
      </c>
      <c r="F12" s="12">
        <f t="shared" si="0"/>
        <v>0</v>
      </c>
      <c r="G12" s="6"/>
      <c r="H12" s="18"/>
      <c r="I12" s="15">
        <f t="shared" si="1"/>
        <v>0</v>
      </c>
    </row>
    <row r="13" spans="1:9" x14ac:dyDescent="0.25">
      <c r="B13" s="2" t="s">
        <v>20</v>
      </c>
      <c r="C13" s="13">
        <v>500</v>
      </c>
      <c r="D13" s="18">
        <v>0</v>
      </c>
      <c r="E13" s="12">
        <f t="shared" si="2"/>
        <v>500</v>
      </c>
      <c r="F13" s="12">
        <f t="shared" si="0"/>
        <v>100</v>
      </c>
      <c r="G13" s="6"/>
      <c r="H13" s="18"/>
      <c r="I13" s="15">
        <f t="shared" si="1"/>
        <v>500</v>
      </c>
    </row>
    <row r="14" spans="1:9" x14ac:dyDescent="0.25">
      <c r="B14" s="2" t="s">
        <v>21</v>
      </c>
      <c r="C14" s="13">
        <v>350</v>
      </c>
      <c r="D14" s="18">
        <v>0</v>
      </c>
      <c r="E14" s="12">
        <f t="shared" si="2"/>
        <v>350</v>
      </c>
      <c r="F14" s="12">
        <f t="shared" si="0"/>
        <v>70</v>
      </c>
      <c r="G14" s="6"/>
      <c r="H14" s="12">
        <v>250</v>
      </c>
      <c r="I14" s="15">
        <f t="shared" si="1"/>
        <v>100</v>
      </c>
    </row>
    <row r="15" spans="1:9" x14ac:dyDescent="0.25">
      <c r="A15" s="1" t="s">
        <v>22</v>
      </c>
      <c r="B15" s="1"/>
      <c r="C15" s="20">
        <f>SUM(C7:C14)</f>
        <v>77400</v>
      </c>
      <c r="D15" s="20">
        <f>SUM(D7:D14)</f>
        <v>1750</v>
      </c>
      <c r="E15" s="21">
        <f>C15+D15</f>
        <v>79150</v>
      </c>
      <c r="F15" s="22">
        <f>SUM(F7:F14)</f>
        <v>15830</v>
      </c>
      <c r="G15" s="23"/>
      <c r="H15" s="21">
        <f>SUM(H7:H14)</f>
        <v>75298</v>
      </c>
      <c r="I15" s="21">
        <f>SUM(I7:I14)</f>
        <v>3852</v>
      </c>
    </row>
    <row r="16" spans="1:9" x14ac:dyDescent="0.25">
      <c r="A16" s="1"/>
      <c r="B16" s="1"/>
      <c r="C16" s="20"/>
      <c r="D16" s="20"/>
      <c r="E16" s="21"/>
      <c r="F16" s="22"/>
      <c r="G16" s="24"/>
      <c r="H16" s="25"/>
      <c r="I16" s="25"/>
    </row>
    <row r="17" spans="1:9" x14ac:dyDescent="0.25">
      <c r="A17" s="8" t="s">
        <v>23</v>
      </c>
      <c r="B17" s="9"/>
      <c r="C17" s="20"/>
      <c r="D17" s="20"/>
      <c r="E17" s="21"/>
      <c r="F17" s="22"/>
      <c r="G17" s="24"/>
      <c r="H17" s="25"/>
      <c r="I17" s="25"/>
    </row>
    <row r="18" spans="1:9" x14ac:dyDescent="0.25">
      <c r="B18" s="3" t="s">
        <v>24</v>
      </c>
      <c r="C18" s="13">
        <v>4600</v>
      </c>
      <c r="D18" s="12">
        <v>250</v>
      </c>
      <c r="E18" s="12">
        <f>C18+D18</f>
        <v>4850</v>
      </c>
      <c r="F18" s="12">
        <f>(C18+D18)/5</f>
        <v>970</v>
      </c>
      <c r="G18" s="26"/>
      <c r="H18" s="27"/>
      <c r="I18" s="28"/>
    </row>
    <row r="19" spans="1:9" x14ac:dyDescent="0.25">
      <c r="B19" s="3" t="s">
        <v>25</v>
      </c>
      <c r="C19" s="13">
        <v>1000</v>
      </c>
      <c r="D19" s="12">
        <v>100</v>
      </c>
      <c r="E19" s="12">
        <f>C19+D19</f>
        <v>1100</v>
      </c>
      <c r="F19" s="12">
        <f>(C19+D19)/5</f>
        <v>220</v>
      </c>
      <c r="G19" s="26"/>
      <c r="H19" s="27"/>
      <c r="I19" s="28"/>
    </row>
    <row r="20" spans="1:9" x14ac:dyDescent="0.25">
      <c r="B20" s="3" t="s">
        <v>26</v>
      </c>
      <c r="C20" s="16">
        <f>D3*6500</f>
        <v>0</v>
      </c>
      <c r="D20" s="12">
        <v>200</v>
      </c>
      <c r="E20" s="12">
        <f>C20+D20</f>
        <v>200</v>
      </c>
      <c r="F20" s="12">
        <f>(C20+D20)/5</f>
        <v>40</v>
      </c>
      <c r="G20" s="26"/>
      <c r="H20" s="29"/>
      <c r="I20" s="28"/>
    </row>
    <row r="21" spans="1:9" x14ac:dyDescent="0.25">
      <c r="C21" s="20">
        <f>SUM(C18:C20)</f>
        <v>5600</v>
      </c>
      <c r="D21" s="20">
        <f>SUM(D18:D20)</f>
        <v>550</v>
      </c>
      <c r="E21" s="20">
        <f>SUM(E18:E20)</f>
        <v>6150</v>
      </c>
      <c r="F21" s="20">
        <f>SUM(F18:F20)</f>
        <v>1230</v>
      </c>
      <c r="G21" s="26"/>
      <c r="H21" s="25"/>
      <c r="I21" s="25"/>
    </row>
    <row r="22" spans="1:9" x14ac:dyDescent="0.25">
      <c r="A22" s="8" t="s">
        <v>27</v>
      </c>
      <c r="B22" s="9"/>
      <c r="C22" s="6"/>
      <c r="D22" s="12"/>
      <c r="E22" s="12"/>
      <c r="F22" s="12"/>
      <c r="G22" s="26"/>
      <c r="H22" s="27"/>
      <c r="I22" s="30"/>
    </row>
    <row r="23" spans="1:9" x14ac:dyDescent="0.25">
      <c r="B23" s="2" t="s">
        <v>28</v>
      </c>
      <c r="C23" s="13">
        <v>1200</v>
      </c>
      <c r="D23" s="12">
        <v>400</v>
      </c>
      <c r="E23" s="12">
        <f t="shared" ref="E23:E35" si="3">C23+D23</f>
        <v>1600</v>
      </c>
      <c r="F23" s="12">
        <f>(C23+D23)/5</f>
        <v>320</v>
      </c>
      <c r="G23" s="26"/>
      <c r="H23" s="27"/>
      <c r="I23" s="30"/>
    </row>
    <row r="24" spans="1:9" x14ac:dyDescent="0.25">
      <c r="B24" s="2" t="s">
        <v>29</v>
      </c>
      <c r="C24" s="13">
        <v>1000</v>
      </c>
      <c r="D24" s="12">
        <v>250</v>
      </c>
      <c r="E24" s="12">
        <f t="shared" si="3"/>
        <v>1250</v>
      </c>
      <c r="F24" s="12">
        <f t="shared" ref="F24:F35" si="4">(C24+D24)/5</f>
        <v>250</v>
      </c>
      <c r="G24" s="26"/>
      <c r="H24" s="27"/>
      <c r="I24" s="30"/>
    </row>
    <row r="25" spans="1:9" x14ac:dyDescent="0.25">
      <c r="B25" s="2" t="s">
        <v>30</v>
      </c>
      <c r="C25" s="13">
        <v>250</v>
      </c>
      <c r="D25" s="12">
        <v>100</v>
      </c>
      <c r="E25" s="12">
        <f t="shared" si="3"/>
        <v>350</v>
      </c>
      <c r="F25" s="12">
        <f t="shared" si="4"/>
        <v>70</v>
      </c>
      <c r="G25" s="26"/>
      <c r="H25" s="27"/>
      <c r="I25" s="30"/>
    </row>
    <row r="26" spans="1:9" x14ac:dyDescent="0.25">
      <c r="B26" s="2" t="s">
        <v>31</v>
      </c>
      <c r="C26" s="19">
        <v>50</v>
      </c>
      <c r="D26" s="19">
        <v>50</v>
      </c>
      <c r="E26" s="12">
        <f t="shared" si="3"/>
        <v>100</v>
      </c>
      <c r="F26" s="12">
        <f t="shared" si="4"/>
        <v>20</v>
      </c>
      <c r="G26" s="26"/>
      <c r="H26" s="27"/>
      <c r="I26" s="30"/>
    </row>
    <row r="27" spans="1:9" x14ac:dyDescent="0.25">
      <c r="B27" s="3" t="s">
        <v>32</v>
      </c>
      <c r="C27" s="13">
        <f>(1-D3)*500</f>
        <v>500</v>
      </c>
      <c r="D27" s="12">
        <v>100</v>
      </c>
      <c r="E27" s="12">
        <f t="shared" si="3"/>
        <v>600</v>
      </c>
      <c r="F27" s="12">
        <f t="shared" si="4"/>
        <v>120</v>
      </c>
      <c r="G27" s="26"/>
      <c r="H27" s="27"/>
      <c r="I27" s="30"/>
    </row>
    <row r="28" spans="1:9" x14ac:dyDescent="0.25">
      <c r="B28" s="2" t="s">
        <v>33</v>
      </c>
      <c r="C28" s="13">
        <v>300</v>
      </c>
      <c r="D28" s="12">
        <v>100</v>
      </c>
      <c r="E28" s="12">
        <f t="shared" si="3"/>
        <v>400</v>
      </c>
      <c r="F28" s="12">
        <f t="shared" si="4"/>
        <v>80</v>
      </c>
      <c r="G28" s="26"/>
      <c r="H28" s="27"/>
      <c r="I28" s="30"/>
    </row>
    <row r="29" spans="1:9" x14ac:dyDescent="0.25">
      <c r="B29" s="3" t="s">
        <v>34</v>
      </c>
      <c r="C29" s="13">
        <v>1200</v>
      </c>
      <c r="D29" s="12">
        <v>350</v>
      </c>
      <c r="E29" s="12">
        <f t="shared" si="3"/>
        <v>1550</v>
      </c>
      <c r="F29" s="12">
        <f t="shared" si="4"/>
        <v>310</v>
      </c>
      <c r="G29" s="26"/>
      <c r="H29" s="27"/>
      <c r="I29" s="30"/>
    </row>
    <row r="30" spans="1:9" x14ac:dyDescent="0.25">
      <c r="B30" s="2" t="s">
        <v>35</v>
      </c>
      <c r="C30" s="13">
        <v>250</v>
      </c>
      <c r="D30" s="12">
        <v>50</v>
      </c>
      <c r="E30" s="12">
        <f t="shared" si="3"/>
        <v>300</v>
      </c>
      <c r="F30" s="12">
        <f t="shared" si="4"/>
        <v>60</v>
      </c>
      <c r="G30" s="26"/>
      <c r="H30" s="27"/>
      <c r="I30" s="30"/>
    </row>
    <row r="31" spans="1:9" x14ac:dyDescent="0.25">
      <c r="B31" s="3" t="s">
        <v>36</v>
      </c>
      <c r="C31" s="13">
        <v>1500</v>
      </c>
      <c r="D31" s="12">
        <v>300</v>
      </c>
      <c r="E31" s="12">
        <f t="shared" si="3"/>
        <v>1800</v>
      </c>
      <c r="F31" s="12">
        <f t="shared" si="4"/>
        <v>360</v>
      </c>
      <c r="G31" s="26"/>
      <c r="H31" s="27"/>
      <c r="I31" s="30"/>
    </row>
    <row r="32" spans="1:9" x14ac:dyDescent="0.25">
      <c r="B32" s="2" t="s">
        <v>37</v>
      </c>
      <c r="C32" s="13">
        <v>300</v>
      </c>
      <c r="D32" s="12">
        <v>120</v>
      </c>
      <c r="E32" s="12">
        <f t="shared" si="3"/>
        <v>420</v>
      </c>
      <c r="F32" s="12">
        <f t="shared" si="4"/>
        <v>84</v>
      </c>
      <c r="G32" s="26"/>
      <c r="H32" s="27"/>
      <c r="I32" s="30"/>
    </row>
    <row r="33" spans="1:9" x14ac:dyDescent="0.25">
      <c r="B33" s="2" t="s">
        <v>38</v>
      </c>
      <c r="C33" s="13">
        <v>700</v>
      </c>
      <c r="D33" s="12">
        <v>450</v>
      </c>
      <c r="E33" s="12">
        <f t="shared" si="3"/>
        <v>1150</v>
      </c>
      <c r="F33" s="12">
        <f t="shared" si="4"/>
        <v>230</v>
      </c>
      <c r="G33" s="26"/>
      <c r="H33" s="27"/>
      <c r="I33" s="30"/>
    </row>
    <row r="34" spans="1:9" x14ac:dyDescent="0.25">
      <c r="B34" s="2" t="s">
        <v>39</v>
      </c>
      <c r="C34" s="13">
        <v>550</v>
      </c>
      <c r="D34" s="12">
        <v>150</v>
      </c>
      <c r="E34" s="12">
        <f t="shared" si="3"/>
        <v>700</v>
      </c>
      <c r="F34" s="12">
        <f t="shared" si="4"/>
        <v>140</v>
      </c>
      <c r="G34" s="26"/>
      <c r="H34" s="27"/>
      <c r="I34" s="30"/>
    </row>
    <row r="35" spans="1:9" x14ac:dyDescent="0.25">
      <c r="B35" s="2" t="s">
        <v>40</v>
      </c>
      <c r="C35" s="19">
        <v>0</v>
      </c>
      <c r="D35" s="19">
        <v>0</v>
      </c>
      <c r="E35" s="12">
        <f t="shared" si="3"/>
        <v>0</v>
      </c>
      <c r="F35" s="12">
        <f t="shared" si="4"/>
        <v>0</v>
      </c>
      <c r="G35" s="26"/>
      <c r="H35" s="27"/>
      <c r="I35" s="30"/>
    </row>
    <row r="36" spans="1:9" x14ac:dyDescent="0.25">
      <c r="A36" s="1" t="s">
        <v>41</v>
      </c>
      <c r="B36" s="1"/>
      <c r="C36" s="20">
        <f>SUM(C21:C35)</f>
        <v>13400</v>
      </c>
      <c r="D36" s="20">
        <f>SUM(D21:D35)</f>
        <v>2970</v>
      </c>
      <c r="E36" s="20">
        <f>SUM(E21:E35)</f>
        <v>16370</v>
      </c>
      <c r="F36" s="20">
        <f>SUM(F21:F35)</f>
        <v>3274</v>
      </c>
      <c r="G36" s="31"/>
      <c r="H36" s="25"/>
      <c r="I36" s="25"/>
    </row>
    <row r="37" spans="1:9" x14ac:dyDescent="0.25">
      <c r="A37" s="1" t="s">
        <v>42</v>
      </c>
      <c r="B37" s="1"/>
      <c r="C37" s="20"/>
      <c r="D37" s="20"/>
      <c r="E37" s="20">
        <f>E15+E36</f>
        <v>95520</v>
      </c>
      <c r="F37" s="20">
        <f>F15+F36</f>
        <v>19104</v>
      </c>
      <c r="G37" s="24"/>
      <c r="H37" s="25"/>
      <c r="I37" s="25"/>
    </row>
    <row r="38" spans="1:9" x14ac:dyDescent="0.25">
      <c r="B38" s="3"/>
      <c r="C38" s="13"/>
      <c r="D38" s="12"/>
      <c r="E38" s="12"/>
      <c r="F38" s="12"/>
      <c r="G38" s="26"/>
      <c r="H38" s="27"/>
      <c r="I38" s="30"/>
    </row>
    <row r="39" spans="1:9" x14ac:dyDescent="0.25">
      <c r="A39" s="8" t="s">
        <v>43</v>
      </c>
      <c r="B39" s="9"/>
      <c r="C39" s="6"/>
      <c r="D39" s="12"/>
      <c r="E39" s="12"/>
      <c r="F39" s="12"/>
      <c r="G39" s="26"/>
      <c r="H39" s="27"/>
      <c r="I39" s="30"/>
    </row>
    <row r="40" spans="1:9" x14ac:dyDescent="0.25">
      <c r="B40" s="2" t="s">
        <v>44</v>
      </c>
      <c r="C40" s="13">
        <v>500</v>
      </c>
      <c r="D40" s="12"/>
      <c r="E40" s="12"/>
      <c r="F40" s="12">
        <f t="shared" ref="F40:F58" si="5">(C40+D40)/5</f>
        <v>100</v>
      </c>
      <c r="G40" s="26"/>
      <c r="H40" s="27"/>
      <c r="I40" s="30"/>
    </row>
    <row r="41" spans="1:9" x14ac:dyDescent="0.25">
      <c r="B41" s="2" t="s">
        <v>45</v>
      </c>
      <c r="C41" s="13">
        <v>25</v>
      </c>
      <c r="D41" s="12"/>
      <c r="E41" s="12"/>
      <c r="F41" s="12">
        <f t="shared" si="5"/>
        <v>5</v>
      </c>
      <c r="G41" s="26"/>
      <c r="H41" s="27"/>
      <c r="I41" s="30"/>
    </row>
    <row r="42" spans="1:9" x14ac:dyDescent="0.25">
      <c r="B42" s="2" t="s">
        <v>46</v>
      </c>
      <c r="C42" s="13">
        <v>2000</v>
      </c>
      <c r="D42" s="12"/>
      <c r="E42" s="12"/>
      <c r="F42" s="12">
        <f t="shared" si="5"/>
        <v>400</v>
      </c>
      <c r="G42" s="26"/>
      <c r="H42" s="27"/>
      <c r="I42" s="30"/>
    </row>
    <row r="43" spans="1:9" x14ac:dyDescent="0.25">
      <c r="B43" s="2" t="s">
        <v>47</v>
      </c>
      <c r="C43" s="13">
        <v>750</v>
      </c>
      <c r="D43" s="12"/>
      <c r="E43" s="12"/>
      <c r="F43" s="12">
        <f t="shared" si="5"/>
        <v>150</v>
      </c>
      <c r="G43" s="26"/>
      <c r="H43" s="27"/>
      <c r="I43" s="30"/>
    </row>
    <row r="44" spans="1:9" x14ac:dyDescent="0.25">
      <c r="B44" s="2" t="s">
        <v>48</v>
      </c>
      <c r="C44" s="13">
        <v>250</v>
      </c>
      <c r="D44" s="12"/>
      <c r="E44" s="12"/>
      <c r="F44" s="12">
        <f t="shared" si="5"/>
        <v>50</v>
      </c>
      <c r="G44" s="26"/>
      <c r="H44" s="27"/>
      <c r="I44" s="30"/>
    </row>
    <row r="45" spans="1:9" x14ac:dyDescent="0.25">
      <c r="B45" s="2" t="s">
        <v>49</v>
      </c>
      <c r="C45" s="13">
        <v>1000</v>
      </c>
      <c r="D45" s="32"/>
      <c r="E45" s="12"/>
      <c r="F45" s="12">
        <f t="shared" si="5"/>
        <v>200</v>
      </c>
      <c r="G45" s="26"/>
      <c r="H45" s="27"/>
      <c r="I45" s="30"/>
    </row>
    <row r="46" spans="1:9" x14ac:dyDescent="0.25">
      <c r="B46" s="2" t="s">
        <v>50</v>
      </c>
      <c r="C46" s="13">
        <v>200</v>
      </c>
      <c r="D46" s="12"/>
      <c r="E46" s="12"/>
      <c r="F46" s="12">
        <f t="shared" si="5"/>
        <v>40</v>
      </c>
      <c r="G46" s="26"/>
      <c r="H46" s="27"/>
      <c r="I46" s="30"/>
    </row>
    <row r="47" spans="1:9" x14ac:dyDescent="0.25">
      <c r="B47" s="3" t="s">
        <v>51</v>
      </c>
      <c r="C47" s="13">
        <v>35</v>
      </c>
      <c r="D47" s="12"/>
      <c r="E47" s="12"/>
      <c r="F47" s="12">
        <f t="shared" si="5"/>
        <v>7</v>
      </c>
      <c r="G47" s="26"/>
      <c r="H47" s="27"/>
      <c r="I47" s="30"/>
    </row>
    <row r="48" spans="1:9" x14ac:dyDescent="0.25">
      <c r="B48" s="2" t="s">
        <v>52</v>
      </c>
      <c r="C48" s="13">
        <v>50</v>
      </c>
      <c r="D48" s="12"/>
      <c r="E48" s="12"/>
      <c r="F48" s="12">
        <f t="shared" si="5"/>
        <v>10</v>
      </c>
      <c r="G48" s="26"/>
      <c r="H48" s="27"/>
      <c r="I48" s="30"/>
    </row>
    <row r="49" spans="1:9" x14ac:dyDescent="0.25">
      <c r="B49" s="2" t="s">
        <v>53</v>
      </c>
      <c r="C49" s="13">
        <v>75</v>
      </c>
      <c r="D49" s="12"/>
      <c r="E49" s="12"/>
      <c r="F49" s="12">
        <f t="shared" si="5"/>
        <v>15</v>
      </c>
      <c r="G49" s="26"/>
      <c r="H49" s="27"/>
      <c r="I49" s="30"/>
    </row>
    <row r="50" spans="1:9" x14ac:dyDescent="0.25">
      <c r="B50" s="3" t="s">
        <v>54</v>
      </c>
      <c r="C50" s="13">
        <v>600</v>
      </c>
      <c r="D50" s="12"/>
      <c r="E50" s="12"/>
      <c r="F50" s="12">
        <f t="shared" si="5"/>
        <v>120</v>
      </c>
      <c r="G50" s="26"/>
      <c r="H50" s="27"/>
      <c r="I50" s="30"/>
    </row>
    <row r="51" spans="1:9" x14ac:dyDescent="0.25">
      <c r="B51" s="3" t="s">
        <v>55</v>
      </c>
      <c r="C51" s="13">
        <f>6/12*0.07*115000*0.8</f>
        <v>3220.0000000000005</v>
      </c>
      <c r="D51" s="12"/>
      <c r="E51" s="12"/>
      <c r="F51" s="12">
        <f t="shared" si="5"/>
        <v>644.00000000000011</v>
      </c>
      <c r="G51" s="26"/>
      <c r="H51" s="33"/>
      <c r="I51" s="30"/>
    </row>
    <row r="52" spans="1:9" x14ac:dyDescent="0.25">
      <c r="B52" s="2" t="s">
        <v>56</v>
      </c>
      <c r="C52" s="34"/>
      <c r="D52" s="12"/>
      <c r="E52" s="12"/>
      <c r="F52" s="12">
        <f t="shared" si="5"/>
        <v>0</v>
      </c>
      <c r="G52" s="26"/>
      <c r="H52" s="27"/>
      <c r="I52" s="30"/>
    </row>
    <row r="53" spans="1:9" x14ac:dyDescent="0.25">
      <c r="B53" s="2" t="s">
        <v>57</v>
      </c>
      <c r="C53" s="13">
        <v>500</v>
      </c>
      <c r="D53" s="12"/>
      <c r="E53" s="12"/>
      <c r="F53" s="12">
        <f t="shared" si="5"/>
        <v>100</v>
      </c>
      <c r="G53" s="26"/>
      <c r="H53" s="27"/>
      <c r="I53" s="30"/>
    </row>
    <row r="54" spans="1:9" x14ac:dyDescent="0.25">
      <c r="B54" s="2" t="s">
        <v>58</v>
      </c>
      <c r="C54" s="13">
        <v>500</v>
      </c>
      <c r="D54" s="12"/>
      <c r="E54" s="12"/>
      <c r="F54" s="12">
        <f t="shared" si="5"/>
        <v>100</v>
      </c>
      <c r="G54" s="26"/>
      <c r="H54" s="27"/>
      <c r="I54" s="30"/>
    </row>
    <row r="55" spans="1:9" x14ac:dyDescent="0.25">
      <c r="B55" s="2" t="s">
        <v>59</v>
      </c>
      <c r="C55" s="13">
        <v>350</v>
      </c>
      <c r="D55" s="12"/>
      <c r="E55" s="12"/>
      <c r="F55" s="12">
        <f t="shared" si="5"/>
        <v>70</v>
      </c>
      <c r="G55" s="26"/>
      <c r="H55" s="27"/>
      <c r="I55" s="30"/>
    </row>
    <row r="56" spans="1:9" x14ac:dyDescent="0.25">
      <c r="B56" s="2" t="s">
        <v>60</v>
      </c>
      <c r="C56" s="13">
        <f>[1]Proforma!B5</f>
        <v>2500</v>
      </c>
      <c r="D56" s="12"/>
      <c r="E56" s="12"/>
      <c r="F56" s="12">
        <f t="shared" si="5"/>
        <v>500</v>
      </c>
      <c r="G56" s="26"/>
      <c r="H56" s="27"/>
      <c r="I56" s="30"/>
    </row>
    <row r="57" spans="1:9" x14ac:dyDescent="0.25">
      <c r="B57" s="3" t="s">
        <v>61</v>
      </c>
      <c r="C57" s="19">
        <v>100</v>
      </c>
      <c r="D57" s="12"/>
      <c r="E57" s="12"/>
      <c r="F57" s="12">
        <f t="shared" si="5"/>
        <v>20</v>
      </c>
      <c r="G57" s="26"/>
      <c r="H57" s="27"/>
      <c r="I57" s="30"/>
    </row>
    <row r="58" spans="1:9" x14ac:dyDescent="0.25">
      <c r="B58" s="2" t="s">
        <v>62</v>
      </c>
      <c r="C58" s="13">
        <f>0.03*E37</f>
        <v>2865.6</v>
      </c>
      <c r="D58" s="12"/>
      <c r="E58" s="12"/>
      <c r="F58" s="12">
        <f t="shared" si="5"/>
        <v>573.12</v>
      </c>
      <c r="G58" s="26"/>
      <c r="H58" s="27"/>
      <c r="I58" s="30"/>
    </row>
    <row r="59" spans="1:9" x14ac:dyDescent="0.25">
      <c r="A59" s="1" t="s">
        <v>63</v>
      </c>
      <c r="B59" s="1"/>
      <c r="C59" s="20">
        <f>SUM(C40:C58)</f>
        <v>15520.6</v>
      </c>
      <c r="D59" s="21"/>
      <c r="E59" s="21"/>
      <c r="F59" s="20">
        <f>SUM(F40:F58)</f>
        <v>3104.12</v>
      </c>
      <c r="G59" s="24"/>
      <c r="H59" s="35"/>
      <c r="I59" s="30"/>
    </row>
    <row r="60" spans="1:9" x14ac:dyDescent="0.25">
      <c r="C60" s="6"/>
      <c r="D60" s="6"/>
      <c r="E60" s="6"/>
      <c r="F60" s="6"/>
      <c r="G60" s="26"/>
      <c r="H60" s="27"/>
      <c r="I60" s="30"/>
    </row>
    <row r="61" spans="1:9" x14ac:dyDescent="0.25">
      <c r="A61" s="8" t="s">
        <v>64</v>
      </c>
      <c r="B61" s="9"/>
      <c r="C61" s="6"/>
      <c r="D61" s="6"/>
      <c r="E61" s="6"/>
      <c r="F61" s="6"/>
      <c r="G61" s="26"/>
      <c r="H61" s="27"/>
      <c r="I61" s="30"/>
    </row>
    <row r="62" spans="1:9" x14ac:dyDescent="0.25">
      <c r="B62" s="3" t="s">
        <v>65</v>
      </c>
      <c r="C62" s="13">
        <v>250</v>
      </c>
      <c r="D62" s="6"/>
      <c r="E62" s="6"/>
      <c r="F62" s="12">
        <f>(C62+D62)/5</f>
        <v>50</v>
      </c>
      <c r="G62" s="26"/>
      <c r="H62" s="27"/>
      <c r="I62" s="30"/>
    </row>
    <row r="63" spans="1:9" x14ac:dyDescent="0.25">
      <c r="B63" s="2" t="s">
        <v>66</v>
      </c>
      <c r="C63" s="13">
        <v>500</v>
      </c>
      <c r="D63" s="6"/>
      <c r="E63" s="6"/>
      <c r="F63" s="12">
        <f>(C63+D63)/5</f>
        <v>100</v>
      </c>
      <c r="G63" s="26"/>
      <c r="H63" s="27"/>
      <c r="I63" s="30"/>
    </row>
    <row r="64" spans="1:9" x14ac:dyDescent="0.25">
      <c r="A64" s="1" t="s">
        <v>67</v>
      </c>
      <c r="B64" s="1"/>
      <c r="C64" s="20">
        <f>SUM(C62:C63)</f>
        <v>750</v>
      </c>
      <c r="D64" s="23"/>
      <c r="E64" s="23"/>
      <c r="F64" s="20">
        <f>SUM(F62:F63)</f>
        <v>150</v>
      </c>
      <c r="G64" s="24"/>
      <c r="H64" s="35"/>
      <c r="I64" s="30"/>
    </row>
    <row r="65" spans="1:9" x14ac:dyDescent="0.25">
      <c r="C65" s="6"/>
      <c r="D65" s="6"/>
      <c r="E65" s="6"/>
      <c r="F65" s="6"/>
      <c r="G65" s="26"/>
      <c r="H65" s="27"/>
      <c r="I65" s="30"/>
    </row>
    <row r="66" spans="1:9" x14ac:dyDescent="0.25">
      <c r="A66" s="8" t="s">
        <v>12</v>
      </c>
      <c r="B66" s="9"/>
      <c r="C66" s="6"/>
      <c r="D66" s="6"/>
      <c r="E66" s="6"/>
      <c r="F66" s="6"/>
      <c r="G66" s="26"/>
      <c r="H66" s="27"/>
      <c r="I66" s="30"/>
    </row>
    <row r="67" spans="1:9" x14ac:dyDescent="0.25">
      <c r="B67" s="2" t="s">
        <v>68</v>
      </c>
      <c r="C67" s="13">
        <f>C15+D15</f>
        <v>79150</v>
      </c>
      <c r="D67" s="6"/>
      <c r="E67" s="6"/>
      <c r="F67" s="12">
        <f>C67/5</f>
        <v>15830</v>
      </c>
      <c r="G67" s="26"/>
      <c r="H67" s="27"/>
      <c r="I67" s="30"/>
    </row>
    <row r="68" spans="1:9" x14ac:dyDescent="0.25">
      <c r="B68" s="2" t="s">
        <v>69</v>
      </c>
      <c r="C68" s="13">
        <f>C36+D36</f>
        <v>16370</v>
      </c>
      <c r="D68" s="6"/>
      <c r="E68" s="6"/>
      <c r="F68" s="12">
        <f>C68/5</f>
        <v>3274</v>
      </c>
      <c r="G68" s="26"/>
      <c r="H68" s="27"/>
      <c r="I68" s="30"/>
    </row>
    <row r="69" spans="1:9" x14ac:dyDescent="0.25">
      <c r="B69" s="2" t="s">
        <v>70</v>
      </c>
      <c r="C69" s="13">
        <f>0.05*(C15+C36)</f>
        <v>4540</v>
      </c>
      <c r="D69" s="6"/>
      <c r="E69" s="6"/>
      <c r="F69" s="12">
        <f>C69/5</f>
        <v>908</v>
      </c>
      <c r="G69" s="26"/>
      <c r="H69" s="28"/>
      <c r="I69" s="30"/>
    </row>
    <row r="70" spans="1:9" x14ac:dyDescent="0.25">
      <c r="B70" s="2" t="s">
        <v>43</v>
      </c>
      <c r="C70" s="13">
        <f>C59</f>
        <v>15520.6</v>
      </c>
      <c r="D70" s="6"/>
      <c r="E70" s="6"/>
      <c r="F70" s="12">
        <f>C70/5</f>
        <v>3104.12</v>
      </c>
      <c r="G70" s="26"/>
      <c r="H70" s="27"/>
      <c r="I70" s="30"/>
    </row>
    <row r="71" spans="1:9" x14ac:dyDescent="0.25">
      <c r="B71" s="2" t="s">
        <v>71</v>
      </c>
      <c r="C71" s="13">
        <f>C64</f>
        <v>750</v>
      </c>
      <c r="D71" s="6"/>
      <c r="E71" s="6"/>
      <c r="F71" s="12">
        <f>C71/5</f>
        <v>150</v>
      </c>
      <c r="G71" s="26"/>
      <c r="H71" s="27"/>
      <c r="I71" s="30"/>
    </row>
    <row r="72" spans="1:9" x14ac:dyDescent="0.25">
      <c r="A72" s="1" t="s">
        <v>72</v>
      </c>
      <c r="C72" s="20">
        <f>SUM(C67:C71)</f>
        <v>116330.6</v>
      </c>
      <c r="D72" s="23"/>
      <c r="E72" s="23"/>
      <c r="F72" s="20">
        <f>SUM(F67:F71)</f>
        <v>23266.12</v>
      </c>
      <c r="G72" s="24"/>
      <c r="H72" s="25"/>
      <c r="I72" s="30"/>
    </row>
    <row r="73" spans="1:9" x14ac:dyDescent="0.25">
      <c r="C73" s="10"/>
      <c r="D73" s="6"/>
      <c r="E73" s="6"/>
      <c r="F73" s="6"/>
      <c r="G73" s="26"/>
      <c r="H73" s="30"/>
      <c r="I73" s="30"/>
    </row>
    <row r="74" spans="1:9" x14ac:dyDescent="0.25">
      <c r="A74" s="1" t="s">
        <v>73</v>
      </c>
      <c r="B74" s="1"/>
      <c r="C74" s="36">
        <f>IF(D3=1,C77,C78)</f>
        <v>227.5</v>
      </c>
      <c r="D74" s="23"/>
      <c r="E74" s="23"/>
      <c r="F74" s="23">
        <v>45.5</v>
      </c>
      <c r="G74" s="24"/>
      <c r="H74" s="37"/>
      <c r="I74" s="30"/>
    </row>
    <row r="75" spans="1:9" x14ac:dyDescent="0.25">
      <c r="A75" s="1" t="s">
        <v>74</v>
      </c>
      <c r="B75" s="1"/>
      <c r="C75" s="20">
        <f>C72/C74</f>
        <v>511.34329670329674</v>
      </c>
      <c r="D75" s="23"/>
      <c r="E75" s="23"/>
      <c r="F75" s="20">
        <f>F72/F74</f>
        <v>511.34329670329669</v>
      </c>
      <c r="G75" s="24"/>
      <c r="H75" s="25"/>
      <c r="I75" s="30"/>
    </row>
    <row r="77" spans="1:9" x14ac:dyDescent="0.25">
      <c r="B77" s="3" t="s">
        <v>75</v>
      </c>
      <c r="C77" s="36">
        <v>221.6</v>
      </c>
    </row>
    <row r="78" spans="1:9" x14ac:dyDescent="0.25">
      <c r="A78" s="1"/>
      <c r="B78" s="3" t="s">
        <v>76</v>
      </c>
      <c r="C78" s="23">
        <v>227.5</v>
      </c>
    </row>
    <row r="79" spans="1:9" x14ac:dyDescent="0.25">
      <c r="C79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D19" sqref="D19"/>
    </sheetView>
  </sheetViews>
  <sheetFormatPr defaultColWidth="12.5546875" defaultRowHeight="13.2" x14ac:dyDescent="0.25"/>
  <cols>
    <col min="1" max="1" width="39.6640625" customWidth="1"/>
    <col min="3" max="3" width="16.109375" customWidth="1"/>
    <col min="8" max="8" width="17.33203125" customWidth="1"/>
  </cols>
  <sheetData>
    <row r="1" spans="1:11" ht="15" x14ac:dyDescent="0.25">
      <c r="A1" s="38" t="str">
        <f>'[2]Pro Forma'!B1</f>
        <v>United American Energy</v>
      </c>
      <c r="B1" s="38" t="str">
        <f>'[2]Pro Forma'!B3</f>
        <v>PRELIMINARY ECONOMIC ANALYSIS</v>
      </c>
    </row>
    <row r="2" spans="1:11" ht="15" x14ac:dyDescent="0.25">
      <c r="A2" s="38" t="str">
        <f>'[2]Pro Forma'!B2</f>
        <v>Lowell Power Expansion</v>
      </c>
    </row>
    <row r="3" spans="1:11" x14ac:dyDescent="0.25">
      <c r="A3" t="s">
        <v>6</v>
      </c>
    </row>
    <row r="5" spans="1:11" x14ac:dyDescent="0.25">
      <c r="A5" s="39" t="s">
        <v>77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x14ac:dyDescent="0.25">
      <c r="A6" s="39"/>
      <c r="B6" s="40"/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5">
      <c r="A7" s="39"/>
      <c r="B7" s="41"/>
      <c r="C7" s="41"/>
      <c r="D7" s="39"/>
      <c r="E7" s="42"/>
      <c r="F7" s="39"/>
      <c r="G7" s="39"/>
      <c r="H7" s="39"/>
      <c r="I7" s="39"/>
      <c r="J7" s="39"/>
      <c r="K7" s="39"/>
    </row>
    <row r="8" spans="1:11" x14ac:dyDescent="0.25">
      <c r="A8" s="39" t="s">
        <v>78</v>
      </c>
      <c r="C8" s="43"/>
      <c r="D8" s="41"/>
      <c r="E8" s="44"/>
      <c r="F8" s="41"/>
      <c r="G8" s="39"/>
      <c r="H8" s="39"/>
      <c r="I8" s="39"/>
      <c r="J8" s="39"/>
      <c r="K8" s="39"/>
    </row>
    <row r="9" spans="1:11" x14ac:dyDescent="0.25">
      <c r="A9" s="39" t="s">
        <v>79</v>
      </c>
      <c r="C9" s="41">
        <v>100</v>
      </c>
      <c r="D9" s="41" t="s">
        <v>97</v>
      </c>
      <c r="E9" s="44"/>
      <c r="F9" s="41"/>
      <c r="G9" s="39"/>
      <c r="H9" s="39"/>
      <c r="I9" s="39"/>
      <c r="J9" s="39"/>
      <c r="K9" s="39"/>
    </row>
    <row r="10" spans="1:11" x14ac:dyDescent="0.25">
      <c r="A10" s="39" t="s">
        <v>98</v>
      </c>
      <c r="C10" s="41">
        <v>100</v>
      </c>
      <c r="D10" s="41"/>
      <c r="E10" s="41"/>
      <c r="F10" s="43"/>
      <c r="G10" s="39"/>
      <c r="H10" s="39"/>
      <c r="I10" s="39"/>
      <c r="J10" s="39"/>
      <c r="K10" s="39"/>
    </row>
    <row r="11" spans="1:11" x14ac:dyDescent="0.25">
      <c r="A11" s="39" t="s">
        <v>80</v>
      </c>
      <c r="C11" s="41">
        <f>[2]Maintenance!E45*5*1.25</f>
        <v>193.75</v>
      </c>
      <c r="D11" s="41" t="s">
        <v>99</v>
      </c>
      <c r="E11" s="41"/>
      <c r="F11" s="41"/>
      <c r="G11" s="39"/>
      <c r="H11" s="39"/>
      <c r="I11" s="39"/>
      <c r="J11" s="39"/>
      <c r="K11" s="39"/>
    </row>
    <row r="12" spans="1:11" x14ac:dyDescent="0.25">
      <c r="A12" s="39" t="s">
        <v>81</v>
      </c>
      <c r="C12" s="41">
        <v>100</v>
      </c>
      <c r="D12" s="41"/>
      <c r="E12" s="41"/>
      <c r="F12" s="41"/>
      <c r="G12" s="39"/>
      <c r="H12" s="39"/>
      <c r="I12" s="39"/>
      <c r="J12" s="39"/>
      <c r="K12" s="39"/>
    </row>
    <row r="13" spans="1:11" x14ac:dyDescent="0.25">
      <c r="C13" s="41"/>
      <c r="D13" s="41"/>
      <c r="E13" s="41"/>
      <c r="F13" s="41"/>
      <c r="G13" s="39"/>
      <c r="H13" s="39"/>
      <c r="I13" s="39"/>
      <c r="J13" s="39"/>
      <c r="K13" s="39"/>
    </row>
    <row r="14" spans="1:11" x14ac:dyDescent="0.25">
      <c r="A14" s="44" t="s">
        <v>82</v>
      </c>
      <c r="C14" s="44"/>
      <c r="D14" s="45"/>
      <c r="E14" s="41"/>
      <c r="F14" s="43"/>
      <c r="G14" s="39"/>
      <c r="H14" s="39"/>
      <c r="I14" s="39"/>
      <c r="J14" s="39"/>
      <c r="K14" s="39"/>
    </row>
    <row r="15" spans="1:11" x14ac:dyDescent="0.25">
      <c r="A15" t="s">
        <v>100</v>
      </c>
      <c r="B15" s="41"/>
      <c r="C15" s="41">
        <v>400</v>
      </c>
      <c r="D15" s="45"/>
      <c r="E15" s="41"/>
      <c r="F15" s="43"/>
      <c r="G15" s="39"/>
      <c r="H15" s="39"/>
      <c r="I15" s="39"/>
      <c r="J15" s="39"/>
      <c r="K15" s="39"/>
    </row>
    <row r="16" spans="1:11" x14ac:dyDescent="0.25">
      <c r="A16" t="s">
        <v>101</v>
      </c>
      <c r="B16" s="41"/>
      <c r="C16" s="51" t="s">
        <v>102</v>
      </c>
      <c r="D16" s="45"/>
      <c r="E16" s="41"/>
      <c r="F16" s="43"/>
      <c r="G16" s="39"/>
      <c r="H16" s="39"/>
      <c r="I16" s="39"/>
      <c r="J16" s="39"/>
      <c r="K16" s="39"/>
    </row>
    <row r="17" spans="1:11" x14ac:dyDescent="0.25">
      <c r="A17" t="s">
        <v>83</v>
      </c>
      <c r="C17" s="43">
        <v>500</v>
      </c>
      <c r="D17" s="45" t="s">
        <v>103</v>
      </c>
      <c r="E17" s="41"/>
      <c r="F17" s="43"/>
      <c r="G17" s="39"/>
      <c r="H17" s="39"/>
      <c r="I17" s="39"/>
      <c r="J17" s="39"/>
      <c r="K17" s="39"/>
    </row>
    <row r="18" spans="1:11" x14ac:dyDescent="0.25">
      <c r="A18" t="s">
        <v>84</v>
      </c>
      <c r="C18" s="41">
        <v>100</v>
      </c>
      <c r="D18" s="46" t="s">
        <v>104</v>
      </c>
      <c r="E18" s="39"/>
      <c r="F18" s="39"/>
      <c r="G18" s="39"/>
      <c r="H18" s="39"/>
      <c r="I18" s="39"/>
      <c r="J18" s="39"/>
      <c r="K18" s="39"/>
    </row>
    <row r="19" spans="1:11" x14ac:dyDescent="0.25">
      <c r="A19" t="s">
        <v>85</v>
      </c>
      <c r="C19" s="41">
        <v>150</v>
      </c>
      <c r="D19" s="46"/>
      <c r="E19" s="39"/>
      <c r="F19" s="39"/>
      <c r="G19" s="39"/>
      <c r="H19" s="39"/>
      <c r="I19" s="39"/>
      <c r="J19" s="39"/>
      <c r="K19" s="39"/>
    </row>
    <row r="20" spans="1:11" x14ac:dyDescent="0.25">
      <c r="A20" t="s">
        <v>86</v>
      </c>
      <c r="C20" s="41">
        <v>50</v>
      </c>
    </row>
    <row r="21" spans="1:11" x14ac:dyDescent="0.25">
      <c r="A21" t="s">
        <v>87</v>
      </c>
      <c r="C21" s="41">
        <v>75</v>
      </c>
    </row>
    <row r="22" spans="1:11" x14ac:dyDescent="0.25">
      <c r="A22" t="s">
        <v>88</v>
      </c>
      <c r="C22" s="49">
        <v>100</v>
      </c>
    </row>
    <row r="23" spans="1:11" x14ac:dyDescent="0.25">
      <c r="C23" s="41">
        <f>SUM(C9:C22)</f>
        <v>1868.75</v>
      </c>
    </row>
    <row r="25" spans="1:11" x14ac:dyDescent="0.25">
      <c r="A25" s="39" t="s">
        <v>89</v>
      </c>
      <c r="B25" s="47" t="s">
        <v>93</v>
      </c>
      <c r="C25" s="47" t="s">
        <v>94</v>
      </c>
      <c r="D25" s="47" t="s">
        <v>92</v>
      </c>
      <c r="E25" s="47" t="s">
        <v>90</v>
      </c>
      <c r="F25" s="47" t="s">
        <v>91</v>
      </c>
    </row>
    <row r="26" spans="1:11" x14ac:dyDescent="0.25">
      <c r="A26" s="39" t="s">
        <v>95</v>
      </c>
      <c r="B26" s="48">
        <v>2.3187254718744201</v>
      </c>
      <c r="C26" s="41">
        <f>D26*B26/1000</f>
        <v>1258.9348026992807</v>
      </c>
      <c r="D26" s="41">
        <f>E26*F26</f>
        <v>542942.58547199995</v>
      </c>
      <c r="E26" s="41">
        <f>'[2]Pro Forma'!D15</f>
        <v>2450.1019199999996</v>
      </c>
      <c r="F26" s="41">
        <v>221.6</v>
      </c>
    </row>
    <row r="27" spans="1:11" x14ac:dyDescent="0.25">
      <c r="A27" s="39" t="s">
        <v>96</v>
      </c>
      <c r="B27" s="48">
        <v>0.15417678938516199</v>
      </c>
      <c r="C27" s="41">
        <f>D27*B27/1000</f>
        <v>83.709144648551856</v>
      </c>
      <c r="D27" s="41">
        <f>D26</f>
        <v>542942.58547199995</v>
      </c>
    </row>
    <row r="28" spans="1:11" x14ac:dyDescent="0.25">
      <c r="A28" s="39"/>
      <c r="B28" s="41"/>
      <c r="C28" s="49"/>
    </row>
    <row r="29" spans="1:11" x14ac:dyDescent="0.25">
      <c r="A29" s="39"/>
      <c r="B29" s="41"/>
      <c r="C29" s="41"/>
    </row>
    <row r="36" spans="2:4" x14ac:dyDescent="0.25">
      <c r="B36" s="50"/>
      <c r="C36" s="50"/>
      <c r="D36" s="50"/>
    </row>
  </sheetData>
  <pageMargins left="0.75" right="0.75" top="1" bottom="1" header="0.5" footer="0.5"/>
  <pageSetup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Budget</vt:lpstr>
      <vt:lpstr>Fixed and Variable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Wills</dc:creator>
  <cp:lastModifiedBy>Havlíček Jan</cp:lastModifiedBy>
  <cp:lastPrinted>2000-02-23T23:30:51Z</cp:lastPrinted>
  <dcterms:created xsi:type="dcterms:W3CDTF">2000-02-23T13:18:03Z</dcterms:created>
  <dcterms:modified xsi:type="dcterms:W3CDTF">2023-09-10T11:56:47Z</dcterms:modified>
</cp:coreProperties>
</file>