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48" yWindow="12" windowWidth="3972" windowHeight="6612" tabRatio="775"/>
  </bookViews>
  <sheets>
    <sheet name="Project Assumptions" sheetId="1" r:id="rId1"/>
    <sheet name="Current Budget" sheetId="24" r:id="rId2"/>
    <sheet name="Refurb Budget" sheetId="25" r:id="rId3"/>
    <sheet name="IDC" sheetId="22" r:id="rId4"/>
    <sheet name="Capacity Adj Table" sheetId="26" r:id="rId5"/>
    <sheet name="Debt Amortization" sheetId="4" r:id="rId6"/>
    <sheet name="Book Income Statement" sheetId="6" r:id="rId7"/>
    <sheet name="Cash Flow Statement" sheetId="7" r:id="rId8"/>
    <sheet name="Start-up Cashflow" sheetId="23" r:id="rId9"/>
    <sheet name="Tax Calculations" sheetId="8" r:id="rId10"/>
    <sheet name="Depreciation" sheetId="14" r:id="rId11"/>
    <sheet name="Enron Pre-Tax Returns" sheetId="5" r:id="rId12"/>
    <sheet name="Balance_Sht" sheetId="13" r:id="rId13"/>
    <sheet name="Operations" sheetId="3" r:id="rId14"/>
    <sheet name="PPA Assumptions" sheetId="2" r:id="rId15"/>
    <sheet name="Maintenance Reserves" sheetId="12" r:id="rId16"/>
  </sheets>
  <definedNames>
    <definedName name="Asset_Mgt">'Project Assumptions'!$N$23</definedName>
    <definedName name="Ebitda" localSheetId="1">#REF!</definedName>
    <definedName name="Ebitda">'Book Income Statement'!$A$40:$AA$40</definedName>
    <definedName name="Fixed">'Project Assumptions'!$N$10</definedName>
    <definedName name="InterestExpense" localSheetId="1">#REF!</definedName>
    <definedName name="InterestExpense">'Debt Amortization'!$C$104:$AB$104</definedName>
    <definedName name="Labor">'Project Assumptions'!$N$11</definedName>
    <definedName name="Maint_Accrual">'Project Assumptions'!$N$9</definedName>
    <definedName name="OM_Fee">'Project Assumptions'!$N$22</definedName>
    <definedName name="Opcostescalation">'Project Assumptions'!$N$27</definedName>
    <definedName name="principal" localSheetId="1">#REF!</definedName>
    <definedName name="principal">'Debt Amortization'!$C$105:$AB$105</definedName>
    <definedName name="_xlnm.Print_Area" localSheetId="12">Balance_Sht!$F$1:$V$27</definedName>
    <definedName name="_xlnm.Print_Area" localSheetId="6">'Book Income Statement'!$C$1:$R$51</definedName>
    <definedName name="_xlnm.Print_Area" localSheetId="4">'Capacity Adj Table'!$A$1:$C$28</definedName>
    <definedName name="_xlnm.Print_Area" localSheetId="7">'Cash Flow Statement'!$D$1:$S$22</definedName>
    <definedName name="_xlnm.Print_Area" localSheetId="1">'Current Budget'!$A$6:$S$90</definedName>
    <definedName name="_xlnm.Print_Area" localSheetId="5">'Debt Amortization'!$C$1:$S$42</definedName>
    <definedName name="_xlnm.Print_Area" localSheetId="10">Depreciation!$A$1:$S$60</definedName>
    <definedName name="_xlnm.Print_Area" localSheetId="11">'Enron Pre-Tax Returns'!$A$1:$T$24</definedName>
    <definedName name="_xlnm.Print_Area" localSheetId="3">IDC!$A$1:$Z$55</definedName>
    <definedName name="_xlnm.Print_Area" localSheetId="15">'Maintenance Reserves'!$C$1:$AB$35</definedName>
    <definedName name="_xlnm.Print_Area" localSheetId="13">Operations!$C$1:$R$43</definedName>
    <definedName name="_xlnm.Print_Area" localSheetId="14">'PPA Assumptions'!$C$7:$R$21</definedName>
    <definedName name="_xlnm.Print_Area" localSheetId="0">'Project Assumptions'!$A$1:$N$68</definedName>
    <definedName name="_xlnm.Print_Area" localSheetId="2">'Refurb Budget'!$A$2:$I$57</definedName>
    <definedName name="_xlnm.Print_Area" localSheetId="8">'Start-up Cashflow'!$A$1:$AA$23</definedName>
    <definedName name="_xlnm.Print_Area" localSheetId="9">'Tax Calculations'!$A$1:$R$29</definedName>
    <definedName name="_xlnm.Print_Titles" localSheetId="12">Balance_Sht!$A:$E</definedName>
    <definedName name="_xlnm.Print_Titles" localSheetId="6">'Book Income Statement'!$A:$B</definedName>
    <definedName name="_xlnm.Print_Titles" localSheetId="7">'Cash Flow Statement'!$A:$C</definedName>
    <definedName name="_xlnm.Print_Titles" localSheetId="1">'Current Budget'!#REF!</definedName>
    <definedName name="_xlnm.Print_Titles" localSheetId="5">'Debt Amortization'!$A:$B</definedName>
    <definedName name="_xlnm.Print_Titles" localSheetId="10">Depreciation!$A:$B</definedName>
    <definedName name="_xlnm.Print_Titles" localSheetId="11">'Enron Pre-Tax Returns'!$A:$D</definedName>
    <definedName name="_xlnm.Print_Titles" localSheetId="3">IDC!$A:$A</definedName>
    <definedName name="_xlnm.Print_Titles" localSheetId="15">'Maintenance Reserves'!$A:$B</definedName>
    <definedName name="_xlnm.Print_Titles" localSheetId="13">Operations!$A:$B</definedName>
    <definedName name="_xlnm.Print_Titles" localSheetId="14">'PPA Assumptions'!$A:$B,'PPA Assumptions'!$1:$5</definedName>
    <definedName name="_xlnm.Print_Titles" localSheetId="8">'Start-up Cashflow'!$A:$B</definedName>
    <definedName name="_xlnm.Print_Titles" localSheetId="9">'Tax Calculations'!$A:$B</definedName>
    <definedName name="solver_adj" localSheetId="5" hidden="1">'Debt Amortization'!$B$119</definedName>
    <definedName name="solver_cvg" localSheetId="5" hidden="1">0.001</definedName>
    <definedName name="solver_drv" localSheetId="5" hidden="1">1</definedName>
    <definedName name="solver_est" localSheetId="5" hidden="1">1</definedName>
    <definedName name="solver_itr" localSheetId="5" hidden="1">100</definedName>
    <definedName name="solver_lhs1" localSheetId="5" hidden="1">'Debt Amortization'!$AH$133</definedName>
    <definedName name="solver_lin" localSheetId="5" hidden="1">2</definedName>
    <definedName name="solver_neg" localSheetId="5" hidden="1">2</definedName>
    <definedName name="solver_num" localSheetId="5" hidden="1">1</definedName>
    <definedName name="solver_nwt" localSheetId="5" hidden="1">1</definedName>
    <definedName name="solver_opt" localSheetId="5" hidden="1">'Debt Amortization'!$AH$125</definedName>
    <definedName name="solver_pre" localSheetId="5" hidden="1">0.000001</definedName>
    <definedName name="solver_rel1" localSheetId="5" hidden="1">2</definedName>
    <definedName name="solver_rhs1" localSheetId="5" hidden="1">0</definedName>
    <definedName name="solver_scl" localSheetId="5" hidden="1">2</definedName>
    <definedName name="solver_sho" localSheetId="5" hidden="1">2</definedName>
    <definedName name="solver_tim" localSheetId="5" hidden="1">100</definedName>
    <definedName name="solver_tol" localSheetId="5" hidden="1">0.05</definedName>
    <definedName name="solver_typ" localSheetId="5" hidden="1">3</definedName>
    <definedName name="solver_val" localSheetId="5" hidden="1">0</definedName>
    <definedName name="Variable">'Project Assumptions'!$N$8</definedName>
    <definedName name="wrn.test1." localSheetId="1" hidden="1">{"Income Statement",#N/A,FALSE,"CFMODEL";"Balance Sheet",#N/A,FALSE,"CFMODEL"}</definedName>
    <definedName name="wrn.test1." localSheetId="5" hidden="1">{"Income Statement",#N/A,FALSE,"CFMODEL";"Balance Sheet",#N/A,FALSE,"CFMODEL"}</definedName>
    <definedName name="wrn.test1." localSheetId="10" hidden="1">{"Income Statement",#N/A,FALSE,"CFMODEL";"Balance Sheet",#N/A,FALSE,"CFMODEL"}</definedName>
    <definedName name="wrn.test1." localSheetId="11" hidden="1">{"Income Statement",#N/A,FALSE,"CFMODEL";"Balance Sheet",#N/A,FALSE,"CFMODEL"}</definedName>
    <definedName name="wrn.test1." localSheetId="2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1" hidden="1">{"SourcesUses",#N/A,TRUE,"CFMODEL";"TransOverview",#N/A,TRUE,"CFMODEL"}</definedName>
    <definedName name="wrn.test2." localSheetId="5" hidden="1">{"SourcesUses",#N/A,TRUE,"CFMODEL";"TransOverview",#N/A,TRUE,"CFMODEL"}</definedName>
    <definedName name="wrn.test2." localSheetId="10" hidden="1">{"SourcesUses",#N/A,TRUE,"CFMODEL";"TransOverview",#N/A,TRUE,"CFMODEL"}</definedName>
    <definedName name="wrn.test2." localSheetId="11" hidden="1">{"SourcesUses",#N/A,TRUE,"CFMODEL";"TransOverview",#N/A,TRUE,"CFMODEL"}</definedName>
    <definedName name="wrn.test2." localSheetId="2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1" hidden="1">{"SourcesUses",#N/A,TRUE,#N/A;"TransOverview",#N/A,TRUE,"CFMODEL"}</definedName>
    <definedName name="wrn.test3." localSheetId="5" hidden="1">{"SourcesUses",#N/A,TRUE,#N/A;"TransOverview",#N/A,TRUE,"CFMODEL"}</definedName>
    <definedName name="wrn.test3." localSheetId="10" hidden="1">{"SourcesUses",#N/A,TRUE,#N/A;"TransOverview",#N/A,TRUE,"CFMODEL"}</definedName>
    <definedName name="wrn.test3." localSheetId="11" hidden="1">{"SourcesUses",#N/A,TRUE,#N/A;"TransOverview",#N/A,TRUE,"CFMODEL"}</definedName>
    <definedName name="wrn.test3." localSheetId="2" hidden="1">{"SourcesUses",#N/A,TRUE,#N/A;"TransOverview",#N/A,TRUE,"CFMODEL"}</definedName>
    <definedName name="wrn.test3." hidden="1">{"SourcesUses",#N/A,TRUE,#N/A;"TransOverview",#N/A,TRUE,"CFMODEL"}</definedName>
    <definedName name="wrn.test4." localSheetId="1" hidden="1">{"SourcesUses",#N/A,TRUE,"FundsFlow";"TransOverview",#N/A,TRUE,"FundsFlow"}</definedName>
    <definedName name="wrn.test4." localSheetId="5" hidden="1">{"SourcesUses",#N/A,TRUE,"FundsFlow";"TransOverview",#N/A,TRUE,"FundsFlow"}</definedName>
    <definedName name="wrn.test4." localSheetId="10" hidden="1">{"SourcesUses",#N/A,TRUE,"FundsFlow";"TransOverview",#N/A,TRUE,"FundsFlow"}</definedName>
    <definedName name="wrn.test4." localSheetId="11" hidden="1">{"SourcesUses",#N/A,TRUE,"FundsFlow";"TransOverview",#N/A,TRUE,"FundsFlow"}</definedName>
    <definedName name="wrn.test4." localSheetId="2" hidden="1">{"SourcesUses",#N/A,TRUE,"FundsFlow";"TransOverview",#N/A,TRUE,"FundsFlow"}</definedName>
    <definedName name="wrn.test4." hidden="1">{"SourcesUses",#N/A,TRUE,"FundsFlow";"TransOverview",#N/A,TRUE,"FundsFlow"}</definedName>
    <definedName name="Z_14FB3146_3CEF_11D2_B9CE_0060080D6A65_.wvu.PrintArea" localSheetId="6" hidden="1">'Book Income Statement'!$C$1:$AA$51</definedName>
    <definedName name="Z_14FB3146_3CEF_11D2_B9CE_0060080D6A65_.wvu.PrintArea" localSheetId="7" hidden="1">'Cash Flow Statement'!$D$1:$AB$68</definedName>
    <definedName name="Z_14FB3146_3CEF_11D2_B9CE_0060080D6A65_.wvu.PrintArea" localSheetId="5" hidden="1">'Debt Amortization'!$C$1:$AB$42</definedName>
    <definedName name="Z_14FB3146_3CEF_11D2_B9CE_0060080D6A65_.wvu.PrintArea" localSheetId="11" hidden="1">'Enron Pre-Tax Returns'!$E$1:$AC$40</definedName>
    <definedName name="Z_14FB3146_3CEF_11D2_B9CE_0060080D6A65_.wvu.PrintArea" localSheetId="15" hidden="1">'Maintenance Reserves'!$C$1:$AB$35</definedName>
    <definedName name="Z_14FB3146_3CEF_11D2_B9CE_0060080D6A65_.wvu.PrintArea" localSheetId="14" hidden="1">'PPA Assumptions'!$C$1:$AA$25</definedName>
    <definedName name="Z_14FB3146_3CEF_11D2_B9CE_0060080D6A65_.wvu.PrintArea" localSheetId="0" hidden="1">'Project Assumptions'!$A$2:$N$63</definedName>
    <definedName name="Z_14FB3146_3CEF_11D2_B9CE_0060080D6A65_.wvu.PrintArea" localSheetId="9" hidden="1">'Tax Calculations'!$C$1:$AA$61</definedName>
    <definedName name="Z_14FB3146_3CEF_11D2_B9CE_0060080D6A65_.wvu.PrintTitles" localSheetId="6" hidden="1">'Book Income Statement'!$A:$B</definedName>
    <definedName name="Z_14FB3146_3CEF_11D2_B9CE_0060080D6A65_.wvu.PrintTitles" localSheetId="7" hidden="1">'Cash Flow Statement'!$A:$C</definedName>
    <definedName name="Z_14FB3146_3CEF_11D2_B9CE_0060080D6A65_.wvu.PrintTitles" localSheetId="5" hidden="1">'Debt Amortization'!$A:$B</definedName>
    <definedName name="Z_14FB3146_3CEF_11D2_B9CE_0060080D6A65_.wvu.PrintTitles" localSheetId="11" hidden="1">'Enron Pre-Tax Returns'!$A:$D</definedName>
    <definedName name="Z_14FB3146_3CEF_11D2_B9CE_0060080D6A65_.wvu.PrintTitles" localSheetId="15" hidden="1">'Maintenance Reserves'!$A:$B</definedName>
    <definedName name="Z_14FB3146_3CEF_11D2_B9CE_0060080D6A65_.wvu.PrintTitles" localSheetId="13" hidden="1">Operations!$A:$B</definedName>
    <definedName name="Z_14FB3146_3CEF_11D2_B9CE_0060080D6A65_.wvu.PrintTitles" localSheetId="14" hidden="1">'PPA Assumptions'!$A:$B</definedName>
    <definedName name="Z_14FB3146_3CEF_11D2_B9CE_0060080D6A65_.wvu.PrintTitles" localSheetId="9" hidden="1">'Tax Calculations'!$A:$B</definedName>
    <definedName name="Z_14FB3146_3CEF_11D2_B9CE_0060080D6A65_.wvu.Rows" localSheetId="5" hidden="1">'Debt Amortization'!$140:$148</definedName>
    <definedName name="Z_14FB3146_3CEF_11D2_B9CE_0060080D6A65_.wvu.Rows" localSheetId="15" hidden="1">'Maintenance Reserves'!$16:$16,'Maintenance Reserves'!$28:$35</definedName>
    <definedName name="Z_14FB3146_3CEF_11D2_B9CE_0060080D6A65_.wvu.Rows" localSheetId="13" hidden="1">Operations!$51:$51</definedName>
    <definedName name="Z_14FB3146_3CEF_11D2_B9CE_0060080D6A65_.wvu.Rows" localSheetId="14" hidden="1">'PPA Assumptions'!$22:$22</definedName>
    <definedName name="Z_773475A7_2559_11D2_A5F6_0060080AEB13_.wvu.PrintArea" localSheetId="6" hidden="1">'Book Income Statement'!$C$1:$AA$51</definedName>
    <definedName name="Z_773475A7_2559_11D2_A5F6_0060080AEB13_.wvu.PrintArea" localSheetId="7" hidden="1">'Cash Flow Statement'!$D$1:$AB$23</definedName>
    <definedName name="Z_773475A7_2559_11D2_A5F6_0060080AEB13_.wvu.PrintArea" localSheetId="5" hidden="1">'Debt Amortization'!$C$1:$AR$108</definedName>
    <definedName name="Z_773475A7_2559_11D2_A5F6_0060080AEB13_.wvu.PrintArea" localSheetId="11" hidden="1">'Enron Pre-Tax Returns'!$A$1:$AC$90</definedName>
    <definedName name="Z_773475A7_2559_11D2_A5F6_0060080AEB13_.wvu.PrintArea" localSheetId="0" hidden="1">'Project Assumptions'!$A$2:$O$52</definedName>
    <definedName name="Z_773475A7_2559_11D2_A5F6_0060080AEB13_.wvu.PrintArea" localSheetId="9" hidden="1">'Tax Calculations'!$C$1:$AA$61</definedName>
    <definedName name="Z_773475A7_2559_11D2_A5F6_0060080AEB13_.wvu.PrintTitles" localSheetId="6" hidden="1">'Book Income Statement'!$A:$B</definedName>
    <definedName name="Z_773475A7_2559_11D2_A5F6_0060080AEB13_.wvu.PrintTitles" localSheetId="7" hidden="1">'Cash Flow Statement'!$A:$C</definedName>
    <definedName name="Z_773475A7_2559_11D2_A5F6_0060080AEB13_.wvu.PrintTitles" localSheetId="5" hidden="1">'Debt Amortization'!$A:$B</definedName>
    <definedName name="Z_773475A7_2559_11D2_A5F6_0060080AEB13_.wvu.PrintTitles" localSheetId="9" hidden="1">'Tax Calculations'!$A:$B</definedName>
    <definedName name="Z_773475A7_2559_11D2_A5F6_0060080AEB13_.wvu.Rows" localSheetId="5" hidden="1">'Debt Amortization'!$140:$148</definedName>
    <definedName name="Z_9D7575BF_255B_11D2_8267_00A0D1027254_.wvu.PrintArea" localSheetId="6" hidden="1">'Book Income Statement'!$C$1:$AA$51</definedName>
    <definedName name="Z_9D7575BF_255B_11D2_8267_00A0D1027254_.wvu.PrintArea" localSheetId="7" hidden="1">'Cash Flow Statement'!$D$1:$AB$68</definedName>
    <definedName name="Z_9D7575BF_255B_11D2_8267_00A0D1027254_.wvu.PrintArea" localSheetId="5" hidden="1">'Debt Amortization'!$C$1:$AB$42</definedName>
    <definedName name="Z_9D7575BF_255B_11D2_8267_00A0D1027254_.wvu.PrintArea" localSheetId="11" hidden="1">'Enron Pre-Tax Returns'!$E$1:$AC$40</definedName>
    <definedName name="Z_9D7575BF_255B_11D2_8267_00A0D1027254_.wvu.PrintArea" localSheetId="15" hidden="1">'Maintenance Reserves'!$C$1:$AB$35</definedName>
    <definedName name="Z_9D7575BF_255B_11D2_8267_00A0D1027254_.wvu.PrintArea" localSheetId="14" hidden="1">'PPA Assumptions'!$C$1:$AA$25</definedName>
    <definedName name="Z_9D7575BF_255B_11D2_8267_00A0D1027254_.wvu.PrintArea" localSheetId="0" hidden="1">'Project Assumptions'!$A$2:$N$63</definedName>
    <definedName name="Z_9D7575BF_255B_11D2_8267_00A0D1027254_.wvu.PrintArea" localSheetId="9" hidden="1">'Tax Calculations'!$C$1:$AA$61</definedName>
    <definedName name="Z_9D7575BF_255B_11D2_8267_00A0D1027254_.wvu.PrintTitles" localSheetId="6" hidden="1">'Book Income Statement'!$A:$B</definedName>
    <definedName name="Z_9D7575BF_255B_11D2_8267_00A0D1027254_.wvu.PrintTitles" localSheetId="7" hidden="1">'Cash Flow Statement'!$A:$C</definedName>
    <definedName name="Z_9D7575BF_255B_11D2_8267_00A0D1027254_.wvu.PrintTitles" localSheetId="5" hidden="1">'Debt Amortization'!$A:$B</definedName>
    <definedName name="Z_9D7575BF_255B_11D2_8267_00A0D1027254_.wvu.PrintTitles" localSheetId="11" hidden="1">'Enron Pre-Tax Returns'!$A:$D</definedName>
    <definedName name="Z_9D7575BF_255B_11D2_8267_00A0D1027254_.wvu.PrintTitles" localSheetId="15" hidden="1">'Maintenance Reserves'!$A:$B</definedName>
    <definedName name="Z_9D7575BF_255B_11D2_8267_00A0D1027254_.wvu.PrintTitles" localSheetId="13" hidden="1">Operations!$A:$B</definedName>
    <definedName name="Z_9D7575BF_255B_11D2_8267_00A0D1027254_.wvu.PrintTitles" localSheetId="14" hidden="1">'PPA Assumptions'!$A:$B</definedName>
    <definedName name="Z_9D7575BF_255B_11D2_8267_00A0D1027254_.wvu.PrintTitles" localSheetId="9" hidden="1">'Tax Calculations'!$A:$B</definedName>
    <definedName name="Z_9D7575BF_255B_11D2_8267_00A0D1027254_.wvu.Rows" localSheetId="5" hidden="1">'Debt Amortization'!$140:$148</definedName>
    <definedName name="Z_9D7575BF_255B_11D2_8267_00A0D1027254_.wvu.Rows" localSheetId="15" hidden="1">'Maintenance Reserves'!$16:$16,'Maintenance Reserves'!$28:$35</definedName>
    <definedName name="Z_9D7575BF_255B_11D2_8267_00A0D1027254_.wvu.Rows" localSheetId="13" hidden="1">Operations!$51:$51</definedName>
    <definedName name="Z_9D7575BF_255B_11D2_8267_00A0D1027254_.wvu.Rows" localSheetId="14" hidden="1">'PPA Assumptions'!$22:$22</definedName>
    <definedName name="ZA0" localSheetId="7">"Crystal Ball Data : Ver. 4.0"</definedName>
    <definedName name="ZA0" localSheetId="5">"Crystal Ball Data : Ver. 4.0"</definedName>
    <definedName name="ZA0" localSheetId="11">"Crystal Ball Data : Ver. 4.0"</definedName>
    <definedName name="ZA0" localSheetId="0">"Crystal Ball Data : Ver. 4.0"</definedName>
    <definedName name="ZA0A" localSheetId="7">0+0</definedName>
    <definedName name="ZA0A" localSheetId="5">1+125</definedName>
    <definedName name="ZA0A" localSheetId="11">0+0</definedName>
    <definedName name="ZA0A" localSheetId="0">16+123</definedName>
    <definedName name="ZA0C" localSheetId="7">0+0</definedName>
    <definedName name="ZA0C" localSheetId="5">0+0</definedName>
    <definedName name="ZA0C" localSheetId="11">0+0</definedName>
    <definedName name="ZA0C" localSheetId="0">0+0</definedName>
    <definedName name="ZA0F" localSheetId="7">40+149</definedName>
    <definedName name="ZA0F" localSheetId="5">0+0</definedName>
    <definedName name="ZA0F" localSheetId="11">20+124</definedName>
    <definedName name="ZA0F" localSheetId="0">1+100</definedName>
    <definedName name="ZA0T" localSheetId="7">32025820+0</definedName>
    <definedName name="ZA0T" localSheetId="5">392421882+0</definedName>
    <definedName name="ZA0T" localSheetId="11">392468449+0</definedName>
    <definedName name="ZA0T" localSheetId="0">59579771+0</definedName>
    <definedName name="_ZA100" localSheetId="5">'Debt Amortization'!$E$132+"a=d75"+5+'Debt Amortization'!$E$133+0+1+'Debt Amortization'!$D$134+0+0.1</definedName>
    <definedName name="_ZA100" localSheetId="0">'Project Assumptions'!$B$85+"b  Balance of Plant Costs (x160%)"+5+'Project Assumptions'!$F$101+0+0.8+'Project Assumptions'!$G$101+0+1+'Project Assumptions'!$H$101+0+1.25</definedName>
    <definedName name="_ZA101" localSheetId="0">'Project Assumptions'!$B$86+"b  Interconnection Costs-Gas Only"+5+'Project Assumptions'!$F$102+0+0.8+'Project Assumptions'!$G$102+0+1+'Project Assumptions'!$H$102+0+1.2</definedName>
    <definedName name="_ZA102" localSheetId="0">'Project Assumptions'!$B$87+"b  Spare Parts Inventory"+5+'Project Assumptions'!$F$103+0+0.85+'Project Assumptions'!$G$103+0+1+'Project Assumptions'!$H$103+0+1</definedName>
    <definedName name="_ZA103" localSheetId="0">'Project Assumptions'!$B$88+"b  Project Development Costs"+5+'Project Assumptions'!$F$104+0+0.9+'Project Assumptions'!$G$104+0+1+'Project Assumptions'!$H$104+0+1.1</definedName>
    <definedName name="_ZA104" localSheetId="0">'Project Assumptions'!$B$89+"b  Startup Costs"+5+'Project Assumptions'!$F$105+0+0.85+'Project Assumptions'!$G$105+0+1+'Project Assumptions'!$H$105+0+1.14999999999999</definedName>
    <definedName name="_ZA105" localSheetId="0">'Project Assumptions'!$B$93+"b  Construction Insurance"+5+'Project Assumptions'!$F$109+0+0.85+'Project Assumptions'!$G$109+0+1+'Project Assumptions'!$H$109+0+1.14999999999999</definedName>
    <definedName name="_ZA106" localSheetId="0">'Project Assumptions'!$B$94+"b  Organizational Expenses"+5+'Project Assumptions'!$F$110+0+0.85+'Project Assumptions'!$G$110+0+1+'Project Assumptions'!$H$110+0+1.14999999999999</definedName>
    <definedName name="_ZA115" localSheetId="0">'Project Assumptions'!$B$90+"b  Partnership Counsel"+5+'Project Assumptions'!$F$106+0+0.6+'Project Assumptions'!$G$106+0+1+'Project Assumptions'!$H$106+0+1.1</definedName>
    <definedName name="_ZA116" localSheetId="0">'Project Assumptions'!$B$91+"b  Local Counsel"+5+'Project Assumptions'!$F$107+0+0.9+'Project Assumptions'!$G$107+0+1+'Project Assumptions'!$H$107+0+1.1</definedName>
    <definedName name="_ZA117" localSheetId="0">'Project Assumptions'!$B$92+"b  Accounting Fees"+5+'Project Assumptions'!$F$108+0+0.9+'Project Assumptions'!$G$108+0+1+'Project Assumptions'!$H$108+0+1.1</definedName>
    <definedName name="_ZA118" localSheetId="0">'Project Assumptions'!$B$95+"b  Lender's Engineer"+5+'Project Assumptions'!$F$111+0+0.9+'Project Assumptions'!$G$111+0+1+'Project Assumptions'!$H$111+0+1.1</definedName>
    <definedName name="_ZA119" localSheetId="0">'Project Assumptions'!$B$96+"b  Lender's Counsel"+5+'Project Assumptions'!$F$112+0+0.9+'Project Assumptions'!$G$112+0+1+'Project Assumptions'!$H$112+0+1.1</definedName>
    <definedName name="_ZA120" localSheetId="0">'Project Assumptions'!$B$97+"bO&amp;M - Variable"+5+'Project Assumptions'!$F$113+0+0.9+'Project Assumptions'!$G$113+0+1+'Project Assumptions'!$H$113+0+1.1</definedName>
    <definedName name="_ZA121" localSheetId="0">'Project Assumptions'!$B$98+"bO&amp;M - Fixed (includes labor)"+5+'Project Assumptions'!$F$114+0+1+'Project Assumptions'!$G$114+0+1+'Project Assumptions'!$H$114+0+1.25</definedName>
    <definedName name="_ZA122" localSheetId="0">'Project Assumptions'!$B$99+"bAnnual Overhaul Accrual ($000)"+5+'Project Assumptions'!$F$115+0+0.9+'Project Assumptions'!$G$115+0+1+'Project Assumptions'!$H$115+0+1.1</definedName>
    <definedName name="_ZA123" localSheetId="0">'Project Assumptions'!$B$101+"AAnnual Peak Operating Hours"+5+'Project Assumptions'!$C$101+0+1+'Project Assumptions'!$D$99+0+0.25+1+"+"</definedName>
    <definedName name="_ZF100" localSheetId="7">'Cash Flow Statement'!$D$22+"After Tax Cash Flow - 1"+""+41+41+440+57+18+341+476+4+3+"-"+"+"+2.6+50+2</definedName>
    <definedName name="_ZF100" localSheetId="11">'Enron Pre-Tax Returns'!#REF!+"NPV - 1"+""+41+41+440+0+0+0+0+4+3+"-"+"+"+2.6+50+2</definedName>
    <definedName name="_ZF100" localSheetId="0">'Project Assumptions'!$C$34+"=a24"+""+33+33+441+0+0+0+0+4+3+"-"+"+"+2.6+50+2</definedName>
    <definedName name="_ZF101" localSheetId="7">'Cash Flow Statement'!$E$22+"After Tax Cash Flow - 2"+""+41+41+440+72+40+356+498+4+3+"-"+"+"+2.6+50+2</definedName>
    <definedName name="_ZF101" localSheetId="11">'Enron Pre-Tax Returns'!#REF!+"NPV - 2"+""+41+41+440+0+0+0+0+4+3+"-"+"+"+2.6+50+2</definedName>
    <definedName name="_ZF102" localSheetId="7">'Cash Flow Statement'!$F$22+"After Tax Cash Flow - 3"+""+41+41+440+87+62+371+520+4+3+"-"+"+"+2.6+50+2</definedName>
    <definedName name="_ZF102" localSheetId="11">'Enron Pre-Tax Returns'!#REF!+"NPV - 3"+""+41+41+440+0+0+0+0+4+3+"-"+"+"+2.6+50+2</definedName>
    <definedName name="_ZF103" localSheetId="7">'Cash Flow Statement'!$G$22+"After Tax Cash Flow - 4"+""+41+41+440+102+84+386+542+4+3+"-"+"+"+2.6+50+2</definedName>
    <definedName name="_ZF103" localSheetId="11">'Enron Pre-Tax Returns'!#REF!+"NPV - 4"+""+41+41+440+0+0+0+0+4+3+"-"+"+"+2.6+50+2</definedName>
    <definedName name="_ZF104" localSheetId="7">'Cash Flow Statement'!$H$22+"After Tax Cash Flow - 5"+""+41+41+440+117+106+401+564+4+3+"-"+"+"+2.6+50+2</definedName>
    <definedName name="_ZF104" localSheetId="11">'Enron Pre-Tax Returns'!#REF!+"NPV - 5"+""+41+41+440+0+0+0+0+4+3+"-"+"+"+2.6+50+2</definedName>
    <definedName name="_ZF105" localSheetId="7">'Cash Flow Statement'!$I$22+"After Tax Cash Flow - 6"+""+41+41+440+132+128+416+586+4+3+"-"+"+"+2.6+50+2</definedName>
    <definedName name="_ZF105" localSheetId="11">'Enron Pre-Tax Returns'!#REF!+"NPV - 6"+""+41+41+440+0+0+0+0+4+3+"-"+"+"+2.6+50+2</definedName>
    <definedName name="_ZF106" localSheetId="7">'Cash Flow Statement'!$J$22+"After Tax Cash Flow - 7"+""+41+41+440+147+150+431+608+4+3+"-"+"+"+2.6+50+2</definedName>
    <definedName name="_ZF106" localSheetId="11">'Enron Pre-Tax Returns'!#REF!+"NPV - 7"+""+41+41+440+0+0+0+0+4+3+"-"+"+"+2.6+50+2</definedName>
    <definedName name="_ZF107" localSheetId="7">'Cash Flow Statement'!$K$22+"After Tax Cash Flow - 7"+""+41+41+440+0+0+0+0+4+3+"-"+"+"+2.6+50+2</definedName>
    <definedName name="_ZF107" localSheetId="11">'Enron Pre-Tax Returns'!#REF!+"NPV - 8"+""+41+41+440+0+0+0+0+4+3+"-"+"+"+2.6+50+2</definedName>
    <definedName name="_ZF108" localSheetId="7">'Cash Flow Statement'!$L$22+"After Tax Cash Flow - 8"+""+41+41+440+0+0+0+0+4+3+"-"+"+"+2.6+50+2</definedName>
    <definedName name="_ZF108" localSheetId="11">'Enron Pre-Tax Returns'!#REF!+"NPV - 9"+""+41+41+440+0+0+0+0+4+3+"-"+"+"+2.6+50+2</definedName>
    <definedName name="_ZF109" localSheetId="7">'Cash Flow Statement'!$M$22+"After Tax Cash Flow - 9"+""+41+41+440+0+0+0+0+4+3+"-"+"+"+2.6+50+2</definedName>
    <definedName name="_ZF109" localSheetId="11">'Enron Pre-Tax Returns'!#REF!+"NPV - 10"+""+41+41+440+0+0+0+0+4+3+"-"+"+"+2.6+50+2</definedName>
    <definedName name="_ZF110" localSheetId="7">'Cash Flow Statement'!$N$22+"After Tax Cash Flow - 10"+""+41+41+440+0+0+0+0+4+3+"-"+"+"+2.6+50+2</definedName>
    <definedName name="_ZF110" localSheetId="11">'Enron Pre-Tax Returns'!#REF!+"NPV - 11"+""+41+41+440+0+0+0+0+4+3+"-"+"+"+2.6+50+2</definedName>
    <definedName name="_ZF111" localSheetId="7">'Cash Flow Statement'!$O$22+"After Tax Cash Flow - 11"+""+41+41+440+0+0+0+0+4+3+"-"+"+"+2.6+50+2</definedName>
    <definedName name="_ZF111" localSheetId="11">'Enron Pre-Tax Returns'!#REF!+"NPV - 12"+""+41+41+440+0+0+0+0+4+3+"-"+"+"+2.6+50+2</definedName>
    <definedName name="_ZF112" localSheetId="7">'Cash Flow Statement'!$P$22+"After Tax Cash Flow - 12"+""+41+41+440+0+0+0+0+4+3+"-"+"+"+2.6+50+2</definedName>
    <definedName name="_ZF112" localSheetId="11">'Enron Pre-Tax Returns'!#REF!+"NPV - 13"+""+41+41+440+0+0+0+0+4+3+"-"+"+"+2.6+50+2</definedName>
    <definedName name="_ZF113" localSheetId="7">'Cash Flow Statement'!$Q$22+"After Tax Cash Flow - 13"+""+41+41+440+0+0+0+0+4+3+"-"+"+"+2.6+50+2</definedName>
    <definedName name="_ZF113" localSheetId="11">'Enron Pre-Tax Returns'!#REF!+"NPV - 14"+""+41+41+440+0+0+0+0+4+3+"-"+"+"+2.6+50+2</definedName>
    <definedName name="_ZF114" localSheetId="7">'Cash Flow Statement'!$R$22+"After Tax Cash Flow - 14"+""+41+41+440+0+0+0+0+4+3+"-"+"+"+2.6+50+2</definedName>
    <definedName name="_ZF114" localSheetId="11">'Enron Pre-Tax Returns'!#REF!+"NPV - 15"+""+41+41+440+0+0+0+0+4+3+"-"+"+"+2.6+50+2</definedName>
    <definedName name="_ZF115" localSheetId="7">'Cash Flow Statement'!$S$22+"After Tax Cash Flow - 15"+""+41+41+440+0+0+0+0+4+3+"-"+"+"+2.6+50+2</definedName>
    <definedName name="_ZF115" localSheetId="11">'Enron Pre-Tax Returns'!#REF!+"NPV - 16"+""+41+41+440+0+0+0+0+4+3+"-"+"+"+2.6+50+2</definedName>
    <definedName name="_ZF116" localSheetId="7">'Cash Flow Statement'!$T$22+"After Tax Cash Flow - 16"+""+41+41+440+0+0+0+0+4+3+"-"+"+"+2.6+50+2</definedName>
    <definedName name="_ZF116" localSheetId="11">'Enron Pre-Tax Returns'!#REF!+"NPV - 17"+""+41+41+440+0+0+0+0+4+3+"-"+"+"+2.6+50+2</definedName>
    <definedName name="_ZF117" localSheetId="7">'Cash Flow Statement'!$U$22+"After Tax Cash Flow - 17"+""+41+41+440+0+0+0+0+4+3+"-"+"+"+2.6+50+2</definedName>
    <definedName name="_ZF117" localSheetId="11">'Enron Pre-Tax Returns'!#REF!+"NPV - 18"+""+41+41+440+0+0+0+0+4+3+"-"+"+"+2.6+50+2</definedName>
    <definedName name="_ZF118" localSheetId="7">'Cash Flow Statement'!$V$22+"After Tax Cash Flow - 18"+""+41+41+440+0+0+0+0+4+3+"-"+"+"+2.6+50+2</definedName>
    <definedName name="_ZF118" localSheetId="11">'Enron Pre-Tax Returns'!#REF!+"NPV - 19"+""+41+41+440+0+0+0+0+4+3+"-"+"+"+2.6+50+2</definedName>
    <definedName name="_ZF119" localSheetId="7">'Cash Flow Statement'!$W$22+"After Tax Cash Flow - 19"+""+41+41+440+0+0+0+0+4+3+"-"+"+"+2.6+50+2</definedName>
    <definedName name="_ZF119" localSheetId="11">'Enron Pre-Tax Returns'!#REF!+"NPV - 20"+""+41+41+440+0+0+0+0+4+3+"-"+"+"+2.6+50+2</definedName>
    <definedName name="_ZF125" localSheetId="7">'Cash Flow Statement'!$D$27+"Debt Need - 1"+""+33+33+440+0+0+0+0+4+3+"-"+"+"+2.6+50+2</definedName>
    <definedName name="_ZF126" localSheetId="7">'Cash Flow Statement'!$E$27+"Debt Need - 2"+""+33+33+440+0+0+0+0+4+3+"-"+"+"+2.6+50+2</definedName>
    <definedName name="_ZF127" localSheetId="7">'Cash Flow Statement'!$F$27+"Debt Need - 3"+""+33+33+440+0+0+0+0+4+3+"-"+"+"+2.6+50+2</definedName>
    <definedName name="_ZF128" localSheetId="7">'Cash Flow Statement'!$G$27+"Debt Need - 4"+""+33+33+440+0+0+0+0+4+3+"-"+"+"+2.6+50+2</definedName>
    <definedName name="_ZF129" localSheetId="7">'Cash Flow Statement'!$H$27+"Debt Need - 5"+""+33+33+440+0+0+0+0+4+3+"-"+"+"+2.6+50+2</definedName>
    <definedName name="_ZF130" localSheetId="7">'Cash Flow Statement'!$I$27+"Debt Need - 6"+""+33+33+440+0+0+0+0+4+3+"-"+"+"+2.6+50+2</definedName>
    <definedName name="_ZF131" localSheetId="7">'Cash Flow Statement'!$J$27+"Debt Need - 7"+""+33+33+440+0+0+0+0+4+3+"-"+"+"+2.6+50+2</definedName>
    <definedName name="_ZF132" localSheetId="7">'Cash Flow Statement'!$K$27+"Debt Need - 8"+""+33+33+440+0+0+0+0+4+3+"-"+"+"+2.6+50+2</definedName>
    <definedName name="_ZF133" localSheetId="7">'Cash Flow Statement'!$L$27+"Debt Need - 9"+""+33+33+440+0+0+0+0+4+3+"-"+"+"+2.6+50+2</definedName>
    <definedName name="_ZF134" localSheetId="7">'Cash Flow Statement'!$M$27+"Debt Need - 10"+""+33+33+440+0+0+0+0+4+3+"-"+"+"+2.6+50+2</definedName>
    <definedName name="_ZF135" localSheetId="7">'Cash Flow Statement'!$N$27+"Debt Need - 11"+""+33+33+440+0+0+0+0+4+3+"-"+"+"+2.6+50+2</definedName>
    <definedName name="_ZF136" localSheetId="7">'Cash Flow Statement'!$O$27+"Debt Need - 12"+""+33+33+440+0+0+0+0+4+3+"-"+"+"+2.6+50+2</definedName>
    <definedName name="_ZF137" localSheetId="7">'Cash Flow Statement'!$P$27+"Debt Need - 13"+""+33+33+440+0+0+0+0+4+3+"-"+"+"+2.6+50+2</definedName>
    <definedName name="_ZF138" localSheetId="7">'Cash Flow Statement'!$Q$27+"Debt Need - 14"+""+33+33+440+0+0+0+0+4+3+"-"+"+"+2.6+50+2</definedName>
    <definedName name="_ZF139" localSheetId="7">'Cash Flow Statement'!$R$27+"Debt Need - 15"+""+33+33+440+0+0+0+0+4+3+"-"+"+"+2.6+50+2</definedName>
    <definedName name="_ZF140" localSheetId="7">'Cash Flow Statement'!$S$27+"Debt Need - 16"+""+33+33+440+0+0+0+0+4+3+"-"+"+"+2.6+50+2</definedName>
    <definedName name="_ZF141" localSheetId="7">'Cash Flow Statement'!$T$27+"Debt Need - 17"+""+33+33+440+0+0+0+0+4+3+"-"+"+"+2.6+50+2</definedName>
    <definedName name="_ZF142" localSheetId="7">'Cash Flow Statement'!$U$27+"Debt Need - 18"+""+33+33+440+0+0+0+0+4+3+"-"+"+"+2.6+50+2</definedName>
    <definedName name="_ZF143" localSheetId="7">'Cash Flow Statement'!$V$27+"Debt Need - 19"+""+33+33+440+0+0+0+0+4+3+"-"+"+"+2.6+50+2</definedName>
    <definedName name="_ZF144" localSheetId="7">'Cash Flow Statement'!$W$27+"Debt Need - 20"+""+33+33+440+0+0+0+0+4+3+"-"+"+"+2.6+50+2</definedName>
  </definedNames>
  <calcPr calcId="0" fullCalcOnLoad="1"/>
  <customWorkbookViews>
    <customWorkbookView name="Bryan Garrett - Personal View" guid="{9D7575BF-255B-11D2-8267-00A0D1027254}" autoUpdate="1" mergeInterval="30" personalView="1" maximized="1" windowWidth="1020" windowHeight="621" tabRatio="850" activeSheetId="1"/>
    <customWorkbookView name="slewis - Personal View" guid="{773475A7-2559-11D2-A5F6-0060080AEB13}" mergeInterval="0" personalView="1" maximized="1" windowWidth="1020" windowHeight="554" activeSheetId="1"/>
    <customWorkbookView name="Kevin Ruscitti - Personal View" guid="{14FB3146-3CEF-11D2-B9CE-0060080D6A65}" mergeInterval="0" personalView="1" maximized="1" windowWidth="1020" windowHeight="606" tabRatio="850" activeSheetId="1"/>
  </customWorkbookViews>
</workbook>
</file>

<file path=xl/calcChain.xml><?xml version="1.0" encoding="utf-8"?>
<calcChain xmlns="http://schemas.openxmlformats.org/spreadsheetml/2006/main">
  <c r="A1" i="13" l="1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A1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C17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A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A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A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A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A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A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A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A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A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B82" i="6"/>
  <c r="C82" i="6"/>
  <c r="D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C6" i="26"/>
  <c r="A7" i="26"/>
  <c r="C7" i="26"/>
  <c r="A8" i="26"/>
  <c r="C8" i="26"/>
  <c r="A9" i="26"/>
  <c r="C9" i="26"/>
  <c r="A10" i="26"/>
  <c r="C10" i="26"/>
  <c r="A11" i="26"/>
  <c r="C11" i="26"/>
  <c r="A12" i="26"/>
  <c r="C12" i="26"/>
  <c r="A13" i="26"/>
  <c r="C13" i="26"/>
  <c r="A14" i="26"/>
  <c r="C14" i="26"/>
  <c r="A15" i="26"/>
  <c r="C15" i="26"/>
  <c r="A16" i="26"/>
  <c r="C16" i="26"/>
  <c r="A17" i="26"/>
  <c r="C17" i="26"/>
  <c r="A18" i="26"/>
  <c r="C18" i="26"/>
  <c r="A19" i="26"/>
  <c r="C19" i="26"/>
  <c r="A20" i="26"/>
  <c r="C20" i="26"/>
  <c r="A21" i="26"/>
  <c r="C21" i="26"/>
  <c r="A22" i="26"/>
  <c r="C22" i="26"/>
  <c r="A23" i="26"/>
  <c r="C23" i="26"/>
  <c r="A24" i="26"/>
  <c r="C24" i="26"/>
  <c r="A25" i="26"/>
  <c r="C25" i="26"/>
  <c r="A26" i="26"/>
  <c r="C26" i="26"/>
  <c r="A1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C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S7" i="24"/>
  <c r="S8" i="24"/>
  <c r="S9" i="24"/>
  <c r="S10" i="24"/>
  <c r="S11" i="24"/>
  <c r="S12" i="24"/>
  <c r="K13" i="24"/>
  <c r="S13" i="24"/>
  <c r="K14" i="24"/>
  <c r="S14" i="24"/>
  <c r="K15" i="24"/>
  <c r="S15" i="24"/>
  <c r="K16" i="24"/>
  <c r="S16" i="24"/>
  <c r="H17" i="24"/>
  <c r="K17" i="24"/>
  <c r="S17" i="24"/>
  <c r="K18" i="24"/>
  <c r="S18" i="24"/>
  <c r="K19" i="24"/>
  <c r="S19" i="24"/>
  <c r="K20" i="24"/>
  <c r="O20" i="24"/>
  <c r="Q20" i="24"/>
  <c r="S20" i="24"/>
  <c r="K21" i="24"/>
  <c r="O21" i="24"/>
  <c r="Q21" i="24"/>
  <c r="S21" i="24"/>
  <c r="O22" i="24"/>
  <c r="Q22" i="24"/>
  <c r="S22" i="24"/>
  <c r="K25" i="24"/>
  <c r="Q25" i="24"/>
  <c r="S25" i="24"/>
  <c r="K26" i="24"/>
  <c r="Q26" i="24"/>
  <c r="S26" i="24"/>
  <c r="K27" i="24"/>
  <c r="Q27" i="24"/>
  <c r="S27" i="24"/>
  <c r="O28" i="24"/>
  <c r="Q28" i="24"/>
  <c r="S28" i="24"/>
  <c r="F29" i="24"/>
  <c r="F30" i="24"/>
  <c r="H30" i="24"/>
  <c r="K30" i="24"/>
  <c r="O30" i="24"/>
  <c r="Q30" i="24"/>
  <c r="S30" i="24"/>
  <c r="F31" i="24"/>
  <c r="H31" i="24"/>
  <c r="K31" i="24"/>
  <c r="O31" i="24"/>
  <c r="Q31" i="24"/>
  <c r="S31" i="24"/>
  <c r="K34" i="24"/>
  <c r="S34" i="24"/>
  <c r="H35" i="24"/>
  <c r="K35" i="24"/>
  <c r="S35" i="24"/>
  <c r="H36" i="24"/>
  <c r="K36" i="24"/>
  <c r="S36" i="24"/>
  <c r="F37" i="24"/>
  <c r="H37" i="24"/>
  <c r="K37" i="24"/>
  <c r="O37" i="24"/>
  <c r="Q37" i="24"/>
  <c r="S37" i="24"/>
  <c r="C42" i="24"/>
  <c r="D42" i="24"/>
  <c r="K42" i="24"/>
  <c r="S42" i="24"/>
  <c r="C43" i="24"/>
  <c r="D43" i="24"/>
  <c r="H43" i="24"/>
  <c r="K43" i="24"/>
  <c r="O43" i="24"/>
  <c r="S43" i="24"/>
  <c r="C44" i="24"/>
  <c r="D44" i="24"/>
  <c r="K44" i="24"/>
  <c r="S44" i="24"/>
  <c r="C45" i="24"/>
  <c r="D45" i="24"/>
  <c r="F45" i="24"/>
  <c r="H45" i="24"/>
  <c r="K45" i="24"/>
  <c r="O45" i="24"/>
  <c r="Q45" i="24"/>
  <c r="S45" i="24"/>
  <c r="K48" i="24"/>
  <c r="S48" i="24"/>
  <c r="K49" i="24"/>
  <c r="S49" i="24"/>
  <c r="K50" i="24"/>
  <c r="S50" i="24"/>
  <c r="C51" i="24"/>
  <c r="F51" i="24"/>
  <c r="H51" i="24"/>
  <c r="K51" i="24"/>
  <c r="O51" i="24"/>
  <c r="Q51" i="24"/>
  <c r="S51" i="24"/>
  <c r="F53" i="24"/>
  <c r="H53" i="24"/>
  <c r="K53" i="24"/>
  <c r="O53" i="24"/>
  <c r="Q53" i="24"/>
  <c r="S53" i="24"/>
  <c r="K58" i="24"/>
  <c r="S58" i="24"/>
  <c r="K59" i="24"/>
  <c r="S59" i="24"/>
  <c r="K60" i="24"/>
  <c r="S60" i="24"/>
  <c r="H61" i="24"/>
  <c r="K61" i="24"/>
  <c r="O61" i="24"/>
  <c r="Q61" i="24"/>
  <c r="S61" i="24"/>
  <c r="F64" i="24"/>
  <c r="H64" i="24"/>
  <c r="K64" i="24"/>
  <c r="O64" i="24"/>
  <c r="Q64" i="24"/>
  <c r="S64" i="24"/>
  <c r="K68" i="24"/>
  <c r="S68" i="24"/>
  <c r="K69" i="24"/>
  <c r="S69" i="24"/>
  <c r="K70" i="24"/>
  <c r="S70" i="24"/>
  <c r="K71" i="24"/>
  <c r="S71" i="24"/>
  <c r="K72" i="24"/>
  <c r="S72" i="24"/>
  <c r="K73" i="24"/>
  <c r="Q73" i="24"/>
  <c r="S73" i="24"/>
  <c r="K74" i="24"/>
  <c r="S74" i="24"/>
  <c r="F75" i="24"/>
  <c r="H75" i="24"/>
  <c r="K75" i="24"/>
  <c r="O75" i="24"/>
  <c r="Q75" i="24"/>
  <c r="S75" i="24"/>
  <c r="K78" i="24"/>
  <c r="S78" i="24"/>
  <c r="K79" i="24"/>
  <c r="K80" i="24"/>
  <c r="S80" i="24"/>
  <c r="H81" i="24"/>
  <c r="K81" i="24"/>
  <c r="O81" i="24"/>
  <c r="Q81" i="24"/>
  <c r="S81" i="24"/>
  <c r="F82" i="24"/>
  <c r="H82" i="24"/>
  <c r="K82" i="24"/>
  <c r="O82" i="24"/>
  <c r="Q82" i="24"/>
  <c r="S82" i="24"/>
  <c r="H84" i="24"/>
  <c r="K84" i="24"/>
  <c r="O84" i="24"/>
  <c r="Q84" i="24"/>
  <c r="S84" i="24"/>
  <c r="H86" i="24"/>
  <c r="O86" i="24"/>
  <c r="Q86" i="24"/>
  <c r="H88" i="24"/>
  <c r="O88" i="24"/>
  <c r="Q88" i="24"/>
  <c r="B90" i="24"/>
  <c r="O90" i="24"/>
  <c r="Q90" i="24"/>
  <c r="H103" i="24"/>
  <c r="H105" i="24"/>
  <c r="H107" i="24"/>
  <c r="A1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D40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B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D55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D68" i="4"/>
  <c r="C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B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E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B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B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C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A1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B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B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B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B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B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B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B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B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B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B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B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B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B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B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B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B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B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A1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B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B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B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B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B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B22" i="5"/>
  <c r="B23" i="5"/>
  <c r="B24" i="5"/>
  <c r="B25" i="5"/>
  <c r="A1" i="22"/>
  <c r="D4" i="22"/>
  <c r="E4" i="22"/>
  <c r="F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W4" i="22"/>
  <c r="X4" i="22"/>
  <c r="Y4" i="22"/>
  <c r="Z4" i="22"/>
  <c r="E6" i="22"/>
  <c r="F6" i="22"/>
  <c r="G6" i="22"/>
  <c r="H6" i="22"/>
  <c r="I6" i="22"/>
  <c r="J6" i="22"/>
  <c r="X6" i="22"/>
  <c r="Y6" i="22"/>
  <c r="W9" i="22"/>
  <c r="AB9" i="22"/>
  <c r="AB11" i="22"/>
  <c r="K13" i="22"/>
  <c r="Q13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I15" i="22"/>
  <c r="J16" i="22"/>
  <c r="K16" i="22"/>
  <c r="L16" i="22"/>
  <c r="M16" i="22"/>
  <c r="N16" i="22"/>
  <c r="O16" i="22"/>
  <c r="P16" i="22"/>
  <c r="Q16" i="22"/>
  <c r="R16" i="22"/>
  <c r="S16" i="22"/>
  <c r="T16" i="22"/>
  <c r="C17" i="22"/>
  <c r="D17" i="22"/>
  <c r="E17" i="22"/>
  <c r="F17" i="22"/>
  <c r="G17" i="22"/>
  <c r="H17" i="22"/>
  <c r="I17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B23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Z30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Z31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W36" i="22"/>
  <c r="B38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I48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1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1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A1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R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G8" i="1"/>
  <c r="N8" i="1"/>
  <c r="B9" i="1"/>
  <c r="C9" i="1"/>
  <c r="N9" i="1"/>
  <c r="B10" i="1"/>
  <c r="C10" i="1"/>
  <c r="G10" i="1"/>
  <c r="I10" i="1"/>
  <c r="N10" i="1"/>
  <c r="G11" i="1"/>
  <c r="I11" i="1"/>
  <c r="N11" i="1"/>
  <c r="C12" i="1"/>
  <c r="I12" i="1"/>
  <c r="N12" i="1"/>
  <c r="I13" i="1"/>
  <c r="N13" i="1"/>
  <c r="N16" i="1"/>
  <c r="I17" i="1"/>
  <c r="N17" i="1"/>
  <c r="C18" i="1"/>
  <c r="C19" i="1"/>
  <c r="C20" i="1"/>
  <c r="C21" i="1"/>
  <c r="F21" i="1"/>
  <c r="I21" i="1"/>
  <c r="C22" i="1"/>
  <c r="F22" i="1"/>
  <c r="I22" i="1"/>
  <c r="N22" i="1"/>
  <c r="C23" i="1"/>
  <c r="F23" i="1"/>
  <c r="I23" i="1"/>
  <c r="I24" i="1"/>
  <c r="F25" i="1"/>
  <c r="I25" i="1"/>
  <c r="N25" i="1"/>
  <c r="I26" i="1"/>
  <c r="C27" i="1"/>
  <c r="C28" i="1"/>
  <c r="C29" i="1"/>
  <c r="N29" i="1"/>
  <c r="C30" i="1"/>
  <c r="N30" i="1"/>
  <c r="C31" i="1"/>
  <c r="C32" i="1"/>
  <c r="I32" i="1"/>
  <c r="C33" i="1"/>
  <c r="C34" i="1"/>
  <c r="N35" i="1"/>
  <c r="C38" i="1"/>
  <c r="I38" i="1"/>
  <c r="N40" i="1"/>
  <c r="I41" i="1"/>
  <c r="C42" i="1"/>
  <c r="C46" i="1"/>
  <c r="I46" i="1"/>
  <c r="I47" i="1"/>
  <c r="I48" i="1"/>
  <c r="C49" i="1"/>
  <c r="I49" i="1"/>
  <c r="I53" i="1"/>
  <c r="I55" i="1"/>
  <c r="N60" i="1"/>
  <c r="B67" i="1"/>
  <c r="G82" i="1"/>
  <c r="I82" i="1"/>
  <c r="E85" i="1"/>
  <c r="G7" i="25"/>
  <c r="I7" i="25"/>
  <c r="E8" i="25"/>
  <c r="G8" i="25"/>
  <c r="I8" i="25"/>
  <c r="C9" i="25"/>
  <c r="E9" i="25"/>
  <c r="G9" i="25"/>
  <c r="I9" i="25"/>
  <c r="G10" i="25"/>
  <c r="I10" i="25"/>
  <c r="G11" i="25"/>
  <c r="I11" i="25"/>
  <c r="G12" i="25"/>
  <c r="I12" i="25"/>
  <c r="I13" i="25"/>
  <c r="E14" i="25"/>
  <c r="G14" i="25"/>
  <c r="I14" i="25"/>
  <c r="G15" i="25"/>
  <c r="I15" i="25"/>
  <c r="G16" i="25"/>
  <c r="I16" i="25"/>
  <c r="G17" i="25"/>
  <c r="I17" i="25"/>
  <c r="G18" i="25"/>
  <c r="I18" i="25"/>
  <c r="G19" i="25"/>
  <c r="I19" i="25"/>
  <c r="I20" i="25"/>
  <c r="I21" i="25"/>
  <c r="I22" i="25"/>
  <c r="G23" i="25"/>
  <c r="I23" i="25"/>
  <c r="C24" i="25"/>
  <c r="E24" i="25"/>
  <c r="G24" i="25"/>
  <c r="I24" i="25"/>
  <c r="I28" i="25"/>
  <c r="G29" i="25"/>
  <c r="I29" i="25"/>
  <c r="G30" i="25"/>
  <c r="I30" i="25"/>
  <c r="G31" i="25"/>
  <c r="I31" i="25"/>
  <c r="G32" i="25"/>
  <c r="I32" i="25"/>
  <c r="C33" i="25"/>
  <c r="E33" i="25"/>
  <c r="G33" i="25"/>
  <c r="I33" i="25"/>
  <c r="C36" i="25"/>
  <c r="E36" i="25"/>
  <c r="G36" i="25"/>
  <c r="I36" i="25"/>
  <c r="G40" i="25"/>
  <c r="I40" i="25"/>
  <c r="C41" i="25"/>
  <c r="E41" i="25"/>
  <c r="G41" i="25"/>
  <c r="I41" i="25"/>
  <c r="C43" i="25"/>
  <c r="E43" i="25"/>
  <c r="G43" i="25"/>
  <c r="I43" i="25"/>
  <c r="K44" i="25"/>
  <c r="M44" i="25"/>
  <c r="C47" i="25"/>
  <c r="E47" i="25"/>
  <c r="G47" i="25"/>
  <c r="K47" i="25"/>
  <c r="M47" i="25"/>
  <c r="I53" i="25"/>
  <c r="I54" i="25"/>
  <c r="I55" i="25"/>
  <c r="I56" i="25"/>
  <c r="E57" i="25"/>
  <c r="G57" i="25"/>
  <c r="I57" i="25"/>
  <c r="A1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AY7" i="23"/>
  <c r="AZ7" i="23"/>
  <c r="BA7" i="23"/>
  <c r="BB7" i="23"/>
  <c r="BC7" i="23"/>
  <c r="BD7" i="23"/>
  <c r="BE7" i="23"/>
  <c r="BF7" i="23"/>
  <c r="BG7" i="23"/>
  <c r="BH7" i="23"/>
  <c r="BI7" i="23"/>
  <c r="BJ7" i="23"/>
  <c r="BK7" i="23"/>
  <c r="BL7" i="23"/>
  <c r="BM7" i="23"/>
  <c r="BN7" i="23"/>
  <c r="BO7" i="23"/>
  <c r="BP7" i="23"/>
  <c r="BQ7" i="23"/>
  <c r="BR7" i="23"/>
  <c r="BS7" i="23"/>
  <c r="BT7" i="23"/>
  <c r="BU7" i="23"/>
  <c r="BV7" i="23"/>
  <c r="BW7" i="23"/>
  <c r="BX7" i="23"/>
  <c r="BY7" i="23"/>
  <c r="BZ7" i="23"/>
  <c r="CA7" i="23"/>
  <c r="CB7" i="23"/>
  <c r="CC7" i="23"/>
  <c r="CD7" i="23"/>
  <c r="CE7" i="23"/>
  <c r="CF7" i="23"/>
  <c r="CG7" i="23"/>
  <c r="CH7" i="23"/>
  <c r="CI7" i="23"/>
  <c r="CJ7" i="23"/>
  <c r="CK7" i="23"/>
  <c r="CL7" i="23"/>
  <c r="CM7" i="23"/>
  <c r="CN7" i="23"/>
  <c r="CO7" i="23"/>
  <c r="CP7" i="23"/>
  <c r="CQ7" i="23"/>
  <c r="CR7" i="23"/>
  <c r="CS7" i="23"/>
  <c r="CT7" i="23"/>
  <c r="CU7" i="23"/>
  <c r="CV7" i="23"/>
  <c r="CW7" i="23"/>
  <c r="CX7" i="23"/>
  <c r="CY7" i="23"/>
  <c r="CZ7" i="23"/>
  <c r="DA7" i="23"/>
  <c r="DB7" i="23"/>
  <c r="DC7" i="23"/>
  <c r="DD7" i="23"/>
  <c r="DE7" i="23"/>
  <c r="DF7" i="23"/>
  <c r="DG7" i="23"/>
  <c r="DH7" i="23"/>
  <c r="DI7" i="23"/>
  <c r="DJ7" i="23"/>
  <c r="DK7" i="23"/>
  <c r="DL7" i="23"/>
  <c r="DM7" i="23"/>
  <c r="DN7" i="23"/>
  <c r="DO7" i="23"/>
  <c r="DP7" i="23"/>
  <c r="DQ7" i="23"/>
  <c r="DR7" i="23"/>
  <c r="DS7" i="23"/>
  <c r="DT7" i="23"/>
  <c r="DU7" i="23"/>
  <c r="DV7" i="23"/>
  <c r="DW7" i="23"/>
  <c r="DX7" i="23"/>
  <c r="DY7" i="23"/>
  <c r="DZ7" i="23"/>
  <c r="EA7" i="23"/>
  <c r="EB7" i="23"/>
  <c r="EC7" i="23"/>
  <c r="ED7" i="23"/>
  <c r="EE7" i="23"/>
  <c r="EF7" i="23"/>
  <c r="EG7" i="23"/>
  <c r="EH7" i="23"/>
  <c r="EI7" i="23"/>
  <c r="EJ7" i="23"/>
  <c r="EK7" i="23"/>
  <c r="EL7" i="23"/>
  <c r="EM7" i="23"/>
  <c r="EN7" i="23"/>
  <c r="EO7" i="23"/>
  <c r="EP7" i="23"/>
  <c r="EQ7" i="23"/>
  <c r="ER7" i="23"/>
  <c r="ES7" i="23"/>
  <c r="ET7" i="23"/>
  <c r="EU7" i="23"/>
  <c r="EV7" i="23"/>
  <c r="EW7" i="23"/>
  <c r="EX7" i="23"/>
  <c r="EY7" i="23"/>
  <c r="EZ7" i="23"/>
  <c r="FA7" i="23"/>
  <c r="FB7" i="23"/>
  <c r="FC7" i="23"/>
  <c r="FD7" i="23"/>
  <c r="FE7" i="23"/>
  <c r="FF7" i="23"/>
  <c r="FG7" i="23"/>
  <c r="FH7" i="23"/>
  <c r="FI7" i="23"/>
  <c r="FJ7" i="23"/>
  <c r="FK7" i="23"/>
  <c r="FL7" i="23"/>
  <c r="FM7" i="23"/>
  <c r="FN7" i="23"/>
  <c r="FO7" i="23"/>
  <c r="FP7" i="23"/>
  <c r="FQ7" i="23"/>
  <c r="FR7" i="23"/>
  <c r="FS7" i="23"/>
  <c r="FT7" i="23"/>
  <c r="FU7" i="23"/>
  <c r="FV7" i="23"/>
  <c r="FW7" i="23"/>
  <c r="FX7" i="23"/>
  <c r="FY7" i="23"/>
  <c r="FZ7" i="23"/>
  <c r="GA7" i="23"/>
  <c r="GB7" i="23"/>
  <c r="GC7" i="23"/>
  <c r="GD7" i="23"/>
  <c r="GE7" i="23"/>
  <c r="GF7" i="23"/>
  <c r="GG7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AK8" i="23"/>
  <c r="AL8" i="23"/>
  <c r="AM8" i="23"/>
  <c r="AN8" i="23"/>
  <c r="AO8" i="23"/>
  <c r="AP8" i="23"/>
  <c r="AQ8" i="23"/>
  <c r="AR8" i="23"/>
  <c r="AS8" i="23"/>
  <c r="AT8" i="23"/>
  <c r="AU8" i="23"/>
  <c r="AV8" i="23"/>
  <c r="AW8" i="23"/>
  <c r="AX8" i="23"/>
  <c r="AY8" i="23"/>
  <c r="AZ8" i="23"/>
  <c r="BA8" i="23"/>
  <c r="BB8" i="23"/>
  <c r="BC8" i="23"/>
  <c r="BD8" i="23"/>
  <c r="BE8" i="23"/>
  <c r="BF8" i="23"/>
  <c r="BG8" i="23"/>
  <c r="BH8" i="23"/>
  <c r="BI8" i="23"/>
  <c r="BJ8" i="23"/>
  <c r="BK8" i="23"/>
  <c r="BL8" i="23"/>
  <c r="BM8" i="23"/>
  <c r="BN8" i="23"/>
  <c r="BO8" i="23"/>
  <c r="BP8" i="23"/>
  <c r="BQ8" i="23"/>
  <c r="BR8" i="23"/>
  <c r="BS8" i="23"/>
  <c r="BT8" i="23"/>
  <c r="BU8" i="23"/>
  <c r="BV8" i="23"/>
  <c r="BW8" i="23"/>
  <c r="BX8" i="23"/>
  <c r="BY8" i="23"/>
  <c r="BZ8" i="23"/>
  <c r="CA8" i="23"/>
  <c r="CB8" i="23"/>
  <c r="CC8" i="23"/>
  <c r="CD8" i="23"/>
  <c r="CE8" i="23"/>
  <c r="CF8" i="23"/>
  <c r="CG8" i="23"/>
  <c r="CH8" i="23"/>
  <c r="CI8" i="23"/>
  <c r="CJ8" i="23"/>
  <c r="CK8" i="23"/>
  <c r="CL8" i="23"/>
  <c r="CM8" i="23"/>
  <c r="CN8" i="23"/>
  <c r="CO8" i="23"/>
  <c r="CP8" i="23"/>
  <c r="CQ8" i="23"/>
  <c r="CR8" i="23"/>
  <c r="CS8" i="23"/>
  <c r="CT8" i="23"/>
  <c r="CU8" i="23"/>
  <c r="CV8" i="23"/>
  <c r="CW8" i="23"/>
  <c r="CX8" i="23"/>
  <c r="CY8" i="23"/>
  <c r="CZ8" i="23"/>
  <c r="DA8" i="23"/>
  <c r="DB8" i="23"/>
  <c r="DC8" i="23"/>
  <c r="DD8" i="23"/>
  <c r="DE8" i="23"/>
  <c r="DF8" i="23"/>
  <c r="DG8" i="23"/>
  <c r="DH8" i="23"/>
  <c r="DI8" i="23"/>
  <c r="DJ8" i="23"/>
  <c r="DK8" i="23"/>
  <c r="DL8" i="23"/>
  <c r="DM8" i="23"/>
  <c r="DN8" i="23"/>
  <c r="DO8" i="23"/>
  <c r="DP8" i="23"/>
  <c r="DQ8" i="23"/>
  <c r="DR8" i="23"/>
  <c r="DS8" i="23"/>
  <c r="DT8" i="23"/>
  <c r="DU8" i="23"/>
  <c r="DV8" i="23"/>
  <c r="DW8" i="23"/>
  <c r="DX8" i="23"/>
  <c r="DY8" i="23"/>
  <c r="DZ8" i="23"/>
  <c r="EA8" i="23"/>
  <c r="EB8" i="23"/>
  <c r="EC8" i="23"/>
  <c r="ED8" i="23"/>
  <c r="EE8" i="23"/>
  <c r="EF8" i="23"/>
  <c r="EG8" i="23"/>
  <c r="EH8" i="23"/>
  <c r="EI8" i="23"/>
  <c r="EJ8" i="23"/>
  <c r="EK8" i="23"/>
  <c r="EL8" i="23"/>
  <c r="EM8" i="23"/>
  <c r="EN8" i="23"/>
  <c r="EO8" i="23"/>
  <c r="EP8" i="23"/>
  <c r="EQ8" i="23"/>
  <c r="ER8" i="23"/>
  <c r="ES8" i="23"/>
  <c r="ET8" i="23"/>
  <c r="EU8" i="23"/>
  <c r="EV8" i="23"/>
  <c r="EW8" i="23"/>
  <c r="EX8" i="23"/>
  <c r="EY8" i="23"/>
  <c r="EZ8" i="23"/>
  <c r="FA8" i="23"/>
  <c r="FB8" i="23"/>
  <c r="FC8" i="23"/>
  <c r="FD8" i="23"/>
  <c r="FE8" i="23"/>
  <c r="FF8" i="23"/>
  <c r="FG8" i="23"/>
  <c r="FH8" i="23"/>
  <c r="FI8" i="23"/>
  <c r="FJ8" i="23"/>
  <c r="FK8" i="23"/>
  <c r="FL8" i="23"/>
  <c r="FM8" i="23"/>
  <c r="FN8" i="23"/>
  <c r="FO8" i="23"/>
  <c r="FP8" i="23"/>
  <c r="FQ8" i="23"/>
  <c r="FR8" i="23"/>
  <c r="FS8" i="23"/>
  <c r="FT8" i="23"/>
  <c r="FU8" i="23"/>
  <c r="FV8" i="23"/>
  <c r="FW8" i="23"/>
  <c r="FX8" i="23"/>
  <c r="FY8" i="23"/>
  <c r="FZ8" i="23"/>
  <c r="GA8" i="23"/>
  <c r="GB8" i="23"/>
  <c r="GC8" i="23"/>
  <c r="GD8" i="23"/>
  <c r="GE8" i="23"/>
  <c r="GF8" i="23"/>
  <c r="GG8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J9" i="23"/>
  <c r="AK9" i="23"/>
  <c r="AL9" i="23"/>
  <c r="AM9" i="23"/>
  <c r="AN9" i="23"/>
  <c r="AO9" i="23"/>
  <c r="AP9" i="23"/>
  <c r="AQ9" i="23"/>
  <c r="AR9" i="23"/>
  <c r="AS9" i="23"/>
  <c r="AT9" i="23"/>
  <c r="AU9" i="23"/>
  <c r="AV9" i="23"/>
  <c r="AW9" i="23"/>
  <c r="AX9" i="23"/>
  <c r="AY9" i="23"/>
  <c r="AZ9" i="23"/>
  <c r="BA9" i="23"/>
  <c r="BB9" i="23"/>
  <c r="BC9" i="23"/>
  <c r="BD9" i="23"/>
  <c r="BE9" i="23"/>
  <c r="BF9" i="23"/>
  <c r="BG9" i="23"/>
  <c r="BH9" i="23"/>
  <c r="BI9" i="23"/>
  <c r="BJ9" i="23"/>
  <c r="BK9" i="23"/>
  <c r="BL9" i="23"/>
  <c r="BM9" i="23"/>
  <c r="BN9" i="23"/>
  <c r="BO9" i="23"/>
  <c r="BP9" i="23"/>
  <c r="BQ9" i="23"/>
  <c r="BR9" i="23"/>
  <c r="BS9" i="23"/>
  <c r="BT9" i="23"/>
  <c r="BU9" i="23"/>
  <c r="BV9" i="23"/>
  <c r="BW9" i="23"/>
  <c r="BX9" i="23"/>
  <c r="BY9" i="23"/>
  <c r="BZ9" i="23"/>
  <c r="CA9" i="23"/>
  <c r="CB9" i="23"/>
  <c r="CC9" i="23"/>
  <c r="CD9" i="23"/>
  <c r="CE9" i="23"/>
  <c r="CF9" i="23"/>
  <c r="CG9" i="23"/>
  <c r="CH9" i="23"/>
  <c r="CI9" i="23"/>
  <c r="CJ9" i="23"/>
  <c r="CK9" i="23"/>
  <c r="CL9" i="23"/>
  <c r="CM9" i="23"/>
  <c r="CN9" i="23"/>
  <c r="CO9" i="23"/>
  <c r="CP9" i="23"/>
  <c r="CQ9" i="23"/>
  <c r="CR9" i="23"/>
  <c r="CS9" i="23"/>
  <c r="CT9" i="23"/>
  <c r="CU9" i="23"/>
  <c r="CV9" i="23"/>
  <c r="CW9" i="23"/>
  <c r="CX9" i="23"/>
  <c r="CY9" i="23"/>
  <c r="CZ9" i="23"/>
  <c r="DA9" i="23"/>
  <c r="DB9" i="23"/>
  <c r="DC9" i="23"/>
  <c r="DD9" i="23"/>
  <c r="DE9" i="23"/>
  <c r="DF9" i="23"/>
  <c r="DG9" i="23"/>
  <c r="DH9" i="23"/>
  <c r="DI9" i="23"/>
  <c r="DJ9" i="23"/>
  <c r="DK9" i="23"/>
  <c r="DL9" i="23"/>
  <c r="DM9" i="23"/>
  <c r="DN9" i="23"/>
  <c r="DO9" i="23"/>
  <c r="DP9" i="23"/>
  <c r="DQ9" i="23"/>
  <c r="DR9" i="23"/>
  <c r="DS9" i="23"/>
  <c r="DT9" i="23"/>
  <c r="DU9" i="23"/>
  <c r="DV9" i="23"/>
  <c r="DW9" i="23"/>
  <c r="DX9" i="23"/>
  <c r="DY9" i="23"/>
  <c r="DZ9" i="23"/>
  <c r="EA9" i="23"/>
  <c r="EB9" i="23"/>
  <c r="EC9" i="23"/>
  <c r="ED9" i="23"/>
  <c r="EE9" i="23"/>
  <c r="EF9" i="23"/>
  <c r="EG9" i="23"/>
  <c r="EH9" i="23"/>
  <c r="EI9" i="23"/>
  <c r="EJ9" i="23"/>
  <c r="EK9" i="23"/>
  <c r="EL9" i="23"/>
  <c r="EM9" i="23"/>
  <c r="EN9" i="23"/>
  <c r="EO9" i="23"/>
  <c r="EP9" i="23"/>
  <c r="EQ9" i="23"/>
  <c r="ER9" i="23"/>
  <c r="ES9" i="23"/>
  <c r="ET9" i="23"/>
  <c r="EU9" i="23"/>
  <c r="EV9" i="23"/>
  <c r="EW9" i="23"/>
  <c r="EX9" i="23"/>
  <c r="EY9" i="23"/>
  <c r="EZ9" i="23"/>
  <c r="FA9" i="23"/>
  <c r="FB9" i="23"/>
  <c r="FC9" i="23"/>
  <c r="FD9" i="23"/>
  <c r="FE9" i="23"/>
  <c r="FF9" i="23"/>
  <c r="FG9" i="23"/>
  <c r="FH9" i="23"/>
  <c r="FI9" i="23"/>
  <c r="FJ9" i="23"/>
  <c r="FK9" i="23"/>
  <c r="FL9" i="23"/>
  <c r="FM9" i="23"/>
  <c r="FN9" i="23"/>
  <c r="FO9" i="23"/>
  <c r="FP9" i="23"/>
  <c r="FQ9" i="23"/>
  <c r="FR9" i="23"/>
  <c r="FS9" i="23"/>
  <c r="FT9" i="23"/>
  <c r="FU9" i="23"/>
  <c r="FV9" i="23"/>
  <c r="FW9" i="23"/>
  <c r="FX9" i="23"/>
  <c r="FY9" i="23"/>
  <c r="FZ9" i="23"/>
  <c r="GA9" i="23"/>
  <c r="GB9" i="23"/>
  <c r="GC9" i="23"/>
  <c r="GD9" i="23"/>
  <c r="GE9" i="23"/>
  <c r="GF9" i="23"/>
  <c r="GG9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AP12" i="23"/>
  <c r="AQ12" i="23"/>
  <c r="AR12" i="23"/>
  <c r="AS12" i="23"/>
  <c r="AT12" i="23"/>
  <c r="AU12" i="23"/>
  <c r="AV12" i="23"/>
  <c r="AW12" i="23"/>
  <c r="AX12" i="23"/>
  <c r="AY12" i="23"/>
  <c r="AZ12" i="23"/>
  <c r="BA12" i="23"/>
  <c r="BB12" i="23"/>
  <c r="BC12" i="23"/>
  <c r="BD12" i="23"/>
  <c r="BE12" i="23"/>
  <c r="BF12" i="23"/>
  <c r="BG12" i="23"/>
  <c r="BH12" i="23"/>
  <c r="BI12" i="23"/>
  <c r="BJ12" i="23"/>
  <c r="BK12" i="23"/>
  <c r="BL12" i="23"/>
  <c r="BM12" i="23"/>
  <c r="BN12" i="23"/>
  <c r="BO12" i="23"/>
  <c r="BP12" i="23"/>
  <c r="BQ12" i="23"/>
  <c r="BR12" i="23"/>
  <c r="BS12" i="23"/>
  <c r="BT12" i="23"/>
  <c r="BU12" i="23"/>
  <c r="BV12" i="23"/>
  <c r="BW12" i="23"/>
  <c r="BX12" i="23"/>
  <c r="BY12" i="23"/>
  <c r="BZ12" i="23"/>
  <c r="CA12" i="23"/>
  <c r="CB12" i="23"/>
  <c r="CC12" i="23"/>
  <c r="CD12" i="23"/>
  <c r="CE12" i="23"/>
  <c r="CF12" i="23"/>
  <c r="CG12" i="23"/>
  <c r="CH12" i="23"/>
  <c r="CI12" i="23"/>
  <c r="CJ12" i="23"/>
  <c r="CK12" i="23"/>
  <c r="CL12" i="23"/>
  <c r="CM12" i="23"/>
  <c r="CN12" i="23"/>
  <c r="CO12" i="23"/>
  <c r="CP12" i="23"/>
  <c r="CQ12" i="23"/>
  <c r="CR12" i="23"/>
  <c r="CS12" i="23"/>
  <c r="CT12" i="23"/>
  <c r="CU12" i="23"/>
  <c r="CV12" i="23"/>
  <c r="CW12" i="23"/>
  <c r="CX12" i="23"/>
  <c r="CY12" i="23"/>
  <c r="CZ12" i="23"/>
  <c r="DA12" i="23"/>
  <c r="DB12" i="23"/>
  <c r="DC12" i="23"/>
  <c r="DD12" i="23"/>
  <c r="DE12" i="23"/>
  <c r="DF12" i="23"/>
  <c r="DG12" i="23"/>
  <c r="DH12" i="23"/>
  <c r="DI12" i="23"/>
  <c r="DJ12" i="23"/>
  <c r="DK12" i="23"/>
  <c r="DL12" i="23"/>
  <c r="DM12" i="23"/>
  <c r="DN12" i="23"/>
  <c r="DO12" i="23"/>
  <c r="DP12" i="23"/>
  <c r="DQ12" i="23"/>
  <c r="DR12" i="23"/>
  <c r="DS12" i="23"/>
  <c r="DT12" i="23"/>
  <c r="DU12" i="23"/>
  <c r="DV12" i="23"/>
  <c r="DW12" i="23"/>
  <c r="DX12" i="23"/>
  <c r="DY12" i="23"/>
  <c r="DZ12" i="23"/>
  <c r="EA12" i="23"/>
  <c r="EB12" i="23"/>
  <c r="EC12" i="23"/>
  <c r="ED12" i="23"/>
  <c r="EE12" i="23"/>
  <c r="EF12" i="23"/>
  <c r="EG12" i="23"/>
  <c r="EH12" i="23"/>
  <c r="EI12" i="23"/>
  <c r="EJ12" i="23"/>
  <c r="EK12" i="23"/>
  <c r="EL12" i="23"/>
  <c r="EM12" i="23"/>
  <c r="EN12" i="23"/>
  <c r="EO12" i="23"/>
  <c r="EP12" i="23"/>
  <c r="EQ12" i="23"/>
  <c r="ER12" i="23"/>
  <c r="ES12" i="23"/>
  <c r="ET12" i="23"/>
  <c r="EU12" i="23"/>
  <c r="EV12" i="23"/>
  <c r="EW12" i="23"/>
  <c r="EX12" i="23"/>
  <c r="EY12" i="23"/>
  <c r="EZ12" i="23"/>
  <c r="FA12" i="23"/>
  <c r="FB12" i="23"/>
  <c r="FC12" i="23"/>
  <c r="FD12" i="23"/>
  <c r="FE12" i="23"/>
  <c r="FF12" i="23"/>
  <c r="FG12" i="23"/>
  <c r="FH12" i="23"/>
  <c r="FI12" i="23"/>
  <c r="FJ12" i="23"/>
  <c r="FK12" i="23"/>
  <c r="FL12" i="23"/>
  <c r="FM12" i="23"/>
  <c r="FN12" i="23"/>
  <c r="FO12" i="23"/>
  <c r="FP12" i="23"/>
  <c r="FQ12" i="23"/>
  <c r="FR12" i="23"/>
  <c r="FS12" i="23"/>
  <c r="FT12" i="23"/>
  <c r="FU12" i="23"/>
  <c r="FV12" i="23"/>
  <c r="FW12" i="23"/>
  <c r="FX12" i="23"/>
  <c r="FY12" i="23"/>
  <c r="FZ12" i="23"/>
  <c r="GA12" i="23"/>
  <c r="GB12" i="23"/>
  <c r="GC12" i="23"/>
  <c r="GD12" i="23"/>
  <c r="GE12" i="23"/>
  <c r="GF12" i="23"/>
  <c r="GG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AP13" i="23"/>
  <c r="AQ13" i="23"/>
  <c r="AR13" i="23"/>
  <c r="AS13" i="23"/>
  <c r="AT13" i="23"/>
  <c r="AU13" i="23"/>
  <c r="AV13" i="23"/>
  <c r="AW13" i="23"/>
  <c r="AX13" i="23"/>
  <c r="AY13" i="23"/>
  <c r="AZ13" i="23"/>
  <c r="BA13" i="23"/>
  <c r="BB13" i="23"/>
  <c r="BC13" i="23"/>
  <c r="BD13" i="23"/>
  <c r="BE13" i="23"/>
  <c r="BF13" i="23"/>
  <c r="BG13" i="23"/>
  <c r="BH13" i="23"/>
  <c r="BI13" i="23"/>
  <c r="BJ13" i="23"/>
  <c r="BK13" i="23"/>
  <c r="BL13" i="23"/>
  <c r="BM13" i="23"/>
  <c r="BN13" i="23"/>
  <c r="BO13" i="23"/>
  <c r="BP13" i="23"/>
  <c r="BQ13" i="23"/>
  <c r="BR13" i="23"/>
  <c r="BS13" i="23"/>
  <c r="BT13" i="23"/>
  <c r="BU13" i="23"/>
  <c r="BV13" i="23"/>
  <c r="BW13" i="23"/>
  <c r="BX13" i="23"/>
  <c r="BY13" i="23"/>
  <c r="BZ13" i="23"/>
  <c r="CA13" i="23"/>
  <c r="CB13" i="23"/>
  <c r="CC13" i="23"/>
  <c r="CD13" i="23"/>
  <c r="CE13" i="23"/>
  <c r="CF13" i="23"/>
  <c r="CG13" i="23"/>
  <c r="CH13" i="23"/>
  <c r="CI13" i="23"/>
  <c r="CJ13" i="23"/>
  <c r="CK13" i="23"/>
  <c r="CL13" i="23"/>
  <c r="CM13" i="23"/>
  <c r="CN13" i="23"/>
  <c r="CO13" i="23"/>
  <c r="CP13" i="23"/>
  <c r="CQ13" i="23"/>
  <c r="CR13" i="23"/>
  <c r="CS13" i="23"/>
  <c r="CT13" i="23"/>
  <c r="CU13" i="23"/>
  <c r="CV13" i="23"/>
  <c r="CW13" i="23"/>
  <c r="CX13" i="23"/>
  <c r="CY13" i="23"/>
  <c r="CZ13" i="23"/>
  <c r="DA13" i="23"/>
  <c r="DB13" i="23"/>
  <c r="DC13" i="23"/>
  <c r="DD13" i="23"/>
  <c r="DE13" i="23"/>
  <c r="DF13" i="23"/>
  <c r="DG13" i="23"/>
  <c r="DH13" i="23"/>
  <c r="DI13" i="23"/>
  <c r="DJ13" i="23"/>
  <c r="DK13" i="23"/>
  <c r="DL13" i="23"/>
  <c r="DM13" i="23"/>
  <c r="DN13" i="23"/>
  <c r="DO13" i="23"/>
  <c r="DP13" i="23"/>
  <c r="DQ13" i="23"/>
  <c r="DR13" i="23"/>
  <c r="DS13" i="23"/>
  <c r="DT13" i="23"/>
  <c r="DU13" i="23"/>
  <c r="DV13" i="23"/>
  <c r="DW13" i="23"/>
  <c r="DX13" i="23"/>
  <c r="DY13" i="23"/>
  <c r="DZ13" i="23"/>
  <c r="EA13" i="23"/>
  <c r="EB13" i="23"/>
  <c r="EC13" i="23"/>
  <c r="ED13" i="23"/>
  <c r="EE13" i="23"/>
  <c r="EF13" i="23"/>
  <c r="EG13" i="23"/>
  <c r="EH13" i="23"/>
  <c r="EI13" i="23"/>
  <c r="EJ13" i="23"/>
  <c r="EK13" i="23"/>
  <c r="EL13" i="23"/>
  <c r="EM13" i="23"/>
  <c r="EN13" i="23"/>
  <c r="EO13" i="23"/>
  <c r="EP13" i="23"/>
  <c r="EQ13" i="23"/>
  <c r="ER13" i="23"/>
  <c r="ES13" i="23"/>
  <c r="ET13" i="23"/>
  <c r="EU13" i="23"/>
  <c r="EV13" i="23"/>
  <c r="EW13" i="23"/>
  <c r="EX13" i="23"/>
  <c r="EY13" i="23"/>
  <c r="EZ13" i="23"/>
  <c r="FA13" i="23"/>
  <c r="FB13" i="23"/>
  <c r="FC13" i="23"/>
  <c r="FD13" i="23"/>
  <c r="FE13" i="23"/>
  <c r="FF13" i="23"/>
  <c r="FG13" i="23"/>
  <c r="FH13" i="23"/>
  <c r="FI13" i="23"/>
  <c r="FJ13" i="23"/>
  <c r="FK13" i="23"/>
  <c r="FL13" i="23"/>
  <c r="FM13" i="23"/>
  <c r="FN13" i="23"/>
  <c r="FO13" i="23"/>
  <c r="FP13" i="23"/>
  <c r="FQ13" i="23"/>
  <c r="FR13" i="23"/>
  <c r="FS13" i="23"/>
  <c r="FT13" i="23"/>
  <c r="FU13" i="23"/>
  <c r="FV13" i="23"/>
  <c r="FW13" i="23"/>
  <c r="FX13" i="23"/>
  <c r="FY13" i="23"/>
  <c r="FZ13" i="23"/>
  <c r="GA13" i="23"/>
  <c r="GB13" i="23"/>
  <c r="GC13" i="23"/>
  <c r="GD13" i="23"/>
  <c r="GE13" i="23"/>
  <c r="GF13" i="23"/>
  <c r="GG13" i="23"/>
  <c r="D17" i="23"/>
  <c r="E17" i="23"/>
  <c r="F17" i="23"/>
  <c r="G17" i="23"/>
  <c r="H17" i="23"/>
  <c r="I18" i="23"/>
  <c r="J18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AP19" i="23"/>
  <c r="AQ19" i="23"/>
  <c r="AR19" i="23"/>
  <c r="AS19" i="23"/>
  <c r="AT19" i="23"/>
  <c r="AU19" i="23"/>
  <c r="AV19" i="23"/>
  <c r="AW19" i="23"/>
  <c r="AX19" i="23"/>
  <c r="AY19" i="23"/>
  <c r="AZ19" i="23"/>
  <c r="BA19" i="23"/>
  <c r="BB19" i="23"/>
  <c r="BC19" i="23"/>
  <c r="BD19" i="23"/>
  <c r="BE19" i="23"/>
  <c r="BF19" i="23"/>
  <c r="BG19" i="23"/>
  <c r="BH19" i="23"/>
  <c r="BI19" i="23"/>
  <c r="BJ19" i="23"/>
  <c r="BK19" i="23"/>
  <c r="BL19" i="23"/>
  <c r="BM19" i="23"/>
  <c r="BN19" i="23"/>
  <c r="BO19" i="23"/>
  <c r="BP19" i="23"/>
  <c r="BQ19" i="23"/>
  <c r="BR19" i="23"/>
  <c r="BS19" i="23"/>
  <c r="BT19" i="23"/>
  <c r="BU19" i="23"/>
  <c r="BV19" i="23"/>
  <c r="BW19" i="23"/>
  <c r="BX19" i="23"/>
  <c r="BY19" i="23"/>
  <c r="BZ19" i="23"/>
  <c r="CA19" i="23"/>
  <c r="CB19" i="23"/>
  <c r="CC19" i="23"/>
  <c r="CD19" i="23"/>
  <c r="CE19" i="23"/>
  <c r="CF19" i="23"/>
  <c r="CG19" i="23"/>
  <c r="CH19" i="23"/>
  <c r="CI19" i="23"/>
  <c r="CJ19" i="23"/>
  <c r="CK19" i="23"/>
  <c r="CL19" i="23"/>
  <c r="CM19" i="23"/>
  <c r="CN19" i="23"/>
  <c r="CO19" i="23"/>
  <c r="CP19" i="23"/>
  <c r="CQ19" i="23"/>
  <c r="CR19" i="23"/>
  <c r="CS19" i="23"/>
  <c r="CT19" i="23"/>
  <c r="CU19" i="23"/>
  <c r="CV19" i="23"/>
  <c r="CW19" i="23"/>
  <c r="CX19" i="23"/>
  <c r="CY19" i="23"/>
  <c r="CZ19" i="23"/>
  <c r="DA19" i="23"/>
  <c r="DB19" i="23"/>
  <c r="DC19" i="23"/>
  <c r="DD19" i="23"/>
  <c r="DE19" i="23"/>
  <c r="DF19" i="23"/>
  <c r="DG19" i="23"/>
  <c r="DH19" i="23"/>
  <c r="DI19" i="23"/>
  <c r="DJ19" i="23"/>
  <c r="DK19" i="23"/>
  <c r="DL19" i="23"/>
  <c r="DM19" i="23"/>
  <c r="DN19" i="23"/>
  <c r="DO19" i="23"/>
  <c r="DP19" i="23"/>
  <c r="DQ19" i="23"/>
  <c r="DR19" i="23"/>
  <c r="DS19" i="23"/>
  <c r="DT19" i="23"/>
  <c r="DU19" i="23"/>
  <c r="DV19" i="23"/>
  <c r="DW19" i="23"/>
  <c r="DX19" i="23"/>
  <c r="DY19" i="23"/>
  <c r="DZ19" i="23"/>
  <c r="EA19" i="23"/>
  <c r="EB19" i="23"/>
  <c r="EC19" i="23"/>
  <c r="ED19" i="23"/>
  <c r="EE19" i="23"/>
  <c r="EF19" i="23"/>
  <c r="EG19" i="23"/>
  <c r="EH19" i="23"/>
  <c r="EI19" i="23"/>
  <c r="EJ19" i="23"/>
  <c r="EK19" i="23"/>
  <c r="EL19" i="23"/>
  <c r="EM19" i="23"/>
  <c r="EN19" i="23"/>
  <c r="EO19" i="23"/>
  <c r="EP19" i="23"/>
  <c r="EQ19" i="23"/>
  <c r="ER19" i="23"/>
  <c r="ES19" i="23"/>
  <c r="ET19" i="23"/>
  <c r="EU19" i="23"/>
  <c r="EV19" i="23"/>
  <c r="EW19" i="23"/>
  <c r="EX19" i="23"/>
  <c r="EY19" i="23"/>
  <c r="EZ19" i="23"/>
  <c r="FA19" i="23"/>
  <c r="FB19" i="23"/>
  <c r="FC19" i="23"/>
  <c r="FD19" i="23"/>
  <c r="FE19" i="23"/>
  <c r="FF19" i="23"/>
  <c r="FG19" i="23"/>
  <c r="FH19" i="23"/>
  <c r="FI19" i="23"/>
  <c r="FJ19" i="23"/>
  <c r="FK19" i="23"/>
  <c r="FL19" i="23"/>
  <c r="FM19" i="23"/>
  <c r="FN19" i="23"/>
  <c r="FO19" i="23"/>
  <c r="FP19" i="23"/>
  <c r="FQ19" i="23"/>
  <c r="FR19" i="23"/>
  <c r="FS19" i="23"/>
  <c r="FT19" i="23"/>
  <c r="FU19" i="23"/>
  <c r="FV19" i="23"/>
  <c r="FW19" i="23"/>
  <c r="FX19" i="23"/>
  <c r="FY19" i="23"/>
  <c r="FZ19" i="23"/>
  <c r="GA19" i="23"/>
  <c r="GB19" i="23"/>
  <c r="GC19" i="23"/>
  <c r="GD19" i="23"/>
  <c r="GE19" i="23"/>
  <c r="GF19" i="23"/>
  <c r="GG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AP20" i="23"/>
  <c r="AQ20" i="23"/>
  <c r="AR20" i="23"/>
  <c r="AS20" i="23"/>
  <c r="AT20" i="23"/>
  <c r="AU20" i="23"/>
  <c r="AV20" i="23"/>
  <c r="AW20" i="23"/>
  <c r="AX20" i="23"/>
  <c r="AY20" i="23"/>
  <c r="AZ20" i="23"/>
  <c r="BA20" i="23"/>
  <c r="BB20" i="23"/>
  <c r="BC20" i="23"/>
  <c r="BD20" i="23"/>
  <c r="BE20" i="23"/>
  <c r="BF20" i="23"/>
  <c r="BG20" i="23"/>
  <c r="BH20" i="23"/>
  <c r="BI20" i="23"/>
  <c r="BJ20" i="23"/>
  <c r="BK20" i="23"/>
  <c r="BL20" i="23"/>
  <c r="BM20" i="23"/>
  <c r="BN20" i="23"/>
  <c r="BO20" i="23"/>
  <c r="BP20" i="23"/>
  <c r="BQ20" i="23"/>
  <c r="BR20" i="23"/>
  <c r="BS20" i="23"/>
  <c r="BT20" i="23"/>
  <c r="BU20" i="23"/>
  <c r="BV20" i="23"/>
  <c r="BW20" i="23"/>
  <c r="BX20" i="23"/>
  <c r="BY20" i="23"/>
  <c r="BZ20" i="23"/>
  <c r="CA20" i="23"/>
  <c r="CB20" i="23"/>
  <c r="CC20" i="23"/>
  <c r="CD20" i="23"/>
  <c r="CE20" i="23"/>
  <c r="CF20" i="23"/>
  <c r="CG20" i="23"/>
  <c r="CH20" i="23"/>
  <c r="CI20" i="23"/>
  <c r="CJ20" i="23"/>
  <c r="CK20" i="23"/>
  <c r="CL20" i="23"/>
  <c r="CM20" i="23"/>
  <c r="CN20" i="23"/>
  <c r="CO20" i="23"/>
  <c r="CP20" i="23"/>
  <c r="CQ20" i="23"/>
  <c r="CR20" i="23"/>
  <c r="CS20" i="23"/>
  <c r="CT20" i="23"/>
  <c r="CU20" i="23"/>
  <c r="CV20" i="23"/>
  <c r="CW20" i="23"/>
  <c r="CX20" i="23"/>
  <c r="CY20" i="23"/>
  <c r="CZ20" i="23"/>
  <c r="DA20" i="23"/>
  <c r="DB20" i="23"/>
  <c r="DC20" i="23"/>
  <c r="DD20" i="23"/>
  <c r="DE20" i="23"/>
  <c r="DF20" i="23"/>
  <c r="DG20" i="23"/>
  <c r="DH20" i="23"/>
  <c r="DI20" i="23"/>
  <c r="DJ20" i="23"/>
  <c r="DK20" i="23"/>
  <c r="DL20" i="23"/>
  <c r="DM20" i="23"/>
  <c r="DN20" i="23"/>
  <c r="DO20" i="23"/>
  <c r="DP20" i="23"/>
  <c r="DQ20" i="23"/>
  <c r="DR20" i="23"/>
  <c r="DS20" i="23"/>
  <c r="DT20" i="23"/>
  <c r="DU20" i="23"/>
  <c r="DV20" i="23"/>
  <c r="DW20" i="23"/>
  <c r="DX20" i="23"/>
  <c r="DY20" i="23"/>
  <c r="DZ20" i="23"/>
  <c r="EA20" i="23"/>
  <c r="EB20" i="23"/>
  <c r="EC20" i="23"/>
  <c r="ED20" i="23"/>
  <c r="EE20" i="23"/>
  <c r="EF20" i="23"/>
  <c r="EG20" i="23"/>
  <c r="EH20" i="23"/>
  <c r="EI20" i="23"/>
  <c r="EJ20" i="23"/>
  <c r="EK20" i="23"/>
  <c r="EL20" i="23"/>
  <c r="EM20" i="23"/>
  <c r="EN20" i="23"/>
  <c r="EO20" i="23"/>
  <c r="EP20" i="23"/>
  <c r="EQ20" i="23"/>
  <c r="ER20" i="23"/>
  <c r="ES20" i="23"/>
  <c r="ET20" i="23"/>
  <c r="EU20" i="23"/>
  <c r="EV20" i="23"/>
  <c r="EW20" i="23"/>
  <c r="EX20" i="23"/>
  <c r="EY20" i="23"/>
  <c r="EZ20" i="23"/>
  <c r="FA20" i="23"/>
  <c r="FB20" i="23"/>
  <c r="FC20" i="23"/>
  <c r="FD20" i="23"/>
  <c r="FE20" i="23"/>
  <c r="FF20" i="23"/>
  <c r="FG20" i="23"/>
  <c r="FH20" i="23"/>
  <c r="FI20" i="23"/>
  <c r="FJ20" i="23"/>
  <c r="FK20" i="23"/>
  <c r="FL20" i="23"/>
  <c r="FM20" i="23"/>
  <c r="FN20" i="23"/>
  <c r="FO20" i="23"/>
  <c r="FP20" i="23"/>
  <c r="FQ20" i="23"/>
  <c r="FR20" i="23"/>
  <c r="FS20" i="23"/>
  <c r="FT20" i="23"/>
  <c r="FU20" i="23"/>
  <c r="FV20" i="23"/>
  <c r="FW20" i="23"/>
  <c r="FX20" i="23"/>
  <c r="FY20" i="23"/>
  <c r="FZ20" i="23"/>
  <c r="GA20" i="23"/>
  <c r="GB20" i="23"/>
  <c r="GC20" i="23"/>
  <c r="GD20" i="23"/>
  <c r="GE20" i="23"/>
  <c r="GF20" i="23"/>
  <c r="GG20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Q23" i="23"/>
  <c r="AR23" i="23"/>
  <c r="AS23" i="23"/>
  <c r="AT23" i="23"/>
  <c r="AU23" i="23"/>
  <c r="AV23" i="23"/>
  <c r="AW23" i="23"/>
  <c r="AX23" i="23"/>
  <c r="AY23" i="23"/>
  <c r="AZ23" i="23"/>
  <c r="BA23" i="23"/>
  <c r="BB23" i="23"/>
  <c r="BC23" i="23"/>
  <c r="BD23" i="23"/>
  <c r="BE23" i="23"/>
  <c r="BF23" i="23"/>
  <c r="BG23" i="23"/>
  <c r="BH23" i="23"/>
  <c r="BI23" i="23"/>
  <c r="BJ23" i="23"/>
  <c r="BK23" i="23"/>
  <c r="BL23" i="23"/>
  <c r="BM23" i="23"/>
  <c r="BN23" i="23"/>
  <c r="BO23" i="23"/>
  <c r="BP23" i="23"/>
  <c r="BQ23" i="23"/>
  <c r="BR23" i="23"/>
  <c r="BS23" i="23"/>
  <c r="BT23" i="23"/>
  <c r="BU23" i="23"/>
  <c r="BV23" i="23"/>
  <c r="BW23" i="23"/>
  <c r="BX23" i="23"/>
  <c r="BY23" i="23"/>
  <c r="BZ23" i="23"/>
  <c r="CA23" i="23"/>
  <c r="CB23" i="23"/>
  <c r="CC23" i="23"/>
  <c r="CD23" i="23"/>
  <c r="CE23" i="23"/>
  <c r="CF23" i="23"/>
  <c r="CG23" i="23"/>
  <c r="CH23" i="23"/>
  <c r="CI23" i="23"/>
  <c r="CJ23" i="23"/>
  <c r="CK23" i="23"/>
  <c r="CL23" i="23"/>
  <c r="CM23" i="23"/>
  <c r="CN23" i="23"/>
  <c r="CO23" i="23"/>
  <c r="CP23" i="23"/>
  <c r="CQ23" i="23"/>
  <c r="CR23" i="23"/>
  <c r="CS23" i="23"/>
  <c r="CT23" i="23"/>
  <c r="CU23" i="23"/>
  <c r="CV23" i="23"/>
  <c r="CW23" i="23"/>
  <c r="CX23" i="23"/>
  <c r="CY23" i="23"/>
  <c r="CZ23" i="23"/>
  <c r="DA23" i="23"/>
  <c r="DB23" i="23"/>
  <c r="DC23" i="23"/>
  <c r="DD23" i="23"/>
  <c r="DE23" i="23"/>
  <c r="DF23" i="23"/>
  <c r="DG23" i="23"/>
  <c r="DH23" i="23"/>
  <c r="DI23" i="23"/>
  <c r="DJ23" i="23"/>
  <c r="DK23" i="23"/>
  <c r="DL23" i="23"/>
  <c r="DM23" i="23"/>
  <c r="DN23" i="23"/>
  <c r="DO23" i="23"/>
  <c r="DP23" i="23"/>
  <c r="DQ23" i="23"/>
  <c r="DR23" i="23"/>
  <c r="DS23" i="23"/>
  <c r="DT23" i="23"/>
  <c r="DU23" i="23"/>
  <c r="DV23" i="23"/>
  <c r="DW23" i="23"/>
  <c r="DX23" i="23"/>
  <c r="DY23" i="23"/>
  <c r="DZ23" i="23"/>
  <c r="EA23" i="23"/>
  <c r="EB23" i="23"/>
  <c r="EC23" i="23"/>
  <c r="ED23" i="23"/>
  <c r="EE23" i="23"/>
  <c r="EF23" i="23"/>
  <c r="EG23" i="23"/>
  <c r="EH23" i="23"/>
  <c r="EI23" i="23"/>
  <c r="EJ23" i="23"/>
  <c r="EK23" i="23"/>
  <c r="EL23" i="23"/>
  <c r="EM23" i="23"/>
  <c r="EN23" i="23"/>
  <c r="EO23" i="23"/>
  <c r="EP23" i="23"/>
  <c r="EQ23" i="23"/>
  <c r="ER23" i="23"/>
  <c r="ES23" i="23"/>
  <c r="ET23" i="23"/>
  <c r="EU23" i="23"/>
  <c r="EV23" i="23"/>
  <c r="EW23" i="23"/>
  <c r="EX23" i="23"/>
  <c r="EY23" i="23"/>
  <c r="EZ23" i="23"/>
  <c r="FA23" i="23"/>
  <c r="FB23" i="23"/>
  <c r="FC23" i="23"/>
  <c r="FD23" i="23"/>
  <c r="FE23" i="23"/>
  <c r="FF23" i="23"/>
  <c r="FG23" i="23"/>
  <c r="FH23" i="23"/>
  <c r="FI23" i="23"/>
  <c r="FJ23" i="23"/>
  <c r="FK23" i="23"/>
  <c r="FL23" i="23"/>
  <c r="FM23" i="23"/>
  <c r="FN23" i="23"/>
  <c r="FO23" i="23"/>
  <c r="FP23" i="23"/>
  <c r="FQ23" i="23"/>
  <c r="FR23" i="23"/>
  <c r="FS23" i="23"/>
  <c r="FT23" i="23"/>
  <c r="FU23" i="23"/>
  <c r="FV23" i="23"/>
  <c r="FW23" i="23"/>
  <c r="FX23" i="23"/>
  <c r="FY23" i="23"/>
  <c r="FZ23" i="23"/>
  <c r="GA23" i="23"/>
  <c r="GB23" i="23"/>
  <c r="GC23" i="23"/>
  <c r="GD23" i="23"/>
  <c r="GE23" i="23"/>
  <c r="GF23" i="23"/>
  <c r="GG23" i="23"/>
  <c r="B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J26" i="23"/>
  <c r="AK26" i="23"/>
  <c r="AL26" i="23"/>
  <c r="AM26" i="23"/>
  <c r="AN26" i="23"/>
  <c r="AO26" i="23"/>
  <c r="AP26" i="23"/>
  <c r="AQ26" i="23"/>
  <c r="AR26" i="23"/>
  <c r="AS26" i="23"/>
  <c r="AT26" i="23"/>
  <c r="AU26" i="23"/>
  <c r="AV26" i="23"/>
  <c r="AW26" i="23"/>
  <c r="AX26" i="23"/>
  <c r="AY26" i="23"/>
  <c r="AZ26" i="23"/>
  <c r="BA26" i="23"/>
  <c r="BB26" i="23"/>
  <c r="BC26" i="23"/>
  <c r="BD26" i="23"/>
  <c r="BE26" i="23"/>
  <c r="BF26" i="23"/>
  <c r="BG26" i="23"/>
  <c r="BH26" i="23"/>
  <c r="BI26" i="23"/>
  <c r="BJ26" i="23"/>
  <c r="BK26" i="23"/>
  <c r="BL26" i="23"/>
  <c r="BM26" i="23"/>
  <c r="BN26" i="23"/>
  <c r="BO26" i="23"/>
  <c r="BP26" i="23"/>
  <c r="BQ26" i="23"/>
  <c r="BR26" i="23"/>
  <c r="BS26" i="23"/>
  <c r="BT26" i="23"/>
  <c r="BU26" i="23"/>
  <c r="BV26" i="23"/>
  <c r="BW26" i="23"/>
  <c r="BX26" i="23"/>
  <c r="BY26" i="23"/>
  <c r="BZ26" i="23"/>
  <c r="CA26" i="23"/>
  <c r="CB26" i="23"/>
  <c r="CC26" i="23"/>
  <c r="CD26" i="23"/>
  <c r="CE26" i="23"/>
  <c r="CF26" i="23"/>
  <c r="CG26" i="23"/>
  <c r="CH26" i="23"/>
  <c r="CI26" i="23"/>
  <c r="CJ26" i="23"/>
  <c r="CK26" i="23"/>
  <c r="CL26" i="23"/>
  <c r="CM26" i="23"/>
  <c r="CN26" i="23"/>
  <c r="CO26" i="23"/>
  <c r="CP26" i="23"/>
  <c r="CQ26" i="23"/>
  <c r="CR26" i="23"/>
  <c r="CS26" i="23"/>
  <c r="CT26" i="23"/>
  <c r="CU26" i="23"/>
  <c r="CV26" i="23"/>
  <c r="CW26" i="23"/>
  <c r="CX26" i="23"/>
  <c r="CY26" i="23"/>
  <c r="CZ26" i="23"/>
  <c r="DA26" i="23"/>
  <c r="DB26" i="23"/>
  <c r="DC26" i="23"/>
  <c r="DD26" i="23"/>
  <c r="DE26" i="23"/>
  <c r="DF26" i="23"/>
  <c r="DG26" i="23"/>
  <c r="DH26" i="23"/>
  <c r="DI26" i="23"/>
  <c r="DJ26" i="23"/>
  <c r="DK26" i="23"/>
  <c r="DL26" i="23"/>
  <c r="DM26" i="23"/>
  <c r="DN26" i="23"/>
  <c r="DO26" i="23"/>
  <c r="DP26" i="23"/>
  <c r="DQ26" i="23"/>
  <c r="DR26" i="23"/>
  <c r="DS26" i="23"/>
  <c r="DT26" i="23"/>
  <c r="DU26" i="23"/>
  <c r="DV26" i="23"/>
  <c r="DW26" i="23"/>
  <c r="DX26" i="23"/>
  <c r="DY26" i="23"/>
  <c r="DZ26" i="23"/>
  <c r="EA26" i="23"/>
  <c r="EB26" i="23"/>
  <c r="EC26" i="23"/>
  <c r="ED26" i="23"/>
  <c r="EE26" i="23"/>
  <c r="EF26" i="23"/>
  <c r="EG26" i="23"/>
  <c r="EH26" i="23"/>
  <c r="EI26" i="23"/>
  <c r="EJ26" i="23"/>
  <c r="EK26" i="23"/>
  <c r="EL26" i="23"/>
  <c r="EM26" i="23"/>
  <c r="EN26" i="23"/>
  <c r="EO26" i="23"/>
  <c r="EP26" i="23"/>
  <c r="EQ26" i="23"/>
  <c r="ER26" i="23"/>
  <c r="ES26" i="23"/>
  <c r="ET26" i="23"/>
  <c r="EU26" i="23"/>
  <c r="EV26" i="23"/>
  <c r="EW26" i="23"/>
  <c r="EX26" i="23"/>
  <c r="EY26" i="23"/>
  <c r="EZ26" i="23"/>
  <c r="FA26" i="23"/>
  <c r="FB26" i="23"/>
  <c r="FC26" i="23"/>
  <c r="FD26" i="23"/>
  <c r="FE26" i="23"/>
  <c r="FF26" i="23"/>
  <c r="FG26" i="23"/>
  <c r="FH26" i="23"/>
  <c r="FI26" i="23"/>
  <c r="FJ26" i="23"/>
  <c r="FK26" i="23"/>
  <c r="FL26" i="23"/>
  <c r="FM26" i="23"/>
  <c r="FN26" i="23"/>
  <c r="FO26" i="23"/>
  <c r="FP26" i="23"/>
  <c r="FQ26" i="23"/>
  <c r="FR26" i="23"/>
  <c r="FS26" i="23"/>
  <c r="FT26" i="23"/>
  <c r="FU26" i="23"/>
  <c r="FV26" i="23"/>
  <c r="FW26" i="23"/>
  <c r="FX26" i="23"/>
  <c r="FY26" i="23"/>
  <c r="FZ26" i="23"/>
  <c r="GA26" i="23"/>
  <c r="GB26" i="23"/>
  <c r="GC26" i="23"/>
  <c r="GD26" i="23"/>
  <c r="GE26" i="23"/>
  <c r="GF26" i="23"/>
  <c r="GG26" i="23"/>
  <c r="A1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</calcChain>
</file>

<file path=xl/comments1.xml><?xml version="1.0" encoding="utf-8"?>
<comments xmlns="http://schemas.openxmlformats.org/spreadsheetml/2006/main">
  <authors>
    <author>bgarrett</author>
  </authors>
  <commentList>
    <comment ref="M12" authorId="0" shapeId="0">
      <text>
        <r>
          <rPr>
            <b/>
            <sz val="8"/>
            <color indexed="81"/>
            <rFont val="Tahoma"/>
          </rPr>
          <t>bgarrett:</t>
        </r>
        <r>
          <rPr>
            <sz val="8"/>
            <color indexed="81"/>
            <rFont val="Tahoma"/>
          </rPr>
          <t xml:space="preserve">
Increased arbitrarily due to concerns that insurance cost assumptions were too low.</t>
        </r>
      </text>
    </comment>
  </commentList>
</comments>
</file>

<file path=xl/sharedStrings.xml><?xml version="1.0" encoding="utf-8"?>
<sst xmlns="http://schemas.openxmlformats.org/spreadsheetml/2006/main" count="749" uniqueCount="524">
  <si>
    <t>Years</t>
  </si>
  <si>
    <t>Revenues</t>
  </si>
  <si>
    <t>EBITDA</t>
  </si>
  <si>
    <t>EBIT</t>
  </si>
  <si>
    <t>Operations</t>
  </si>
  <si>
    <t>Year</t>
  </si>
  <si>
    <t>ASSUMPTIONS AND SUMMARY</t>
  </si>
  <si>
    <t>PROJECT DESCRIPTION:</t>
  </si>
  <si>
    <t xml:space="preserve">  Project Development Costs</t>
  </si>
  <si>
    <t>DEBT FINANCING ASSUMPTIONS:</t>
  </si>
  <si>
    <t>Turbine Rating (MW)</t>
  </si>
  <si>
    <t>Start of Commercial Operation</t>
  </si>
  <si>
    <t>Heat Rate (HHV)</t>
  </si>
  <si>
    <t xml:space="preserve">  Plus Accrued Prop Tax Expense</t>
  </si>
  <si>
    <t xml:space="preserve">  Less Property Tax Payment</t>
  </si>
  <si>
    <t xml:space="preserve">  Plus Accrued Interest Expense</t>
  </si>
  <si>
    <t xml:space="preserve">  Less Interest Payments</t>
  </si>
  <si>
    <t xml:space="preserve">  Less Principal Payments</t>
  </si>
  <si>
    <t>Pretax Cash Flow</t>
  </si>
  <si>
    <t>After Tax Cash Flow</t>
  </si>
  <si>
    <t>Pretax Book Income</t>
  </si>
  <si>
    <t>Residual</t>
  </si>
  <si>
    <t xml:space="preserve">  Spare Parts Inventory</t>
  </si>
  <si>
    <t>After Tax Book Income</t>
  </si>
  <si>
    <t xml:space="preserve">   Plus Book Depreciation &amp; Amortization</t>
  </si>
  <si>
    <t>Income Statement</t>
  </si>
  <si>
    <t>Date of Cashflow</t>
  </si>
  <si>
    <t>Depreciation and Property Taxes</t>
  </si>
  <si>
    <t>Cash Flow Statement</t>
  </si>
  <si>
    <t>State and Federal Tax Calculation</t>
  </si>
  <si>
    <t>BOOK INCOME ASSUMPTIONS</t>
  </si>
  <si>
    <t>Book Depreciation Period</t>
  </si>
  <si>
    <t>Book Residual</t>
  </si>
  <si>
    <t>MODEL TOGGLES:</t>
  </si>
  <si>
    <t>Sources of Funds</t>
  </si>
  <si>
    <t>Uses of Funds</t>
  </si>
  <si>
    <t xml:space="preserve">  Local Counsel</t>
  </si>
  <si>
    <t>15 Year MACRS Table</t>
  </si>
  <si>
    <t>Half-Year Convention</t>
  </si>
  <si>
    <t>Depr. %</t>
  </si>
  <si>
    <t>20 Year MACRS Table</t>
  </si>
  <si>
    <t>PPA ASSUMPTIONS</t>
  </si>
  <si>
    <t xml:space="preserve">   Total Revenue</t>
  </si>
  <si>
    <t xml:space="preserve">   Property Taxes</t>
  </si>
  <si>
    <t xml:space="preserve">   Book Depreciation &amp; Amortization</t>
  </si>
  <si>
    <t xml:space="preserve">   Interest Expense</t>
  </si>
  <si>
    <t xml:space="preserve">   Interest Income</t>
  </si>
  <si>
    <t xml:space="preserve">   Net Interest Expense</t>
  </si>
  <si>
    <t xml:space="preserve">   Book Provision for Taxes</t>
  </si>
  <si>
    <t xml:space="preserve">   Degraded Capacity (MW)</t>
  </si>
  <si>
    <t xml:space="preserve">   Peak Fuel BBtu</t>
  </si>
  <si>
    <t xml:space="preserve">   Fuel $/MWH</t>
  </si>
  <si>
    <t xml:space="preserve">   NOL Utilization</t>
  </si>
  <si>
    <t xml:space="preserve">   Pretax Book Income</t>
  </si>
  <si>
    <t xml:space="preserve">   Debt Iss &amp; Loan Fees - SL</t>
  </si>
  <si>
    <t>Use NOL Carryforward?</t>
  </si>
  <si>
    <t xml:space="preserve">   Capacity Degradation</t>
  </si>
  <si>
    <t xml:space="preserve">   Heat Rate Degradation</t>
  </si>
  <si>
    <t xml:space="preserve">   Peak Days Per Week</t>
  </si>
  <si>
    <t>Annual Peak Operating Hours</t>
  </si>
  <si>
    <t xml:space="preserve">  Beginning Balance</t>
  </si>
  <si>
    <t xml:space="preserve">  Interest </t>
  </si>
  <si>
    <t xml:space="preserve">  Principal</t>
  </si>
  <si>
    <t xml:space="preserve">  Total Debt Service</t>
  </si>
  <si>
    <t xml:space="preserve">  Ending Balance</t>
  </si>
  <si>
    <t>SOURCES AND USES:</t>
  </si>
  <si>
    <t>Hard Costs:</t>
  </si>
  <si>
    <t>Soft Costs:</t>
  </si>
  <si>
    <t>Financing Costs:</t>
  </si>
  <si>
    <t>Installed Cost ($/kW)</t>
  </si>
  <si>
    <t xml:space="preserve">  Land Acquisition</t>
  </si>
  <si>
    <t>Assessed Value Multiplier</t>
  </si>
  <si>
    <t>PROPERTY TAX ASSUMPTIONS</t>
  </si>
  <si>
    <t>Years of School Tax Abatement</t>
  </si>
  <si>
    <t>Years of County Tax Abatement</t>
  </si>
  <si>
    <t>PROPERTY TAX CALCULATION</t>
  </si>
  <si>
    <t xml:space="preserve">   Major Maintenance Accrual</t>
  </si>
  <si>
    <t>Number of Starts per year</t>
  </si>
  <si>
    <t>Cumulative Starts</t>
  </si>
  <si>
    <t>Annual Overhaul Accrual Expense</t>
  </si>
  <si>
    <t>Cumulative Overhaul Accrual Interest Income</t>
  </si>
  <si>
    <t>Annual Overhaul Accrual Interest Income</t>
  </si>
  <si>
    <t>Cumulative Overhaul Accrual Expense</t>
  </si>
  <si>
    <t>Number of Starts per Year</t>
  </si>
  <si>
    <t>Total Cumulative Starts</t>
  </si>
  <si>
    <t>Interest Income Earned @</t>
  </si>
  <si>
    <t xml:space="preserve">   Fuel</t>
  </si>
  <si>
    <t xml:space="preserve">   Business Interruption Insurance</t>
  </si>
  <si>
    <t xml:space="preserve">   Operations and Machinery Insurance</t>
  </si>
  <si>
    <t xml:space="preserve">Subtotal </t>
  </si>
  <si>
    <t xml:space="preserve">  Total Income Tax Expense (Benefit)</t>
  </si>
  <si>
    <t xml:space="preserve">   Maximum Peak Generation (MWh)</t>
  </si>
  <si>
    <t xml:space="preserve">   </t>
  </si>
  <si>
    <t xml:space="preserve">   Capacity ($/kw-mo)</t>
  </si>
  <si>
    <t xml:space="preserve">   Capacity Escalation</t>
  </si>
  <si>
    <t xml:space="preserve">   Marginal cost of Generation $/MWh</t>
  </si>
  <si>
    <t>PPA Assumptions and Pricing Summary</t>
  </si>
  <si>
    <t xml:space="preserve">   Degraded Peak Heat Rate (Btu/kWh)</t>
  </si>
  <si>
    <t xml:space="preserve">   Peak Fuel Cost $000</t>
  </si>
  <si>
    <t>Plant Output Summary</t>
  </si>
  <si>
    <t>PPA Power Pricing Summary</t>
  </si>
  <si>
    <t>Assumed</t>
  </si>
  <si>
    <t>State Gross Receipts Taxes</t>
  </si>
  <si>
    <t xml:space="preserve">   Gross Revenue</t>
  </si>
  <si>
    <t xml:space="preserve">   Gross Receipts Tax Rate</t>
  </si>
  <si>
    <t xml:space="preserve">   Gross Receipts Tax Liability</t>
  </si>
  <si>
    <t>State Franchise Taxes</t>
  </si>
  <si>
    <t xml:space="preserve">   State Franchise Tax Rate</t>
  </si>
  <si>
    <t xml:space="preserve">   State Franchise Tax Liability</t>
  </si>
  <si>
    <t>State Sales and Use Tax Rate</t>
  </si>
  <si>
    <t>State Utility Gross Receipts Tax Rate</t>
  </si>
  <si>
    <t>Principal Amount</t>
  </si>
  <si>
    <t>Term</t>
  </si>
  <si>
    <t>State Income Tax Rate</t>
  </si>
  <si>
    <t>Federal Income Tax Rate</t>
  </si>
  <si>
    <t>Effective Income Tax Rate</t>
  </si>
  <si>
    <t>STATE &amp; FEDERAL TAX ASSUMPTIONS</t>
  </si>
  <si>
    <t xml:space="preserve">Miscellaneous Taxes </t>
  </si>
  <si>
    <t xml:space="preserve">   Cash Taxes Payable/(Benefit)</t>
  </si>
  <si>
    <t xml:space="preserve">   BurnerTip Price ($/MMBtu)</t>
  </si>
  <si>
    <t>Debt Amortization</t>
  </si>
  <si>
    <t>DSCR - Tranche A</t>
  </si>
  <si>
    <t>Interest Rate For Period, Tranche A</t>
  </si>
  <si>
    <t>Interest Rate</t>
  </si>
  <si>
    <t>TOTAL ANNUAL DEBT AMORTIZATION</t>
  </si>
  <si>
    <t xml:space="preserve">  Average Life (years)</t>
  </si>
  <si>
    <t>Avg. Life (years)</t>
  </si>
  <si>
    <t>Maximum Term of Carryforward (years)</t>
  </si>
  <si>
    <t xml:space="preserve">   Asset Management Fee</t>
  </si>
  <si>
    <t>State Franchise Tax Rate (annual flat rate, $000)</t>
  </si>
  <si>
    <t>Pass through Fixed O&amp;M?</t>
  </si>
  <si>
    <t xml:space="preserve">  Construction Insurance</t>
  </si>
  <si>
    <t>Yes</t>
  </si>
  <si>
    <t>Millage Rate for School Tax</t>
  </si>
  <si>
    <t>Millage rate for County Tax</t>
  </si>
  <si>
    <t>Opening</t>
  </si>
  <si>
    <t>Balance</t>
  </si>
  <si>
    <t>Total Assets</t>
  </si>
  <si>
    <t>Liabilities:</t>
  </si>
  <si>
    <t>Long-term debt</t>
  </si>
  <si>
    <t>Total liabilities</t>
  </si>
  <si>
    <t>Capital Stock</t>
  </si>
  <si>
    <t>Total stockholders' equity</t>
  </si>
  <si>
    <t>Dividends Paid</t>
  </si>
  <si>
    <t>Deferred Tax Liability</t>
  </si>
  <si>
    <t>Non-Depreciable Assets</t>
  </si>
  <si>
    <t>Book Income</t>
  </si>
  <si>
    <t>Retained Earnings</t>
  </si>
  <si>
    <t>Assets</t>
  </si>
  <si>
    <t>Stockholders' equity</t>
  </si>
  <si>
    <t>Total liabilities and stockholders' equity:</t>
  </si>
  <si>
    <t>US FEDERAL TAX DEPRECIATION &amp; AMORTIZATION</t>
  </si>
  <si>
    <t xml:space="preserve">   Plant and Equipment - MACRS</t>
  </si>
  <si>
    <t xml:space="preserve">   Start-up Costs - SL </t>
  </si>
  <si>
    <t xml:space="preserve">   Tax Depr - Plant and Equipment</t>
  </si>
  <si>
    <t xml:space="preserve">   Amort - Start-up Costs</t>
  </si>
  <si>
    <t xml:space="preserve">   Amort - Debt Iss &amp; Loan Fees</t>
  </si>
  <si>
    <t xml:space="preserve">   Total Annual Depr &amp; Amort </t>
  </si>
  <si>
    <t>STATE TAX DEPRECIATION &amp; AMORTIZATION</t>
  </si>
  <si>
    <t>BOOK DEPRECIATION &amp; AMORTIZATION</t>
  </si>
  <si>
    <t xml:space="preserve">   Plant and Equipment - SL</t>
  </si>
  <si>
    <t xml:space="preserve">   Book Depr - Plant and Equipment</t>
  </si>
  <si>
    <t xml:space="preserve">   Total Beginning Book Value</t>
  </si>
  <si>
    <t xml:space="preserve">   Ending Book Value of Assets</t>
  </si>
  <si>
    <t xml:space="preserve">   Assessable Value of Hard Assets</t>
  </si>
  <si>
    <t xml:space="preserve">   Annual Depreciated Assessable Value</t>
  </si>
  <si>
    <t xml:space="preserve">   Annual School Tax</t>
  </si>
  <si>
    <t xml:space="preserve">   Annual County Tax </t>
  </si>
  <si>
    <t xml:space="preserve">   Annual City Tax </t>
  </si>
  <si>
    <t xml:space="preserve">   Total Property Tax</t>
  </si>
  <si>
    <t>Months of Year In Operation</t>
  </si>
  <si>
    <t>Positive After Tax Cash Flows</t>
  </si>
  <si>
    <t>Distributions to Equity Holders</t>
  </si>
  <si>
    <t>Deficit Revolver Drawdown</t>
  </si>
  <si>
    <t>Interest on Revolver Balance</t>
  </si>
  <si>
    <t>Cumulative Revolver Debt Payment</t>
  </si>
  <si>
    <t xml:space="preserve">   All-in PPA Power Price $/MWH</t>
  </si>
  <si>
    <t xml:space="preserve">  Contingency</t>
  </si>
  <si>
    <t xml:space="preserve">  Permanent Loan</t>
  </si>
  <si>
    <t>BALANCE OF PLANT COSTS:</t>
  </si>
  <si>
    <t>ELECTRICAL EQUIPMENT COSTS:</t>
  </si>
  <si>
    <t>TURBINE EQUIPMENT COSTS:</t>
  </si>
  <si>
    <t xml:space="preserve">  Environmental Permitting</t>
  </si>
  <si>
    <t xml:space="preserve">  O&amp;M Mobilization Costs</t>
  </si>
  <si>
    <t xml:space="preserve">  Primary Counsel</t>
  </si>
  <si>
    <t xml:space="preserve">  EE&amp;CC Project Management</t>
  </si>
  <si>
    <t xml:space="preserve">  Fuel Used During Startup Testing</t>
  </si>
  <si>
    <t xml:space="preserve">  EBITDA/Debt Service</t>
  </si>
  <si>
    <t>Mortgage Style</t>
  </si>
  <si>
    <t>Level Principal</t>
  </si>
  <si>
    <t>ASSUMED DEBT STRUCTURE</t>
  </si>
  <si>
    <t xml:space="preserve">DSCR DRIVEN </t>
  </si>
  <si>
    <t>Custom 1</t>
  </si>
  <si>
    <t>TOTAL CUSTOM</t>
  </si>
  <si>
    <t xml:space="preserve">Min DSCR </t>
  </si>
  <si>
    <t xml:space="preserve">Avg. DSCR </t>
  </si>
  <si>
    <t>If Assumed, Mortgage Style, Level Principal or Custom?</t>
  </si>
  <si>
    <t xml:space="preserve">   Contractual VO&amp;M pass through ($MWh)</t>
  </si>
  <si>
    <t xml:space="preserve">   Actual Variable O&amp;M Expense $/MWH</t>
  </si>
  <si>
    <t xml:space="preserve">  Turbines  (including DLN, Refurb &amp; Misting System)</t>
  </si>
  <si>
    <t>SOFT COSTS:</t>
  </si>
  <si>
    <t xml:space="preserve">  ECT Contingency</t>
  </si>
  <si>
    <t>TOTAL INSTALLED COST</t>
  </si>
  <si>
    <t xml:space="preserve">  Plus Book Depreciation &amp; Amortization</t>
  </si>
  <si>
    <t>Patronage Capital Return</t>
  </si>
  <si>
    <t>Percentage of Prior Year's Interest Payment</t>
  </si>
  <si>
    <t xml:space="preserve">PATRONAGE CAPITAL CALCULATION </t>
  </si>
  <si>
    <t>EBT</t>
  </si>
  <si>
    <t>Maintenance Reserves</t>
  </si>
  <si>
    <t>Asset Management Fee</t>
  </si>
  <si>
    <t>Labor</t>
  </si>
  <si>
    <t xml:space="preserve">   PPA MWh</t>
  </si>
  <si>
    <t>Fuel Consumption</t>
  </si>
  <si>
    <t xml:space="preserve">   Run Hours</t>
  </si>
  <si>
    <t xml:space="preserve">   Contract Capacity (MW)</t>
  </si>
  <si>
    <t>PPA Term (Years)</t>
  </si>
  <si>
    <t>PPA Breakout</t>
  </si>
  <si>
    <t xml:space="preserve">  Plus Return of LCTCs</t>
  </si>
  <si>
    <t xml:space="preserve">  LCTC Balance</t>
  </si>
  <si>
    <t xml:space="preserve">   Less State Franchise Tax</t>
  </si>
  <si>
    <t xml:space="preserve">   Less State Gross Receipts Tax</t>
  </si>
  <si>
    <t xml:space="preserve">   Adjusted Pretax Book Income</t>
  </si>
  <si>
    <t xml:space="preserve">   Less Tax Depreciation &amp; Amortization</t>
  </si>
  <si>
    <t xml:space="preserve">   State Taxable Income</t>
  </si>
  <si>
    <t xml:space="preserve">   Current State Income Tax Expense (Benefit)</t>
  </si>
  <si>
    <t xml:space="preserve">   Less Current State Income Tax Expense (Benefit)</t>
  </si>
  <si>
    <t>STATE &amp; FEDERAL TAXES</t>
  </si>
  <si>
    <t xml:space="preserve">   Federal Taxable Income</t>
  </si>
  <si>
    <t xml:space="preserve">   Current Federal Income Tax Expense (Benefit)</t>
  </si>
  <si>
    <t>NOL CARRYFORWARD</t>
  </si>
  <si>
    <t xml:space="preserve">   NOL Carryforward Balance</t>
  </si>
  <si>
    <t xml:space="preserve">   Total Current Federal and State Income Tax Expense (Benefit)</t>
  </si>
  <si>
    <t xml:space="preserve">   Total Energy ($/MWH)</t>
  </si>
  <si>
    <t xml:space="preserve">   Total Capacity and FO&amp;M ($/MWH)</t>
  </si>
  <si>
    <t>Gas Curve</t>
  </si>
  <si>
    <t>Balance Sheet</t>
  </si>
  <si>
    <t>Enron Pre-Tax Returns</t>
  </si>
  <si>
    <t xml:space="preserve">Discount Rate </t>
  </si>
  <si>
    <t>Depreciable Assets</t>
  </si>
  <si>
    <t xml:space="preserve">Interest During Construction: </t>
  </si>
  <si>
    <t>ECT Ownership %</t>
  </si>
  <si>
    <t>WEMC Ownership %</t>
  </si>
  <si>
    <t>OTHER PROJECT COSTS:</t>
  </si>
  <si>
    <t xml:space="preserve">No. Turbines </t>
  </si>
  <si>
    <t>GE7Bs</t>
  </si>
  <si>
    <t>GE7EAs</t>
  </si>
  <si>
    <t>7EAs</t>
  </si>
  <si>
    <t>7Bs</t>
  </si>
  <si>
    <t>Net MW</t>
  </si>
  <si>
    <t>Total Project MW</t>
  </si>
  <si>
    <t>Actual</t>
  </si>
  <si>
    <t>Walton EMC Equity</t>
  </si>
  <si>
    <t>Walton EMC Pre-Tax Returns</t>
  </si>
  <si>
    <t>Pretax Project Cashflow</t>
  </si>
  <si>
    <t>Pre-Tax XNPV of Project Cashflow</t>
  </si>
  <si>
    <t>Pre-Tax XNPV of Patronage Capital</t>
  </si>
  <si>
    <t>Total Pre-Tax XNPV</t>
  </si>
  <si>
    <t xml:space="preserve">  Equity Capital = Walton EMC Equity</t>
  </si>
  <si>
    <t>Walton EMC NPV @ 6% discount rate</t>
  </si>
  <si>
    <t xml:space="preserve">Debt </t>
  </si>
  <si>
    <t>Pretax Cashflow (Including Put Value)</t>
  </si>
  <si>
    <t>Total</t>
  </si>
  <si>
    <t xml:space="preserve">  Gas Interconnection Cost</t>
  </si>
  <si>
    <t>Pass through actual or assumed Variable O&amp;M?</t>
  </si>
  <si>
    <t>Assumed VO&amp;M pass through</t>
  </si>
  <si>
    <t>Assumed VO&amp;M pass through escalation (%)</t>
  </si>
  <si>
    <t xml:space="preserve">   Oglethorpe Commodity Price Curve ($/MMBtu)</t>
  </si>
  <si>
    <t xml:space="preserve">   Oglethorpe Transport Cost Assumption for Transco ($/MMBtu)</t>
  </si>
  <si>
    <t xml:space="preserve">   Oglethorpe Delivered Gas Cost Curve ($/MMBtu)</t>
  </si>
  <si>
    <t>Fixed Price or Oglethorpe Gas Curve?</t>
  </si>
  <si>
    <t>Oglethorpe</t>
  </si>
  <si>
    <t>Short-term debt</t>
  </si>
  <si>
    <t>Original Investment</t>
  </si>
  <si>
    <t>Pre-tax Book Income</t>
  </si>
  <si>
    <t>Pre-tax Cash Distributions</t>
  </si>
  <si>
    <t>ECT Balance Sheet</t>
  </si>
  <si>
    <t>New Investment Balance</t>
  </si>
  <si>
    <t>Business Interruption Insurance (% of Rev)</t>
  </si>
  <si>
    <t>Turbine One On-line</t>
  </si>
  <si>
    <t>Turbine Two On-line</t>
  </si>
  <si>
    <t>Turbine Three On-line</t>
  </si>
  <si>
    <t>Turbine Four On-line</t>
  </si>
  <si>
    <t>Turbine Five On-line</t>
  </si>
  <si>
    <t># MWs =</t>
  </si>
  <si>
    <t>Note: Patronage capital cashflows continue for an additional 15 years after the term of the deal.</t>
  </si>
  <si>
    <t xml:space="preserve">Wtd Avg Heat Rate or Twelve-Two? </t>
  </si>
  <si>
    <t>Call Option Price of Plant at end of Term ($000)</t>
  </si>
  <si>
    <t>Yr. 2000 $</t>
  </si>
  <si>
    <t>Max DSCR</t>
  </si>
  <si>
    <t>Fixed Capacity Payment ($/kWmo)</t>
  </si>
  <si>
    <t>Escalating Capacity Payment Escalation</t>
  </si>
  <si>
    <t>Fixed Capacity Payment Escalation</t>
  </si>
  <si>
    <t>Escalating Capacity Payment ($/kWmo)</t>
  </si>
  <si>
    <t xml:space="preserve">Total Pass-through FO&amp;M </t>
  </si>
  <si>
    <t xml:space="preserve">Total Pass-through FO&amp;M $/kW mo </t>
  </si>
  <si>
    <t xml:space="preserve">Total Escalating Capacity Payment  $/kW mo </t>
  </si>
  <si>
    <t xml:space="preserve">Total Escalating Capacity Payment </t>
  </si>
  <si>
    <t>Property Taxes</t>
  </si>
  <si>
    <t>Total FO&amp;M + Esc. Cap. Pmt. Revs. ($)</t>
  </si>
  <si>
    <t>Total FO&amp;M + Esc. Cap. Pmt. Revs. ($/kW mo)</t>
  </si>
  <si>
    <t>Fixed Maintenance</t>
  </si>
  <si>
    <t>Variable Maintenance</t>
  </si>
  <si>
    <t>PASS-THROUGH MAINTENANCE COSTS ($000)</t>
  </si>
  <si>
    <t>Total Pass-through Maintenance Costs</t>
  </si>
  <si>
    <t>Assumed Esc. Cap. Pmt. Escalation</t>
  </si>
  <si>
    <t>Assumed Escalation</t>
  </si>
  <si>
    <t>Total Escalating Capacity Payment Costs</t>
  </si>
  <si>
    <t>ESCALATING CAPACITY PAYMENT COSTS ($000)</t>
  </si>
  <si>
    <t xml:space="preserve">   Labor</t>
  </si>
  <si>
    <t xml:space="preserve">Major Maintenance Accrual </t>
  </si>
  <si>
    <t>Operation &amp; Maintenance Fee</t>
  </si>
  <si>
    <t xml:space="preserve">   Operation &amp; Maintenance Fee</t>
  </si>
  <si>
    <t xml:space="preserve">   PPA Energy Revenue (Fuel and VO&amp;M)</t>
  </si>
  <si>
    <t xml:space="preserve">   Pass-through Fixed O&amp;M Revenue</t>
  </si>
  <si>
    <t xml:space="preserve">   Fixed Capacity Revenue</t>
  </si>
  <si>
    <t xml:space="preserve">   Escalating Capacity Revenue</t>
  </si>
  <si>
    <t xml:space="preserve">   Put Value Revenue</t>
  </si>
  <si>
    <t>Pass-through Fixed O&amp;M Revenue Calculation</t>
  </si>
  <si>
    <t>Escalating Capacity Payment Revenue Calculation</t>
  </si>
  <si>
    <t>($/MWh)</t>
  </si>
  <si>
    <t xml:space="preserve"> </t>
  </si>
  <si>
    <t xml:space="preserve">($/kW mo) </t>
  </si>
  <si>
    <t>Ops and Mach Insurance (% of book value)</t>
  </si>
  <si>
    <t>Total Fixed O&amp;M (partial yr 2000)</t>
  </si>
  <si>
    <t>Variable O&amp;M (partial yr 2000)</t>
  </si>
  <si>
    <t>Pass-through Expenses</t>
  </si>
  <si>
    <t>Escalating Expenses</t>
  </si>
  <si>
    <t xml:space="preserve">   Total Escalating Expenses</t>
  </si>
  <si>
    <t>Total Operating Expenses</t>
  </si>
  <si>
    <t xml:space="preserve">   Fuel Losses During Starts/Stops </t>
  </si>
  <si>
    <t xml:space="preserve">   Startup Power</t>
  </si>
  <si>
    <t>Fuel Losses During Starts/Stops (calculated figure)</t>
  </si>
  <si>
    <t>Startup Power (estimate)</t>
  </si>
  <si>
    <r>
      <t>Property Taxes (no property tax in the 1</t>
    </r>
    <r>
      <rPr>
        <vertAlign val="superscript"/>
        <sz val="9"/>
        <color indexed="8"/>
        <rFont val="Arial"/>
        <family val="2"/>
      </rPr>
      <t>st</t>
    </r>
    <r>
      <rPr>
        <sz val="9"/>
        <color indexed="8"/>
        <rFont val="Arial"/>
        <family val="2"/>
      </rPr>
      <t xml:space="preserve"> year)</t>
    </r>
  </si>
  <si>
    <t>Weighted Average</t>
  </si>
  <si>
    <t xml:space="preserve">  BOP Costs (Incl. $2MM for electrical interconnection)</t>
  </si>
  <si>
    <t xml:space="preserve">MAJOR MAINTENANCE ACCRUAL ASSUMPTIONS </t>
  </si>
  <si>
    <t>Major Maintenance Accrual $ per start per turbine</t>
  </si>
  <si>
    <t>Number of Starts til Major Maintenance</t>
  </si>
  <si>
    <t>NPVs</t>
  </si>
  <si>
    <t>Asset Management Fees</t>
  </si>
  <si>
    <t>O&amp;M Fees</t>
  </si>
  <si>
    <t>Owner's Contingency</t>
  </si>
  <si>
    <t>Owner's contingency</t>
  </si>
  <si>
    <t xml:space="preserve">   Owner's contingency</t>
  </si>
  <si>
    <t>Total Fees</t>
  </si>
  <si>
    <t>Delta</t>
  </si>
  <si>
    <t xml:space="preserve">   One-time Start-up Delay LD Expense</t>
  </si>
  <si>
    <t>Cost/Unit</t>
  </si>
  <si>
    <t>GE 7EAs</t>
  </si>
  <si>
    <t>Refurbished/Uprated 7Bs</t>
  </si>
  <si>
    <t>7Bs Subtotal</t>
  </si>
  <si>
    <t>7EAs Subtotal</t>
  </si>
  <si>
    <t>MISCELLANEOUS HARD COSTS:</t>
  </si>
  <si>
    <t>SUBTOTAL - BOP</t>
  </si>
  <si>
    <t xml:space="preserve">  Unrefurbished 7Bs</t>
  </si>
  <si>
    <t xml:space="preserve">  Refurbishment Costs</t>
  </si>
  <si>
    <t xml:space="preserve">  Evap Cooling System for 7Bs</t>
  </si>
  <si>
    <t xml:space="preserve">  Base Cost</t>
  </si>
  <si>
    <t xml:space="preserve">  Evaporative Cooling System Cost</t>
  </si>
  <si>
    <t xml:space="preserve">  Exhaust Stack Cost</t>
  </si>
  <si>
    <t xml:space="preserve">  Original Scope Total</t>
  </si>
  <si>
    <t xml:space="preserve">  Fixed G&amp;A</t>
  </si>
  <si>
    <t xml:space="preserve">  NEPCO Margin</t>
  </si>
  <si>
    <t xml:space="preserve">  Reimbusement to OPC for Construction of Substation</t>
  </si>
  <si>
    <t xml:space="preserve">  Pwr Dist Transformers</t>
  </si>
  <si>
    <t xml:space="preserve">  Load Center Transformers</t>
  </si>
  <si>
    <t>SUBTOTAL - ELECTRICAL EQUIPMENT COST</t>
  </si>
  <si>
    <t>SUBTOTAL - TURBINE COST</t>
  </si>
  <si>
    <t>SUBTOTAL - MISCELLANEOUS HARD COSTS</t>
  </si>
  <si>
    <t>SUBTOTAL - SOFT COSTS</t>
  </si>
  <si>
    <t>SUBTOTAL - OTHER COSTS</t>
  </si>
  <si>
    <t># of Units</t>
  </si>
  <si>
    <t>Project Doyle Construction and Development Budget</t>
  </si>
  <si>
    <t>BUDGET ITEM</t>
  </si>
  <si>
    <t>MWs of Capacity Online</t>
  </si>
  <si>
    <t>Start-up Cashflow</t>
  </si>
  <si>
    <t>Debt Service Trigger</t>
  </si>
  <si>
    <t>Expenses</t>
  </si>
  <si>
    <t xml:space="preserve">   Total Expenses</t>
  </si>
  <si>
    <t xml:space="preserve">  Capitalized Interest</t>
  </si>
  <si>
    <t xml:space="preserve">   7Bs &amp; Refurbishment</t>
  </si>
  <si>
    <t xml:space="preserve">   7EAs</t>
  </si>
  <si>
    <t xml:space="preserve">   Soft Costs</t>
  </si>
  <si>
    <t xml:space="preserve">   Miscellaneous Hard Costs</t>
  </si>
  <si>
    <t xml:space="preserve">   OPC Deposit</t>
  </si>
  <si>
    <t xml:space="preserve">   Cumulative Draws</t>
  </si>
  <si>
    <t>IDC Interest Rate</t>
  </si>
  <si>
    <t xml:space="preserve">   Prior Period IDC</t>
  </si>
  <si>
    <t xml:space="preserve">   BOP</t>
  </si>
  <si>
    <t>Absolute Dollar Amounts Drawn</t>
  </si>
  <si>
    <t>Draws Under Loan Agreement</t>
  </si>
  <si>
    <t xml:space="preserve">   Cumulative Amount</t>
  </si>
  <si>
    <t xml:space="preserve">   Walton Loan Fee</t>
  </si>
  <si>
    <t xml:space="preserve">   Cumulative IDC</t>
  </si>
  <si>
    <t>Draws on Walton Equity</t>
  </si>
  <si>
    <t xml:space="preserve">   Contingency</t>
  </si>
  <si>
    <t>ECT Cost Contingency:</t>
  </si>
  <si>
    <t xml:space="preserve">  Total Uses</t>
  </si>
  <si>
    <t xml:space="preserve">   Cumulative Draws Including IDC</t>
  </si>
  <si>
    <t xml:space="preserve">   Cumulative Costs Excluding IDC</t>
  </si>
  <si>
    <t>LCTC Return</t>
  </si>
  <si>
    <t>Pre-Tax XNPV of LCTC Return</t>
  </si>
  <si>
    <t>PRE-TAX RETURNS:</t>
  </si>
  <si>
    <t>ECT NPV of Project Cashflows @ 12% discount rate</t>
  </si>
  <si>
    <t>PROJECT DOYLE</t>
  </si>
  <si>
    <t>Cash Balance</t>
  </si>
  <si>
    <t>IDC</t>
  </si>
  <si>
    <t>FILE LOCATION:</t>
  </si>
  <si>
    <t xml:space="preserve">   Non-Capitalized IDC Expense</t>
  </si>
  <si>
    <t xml:space="preserve">   Debt Service Expense</t>
  </si>
  <si>
    <t>Adjustment Factor</t>
  </si>
  <si>
    <t>MORTGAGE STYLE</t>
  </si>
  <si>
    <t>Semi-annual Payments</t>
  </si>
  <si>
    <t>Annual Accrued Debt Service</t>
  </si>
  <si>
    <t>DSCR</t>
  </si>
  <si>
    <t>Annual Debt Service</t>
  </si>
  <si>
    <t xml:space="preserve">  Loan Fee</t>
  </si>
  <si>
    <t xml:space="preserve">  Sales Tax on Supplies/Materials (included in previous bid, EE&amp;CC says not included in current bid)</t>
  </si>
  <si>
    <t xml:space="preserve">  Retention Pond Adder</t>
  </si>
  <si>
    <t xml:space="preserve">  Cooling Tower Addition</t>
  </si>
  <si>
    <t xml:space="preserve">  Road Widening Adder</t>
  </si>
  <si>
    <t xml:space="preserve">  Fire Water Tank Size Increase</t>
  </si>
  <si>
    <t xml:space="preserve">  Additional Clearing &amp; Grading for Switchyard and Laydown Area</t>
  </si>
  <si>
    <t>Original 7B Purchase/Refurb Budget</t>
  </si>
  <si>
    <t xml:space="preserve">NOTE: Assumes 61MW output from each 7B to maintain 1.03 DSCR by adjusting Contingency. </t>
  </si>
  <si>
    <t>Current Budget</t>
  </si>
  <si>
    <t xml:space="preserve">  EE&amp;CC Home Office</t>
  </si>
  <si>
    <t xml:space="preserve">   Cost increases/Change orders</t>
  </si>
  <si>
    <t xml:space="preserve">  Additional Contingency (formerly loan fee)</t>
  </si>
  <si>
    <t xml:space="preserve">  Total Sources</t>
  </si>
  <si>
    <t xml:space="preserve">   Loan Fee</t>
  </si>
  <si>
    <t>Total Project Debt =</t>
  </si>
  <si>
    <t xml:space="preserve">  ECT Refurb Management &amp; 7EA contract management</t>
  </si>
  <si>
    <t>COMPONENT</t>
  </si>
  <si>
    <t>IBC</t>
  </si>
  <si>
    <t>Fixed or Open</t>
  </si>
  <si>
    <t>Lump Sum Turnkey</t>
  </si>
  <si>
    <t>N/A</t>
  </si>
  <si>
    <t>Dow Overhaul</t>
  </si>
  <si>
    <t>Open</t>
  </si>
  <si>
    <t>Fixed</t>
  </si>
  <si>
    <t>BOP Refurb</t>
  </si>
  <si>
    <t>Inlets/Exhausts/Evap Coolers</t>
  </si>
  <si>
    <t>HGP Parts Refurb</t>
  </si>
  <si>
    <t>Generators Refurb</t>
  </si>
  <si>
    <t>Project Mgt. Fee</t>
  </si>
  <si>
    <t>Rotor Coating Backout</t>
  </si>
  <si>
    <t>LEC Installation</t>
  </si>
  <si>
    <t>LEC TDI</t>
  </si>
  <si>
    <t>Component shipping</t>
  </si>
  <si>
    <t>GTG shipping</t>
  </si>
  <si>
    <t>Warehouse lease</t>
  </si>
  <si>
    <t>Subtotal</t>
  </si>
  <si>
    <t>Other Items</t>
  </si>
  <si>
    <t>Control System</t>
  </si>
  <si>
    <t>Dow Inlet</t>
  </si>
  <si>
    <t>LEC Equipment</t>
  </si>
  <si>
    <t>Water Wash Manifolds</t>
  </si>
  <si>
    <t>Dow Rotor Refurb</t>
  </si>
  <si>
    <t>SUBTOTAL</t>
  </si>
  <si>
    <t>TBD Items</t>
  </si>
  <si>
    <t>Subtotal of TBD</t>
  </si>
  <si>
    <t>TOTAL</t>
  </si>
  <si>
    <t>Total Fixed</t>
  </si>
  <si>
    <t>Original Refurb Budget</t>
  </si>
  <si>
    <t>Total Open</t>
  </si>
  <si>
    <t>Over Budget Amount</t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</si>
  <si>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Skids</t>
    </r>
  </si>
  <si>
    <t>Enron Capital Account</t>
  </si>
  <si>
    <t>Walton Capital Account</t>
  </si>
  <si>
    <t xml:space="preserve">    Variable Maintenance</t>
  </si>
  <si>
    <t xml:space="preserve">    Fixed Maintenance</t>
  </si>
  <si>
    <t xml:space="preserve">    Total Fixed Pass-through Expenses</t>
  </si>
  <si>
    <t xml:space="preserve">    Total Variable Pass-through Expenses</t>
  </si>
  <si>
    <t xml:space="preserve">  Budget Shortfall</t>
  </si>
  <si>
    <t xml:space="preserve">  Prudency</t>
  </si>
  <si>
    <t>NET SHORTFALL</t>
  </si>
  <si>
    <t>SENSITIVITY OF CAPACITY PAYMENT TO INTEREST RATE CHANGES</t>
  </si>
  <si>
    <t>New Capacity Amount ($/kW month)</t>
  </si>
  <si>
    <t>Delta from Original Amount ($/kW month)</t>
  </si>
  <si>
    <t xml:space="preserve">  Engineered Equipment</t>
  </si>
  <si>
    <t xml:space="preserve">  Construction Directs</t>
  </si>
  <si>
    <t xml:space="preserve">  Construction Indirects</t>
  </si>
  <si>
    <t xml:space="preserve">  Sales Tax on Materials</t>
  </si>
  <si>
    <t xml:space="preserve">  Engineering</t>
  </si>
  <si>
    <t xml:space="preserve">  Startup</t>
  </si>
  <si>
    <t xml:space="preserve">  NEPCO Home Office</t>
  </si>
  <si>
    <t xml:space="preserve">  NEPCO Overheads</t>
  </si>
  <si>
    <t xml:space="preserve">  NEPCO Fixed G&amp;A</t>
  </si>
  <si>
    <t>Original Budget</t>
  </si>
  <si>
    <t>Delainey Estimate</t>
  </si>
  <si>
    <t xml:space="preserve">  NEPCO Profit</t>
  </si>
  <si>
    <t>Base Bid</t>
  </si>
  <si>
    <t xml:space="preserve">TOTAL HARD COSTS </t>
  </si>
  <si>
    <t>TOTAL HARD COSTS</t>
  </si>
  <si>
    <t>NOTE: Adjusted to provide $100,000 per year cushion to Doyle.</t>
  </si>
  <si>
    <t>FLAT ADJUSTMENT FOR FLOATING IDC RATE = $250,000</t>
  </si>
  <si>
    <t>7B TURBINE REFURBISHMENT BUDGET</t>
  </si>
  <si>
    <t>TOTAL NEPCO</t>
  </si>
  <si>
    <t>BOP TARGET</t>
  </si>
  <si>
    <t>SUBTOTAL - NEPCO</t>
  </si>
  <si>
    <t>OTHER BOP CONSTRUCTION COSTS:</t>
  </si>
  <si>
    <t>SUBTOTAL - OTHER</t>
  </si>
  <si>
    <t xml:space="preserve">Project Mgt. Expense </t>
  </si>
  <si>
    <t>Yong Wol Overhaul</t>
  </si>
  <si>
    <t>Potential Savings</t>
  </si>
  <si>
    <t>Prelim Updated Estimate</t>
  </si>
  <si>
    <t>ECT Contingency</t>
  </si>
  <si>
    <t>HGP parts for Dow</t>
  </si>
  <si>
    <t>LEC Install/Fuel System/TDI</t>
  </si>
  <si>
    <t>Increase/(Decrease)</t>
  </si>
  <si>
    <t>BOP TARGET:</t>
  </si>
  <si>
    <t xml:space="preserve">  IDC</t>
  </si>
  <si>
    <t>SUBSTATION/TRANSFORMER COSTS</t>
  </si>
  <si>
    <t>ECT Cost</t>
  </si>
  <si>
    <t>OPC Reimbursement Amt</t>
  </si>
  <si>
    <t>ECT Profit</t>
  </si>
  <si>
    <t>(2) 230kV Transformers</t>
  </si>
  <si>
    <t>(3) 115kV Transformers</t>
  </si>
  <si>
    <t>(1) 7B Generator Breaker</t>
  </si>
  <si>
    <t>(1) 7EA Generator Breaker</t>
  </si>
  <si>
    <t>ACTUAL PROJECT COST</t>
  </si>
  <si>
    <t>Working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</si>
</sst>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General_)"/>
    <numFmt numFmtId="167" formatCode="0_)"/>
    <numFmt numFmtId="170" formatCode="0.00_)"/>
    <numFmt numFmtId="171" formatCode="0.0%"/>
    <numFmt numFmtId="172" formatCode="#,##0.0_);\(#,##0.0\)"/>
    <numFmt numFmtId="173" formatCode=";;;"/>
    <numFmt numFmtId="174" formatCode="0.000%"/>
    <numFmt numFmtId="176" formatCode="#,##0.000_);\(#,##0.000\)"/>
    <numFmt numFmtId="181" formatCode="#,##0.000_);[Red]\(#,##0.000\)"/>
    <numFmt numFmtId="183" formatCode="0.0000%"/>
    <numFmt numFmtId="185" formatCode="#,##0.0000_);[Red]\(#,##0.0000\)"/>
    <numFmt numFmtId="189" formatCode="0.0"/>
    <numFmt numFmtId="190" formatCode="0.000"/>
    <numFmt numFmtId="191" formatCode="0.0000"/>
    <numFmt numFmtId="203" formatCode="_(&quot;$&quot;* #,##0_);_(&quot;$&quot;* \(#,##0\);_(&quot;$&quot;* &quot;-&quot;??_);_(@_)"/>
    <numFmt numFmtId="204" formatCode="0.000_)"/>
    <numFmt numFmtId="205" formatCode="_(* #,##0.0_);_(* \(#,##0.0\);_(* &quot;-&quot;??_);_(@_)"/>
    <numFmt numFmtId="206" formatCode="_(* #,##0_);_(* \(#,##0\);_(* &quot;-&quot;??_);_(@_)"/>
    <numFmt numFmtId="207" formatCode="_(* #,##0.000_);_(* \(#,##0.000\);_(* &quot;-&quot;??_);_(@_)"/>
    <numFmt numFmtId="208" formatCode="_(* #,##0.0000_);_(* \(#,##0.0000\);_(* &quot;-&quot;??_);_(@_)"/>
    <numFmt numFmtId="209" formatCode="_(* #,##0.00000_);_(* \(#,##0.00000\);_(* &quot;-&quot;??_);_(@_)"/>
    <numFmt numFmtId="210" formatCode="_(* #,##0.000000_);_(* \(#,##0.000000\);_(* &quot;-&quot;??_);_(@_)"/>
    <numFmt numFmtId="211" formatCode="_(* #,##0.0000000_);_(* \(#,##0.0000000\);_(* &quot;-&quot;??_);_(@_)"/>
    <numFmt numFmtId="214" formatCode="0.00000%"/>
    <numFmt numFmtId="218" formatCode="&quot;$&quot;#,##0.000_);\(&quot;$&quot;#,##0.000\)"/>
    <numFmt numFmtId="222" formatCode="0.0000_)"/>
    <numFmt numFmtId="223" formatCode="&quot;$&quot;#,##0.0000000_);\(&quot;$&quot;#,##0.0000000\)"/>
    <numFmt numFmtId="224" formatCode="0.000000000"/>
    <numFmt numFmtId="225" formatCode="0.0000000000"/>
    <numFmt numFmtId="226" formatCode="0.00000000"/>
    <numFmt numFmtId="238" formatCode="0.000000000_)"/>
    <numFmt numFmtId="243" formatCode="mmm\-yy_)"/>
    <numFmt numFmtId="251" formatCode="_(* #,##0.00_);_(* \(#,##0.00\);_(* &quot;-&quot;_);_(@_)"/>
    <numFmt numFmtId="252" formatCode="_(* #,##0.000_);_(* \(#,##0.000\);_(* &quot;-&quot;_);_(@_)"/>
    <numFmt numFmtId="259" formatCode="_(* #,##0.0000000000_);_(* \(#,##0.0000000000\);_(* &quot;-&quot;_);_(@_)"/>
    <numFmt numFmtId="261" formatCode="_(* #,##0.000000000000_);_(* \(#,##0.000000000000\);_(* &quot;-&quot;_);_(@_)"/>
    <numFmt numFmtId="262" formatCode="_(* #,##0.0000000000000_);_(* \(#,##0.0000000000000\);_(* &quot;-&quot;_);_(@_)"/>
    <numFmt numFmtId="263" formatCode="_(* #,##0.00000000000000_);_(* \(#,##0.00000000000000\);_(* &quot;-&quot;_);_(@_)"/>
    <numFmt numFmtId="264" formatCode="_(* #,##0.00000000_);_(* \(#,##0.00000000\);_(* &quot;-&quot;??_);_(@_)"/>
    <numFmt numFmtId="265" formatCode="_(* #,##0.0_);_(* \(#,##0.0\);_(* &quot;-&quot;?_);_(@_)"/>
    <numFmt numFmtId="269" formatCode="0.00_);[Red]\(0.00\)"/>
    <numFmt numFmtId="270" formatCode="0_);[Red]\(0\)"/>
    <numFmt numFmtId="271" formatCode="m/d/yyyy\ h:mm:ss"/>
    <numFmt numFmtId="272" formatCode="_(* #,##0.000_);_(* \(#,##0.000\);_(* &quot;-&quot;???_);_(@_)"/>
    <numFmt numFmtId="273" formatCode="00000"/>
    <numFmt numFmtId="275" formatCode="&quot;$&quot;#,##0.00"/>
    <numFmt numFmtId="299" formatCode="0.00000000000"/>
    <numFmt numFmtId="304" formatCode="0.0000000000000000"/>
    <numFmt numFmtId="305" formatCode="0.00000000000000000"/>
    <numFmt numFmtId="306" formatCode="m"/>
    <numFmt numFmtId="307" formatCode="_(&quot;$&quot;* #,##0.000_);_(&quot;$&quot;* \(#,##0.000\);_(&quot;$&quot;* &quot;-&quot;??_);_(@_)"/>
    <numFmt numFmtId="308" formatCode="_(&quot;$&quot;* #,##0.0000_);_(&quot;$&quot;* \(#,##0.0000\);_(&quot;$&quot;* &quot;-&quot;??_);_(@_)"/>
    <numFmt numFmtId="309" formatCode="_(&quot;$&quot;* #,##0.00000_);_(&quot;$&quot;* \(#,##0.00000\);_(&quot;$&quot;* &quot;-&quot;??_);_(@_)"/>
    <numFmt numFmtId="310" formatCode="_(&quot;$&quot;* #,##0.000000_);_(&quot;$&quot;* \(#,##0.000000\);_(&quot;$&quot;* &quot;-&quot;??_);_(@_)"/>
    <numFmt numFmtId="311" formatCode="_(&quot;$&quot;* #,##0.0000000_);_(&quot;$&quot;* \(#,##0.0000000\);_(&quot;$&quot;* &quot;-&quot;??_);_(@_)"/>
    <numFmt numFmtId="313" formatCode="0.000000000000000000"/>
    <numFmt numFmtId="318" formatCode="#,##0.00000000000000000000"/>
    <numFmt numFmtId="319" formatCode="0.000E+00"/>
    <numFmt numFmtId="320" formatCode="0.0000E+00"/>
    <numFmt numFmtId="321" formatCode="&quot;$&quot;#,##0.0000"/>
    <numFmt numFmtId="322" formatCode="&quot;$&quot;#,##0.00000"/>
    <numFmt numFmtId="323" formatCode="0.000000%"/>
    <numFmt numFmtId="324" formatCode="0.0000000%"/>
    <numFmt numFmtId="331" formatCode="0.00000000000000%"/>
    <numFmt numFmtId="332" formatCode="0.000000000000000%"/>
    <numFmt numFmtId="333" formatCode="\£#,##0_);\(\£#,##0\)"/>
    <numFmt numFmtId="334" formatCode="\£#,##0.00_);[Red]\(\£#,##0.00\)"/>
    <numFmt numFmtId="335" formatCode="\£#,##0.0_);[Red]\(\£#,##0.0\)"/>
    <numFmt numFmtId="336" formatCode="\£#,##0_);[Red]\(\£#,##0\)"/>
    <numFmt numFmtId="337" formatCode="##0.000"/>
    <numFmt numFmtId="338" formatCode="\£#,##0.0_);\(\£#,##0.0\)"/>
    <numFmt numFmtId="339" formatCode="\£#,##0.00_);\(\£#,##0.00\)"/>
    <numFmt numFmtId="340" formatCode="\£#,##0.000_);\(\£#,##0.000\)"/>
    <numFmt numFmtId="341" formatCode="\£#,##0.0000_);\(\£#,##0.0000\)"/>
    <numFmt numFmtId="343" formatCode="&quot;$&quot;#,##0;[Red]&quot;$&quot;#,##0"/>
    <numFmt numFmtId="344" formatCode="0.0000000000000000000000"/>
    <numFmt numFmtId="347" formatCode="0.0000000000000000000000000"/>
    <numFmt numFmtId="348" formatCode="0.00000000000000000000000000"/>
    <numFmt numFmtId="349" formatCode="0.000000000000000000000000000"/>
    <numFmt numFmtId="350" formatCode="0.0000000000000000000000000000"/>
    <numFmt numFmtId="352" formatCode="0.000000000000000000000000000000"/>
    <numFmt numFmtId="354" formatCode="0.00000000000000000000000000000000"/>
    <numFmt numFmtId="355" formatCode="0.000000000000000000000000000000000"/>
    <numFmt numFmtId="356" formatCode="0.0000000000000000000000000000000000"/>
    <numFmt numFmtId="357" formatCode="0.00000000000000000000000000000000000"/>
    <numFmt numFmtId="358" formatCode="dd\-mmm\-yy"/>
    <numFmt numFmtId="359" formatCode="mm/dd/yy"/>
  </numFmts>
  <fonts count="132">
    <font>
      <sz val="10"/>
      <name val="Arial"/>
    </font>
    <font>
      <b/>
      <sz val="10"/>
      <name val="Arial"/>
    </font>
    <font>
      <sz val="10"/>
      <name val="Arial"/>
    </font>
    <font>
      <sz val="12"/>
      <color indexed="8"/>
      <name val="Arial MT"/>
    </font>
    <font>
      <sz val="10"/>
      <name val="MS Sans Serif"/>
    </font>
    <font>
      <sz val="8"/>
      <name val="Arial"/>
    </font>
    <font>
      <sz val="10"/>
      <name val="Courier"/>
    </font>
    <font>
      <sz val="8"/>
      <name val="Arial"/>
      <family val="2"/>
    </font>
    <font>
      <sz val="8"/>
      <color indexed="12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u val="singleAccounting"/>
      <sz val="8"/>
      <name val="Arial"/>
      <family val="2"/>
    </font>
    <font>
      <u/>
      <sz val="8"/>
      <name val="Arial"/>
      <family val="2"/>
    </font>
    <font>
      <sz val="8"/>
      <color indexed="81"/>
      <name val="Tahoma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sz val="9"/>
      <color indexed="12"/>
      <name val="Arial"/>
      <family val="2"/>
    </font>
    <font>
      <i/>
      <sz val="8"/>
      <name val="Arial"/>
      <family val="2"/>
    </font>
    <font>
      <sz val="9"/>
      <color indexed="8"/>
      <name val="Arial"/>
      <family val="2"/>
    </font>
    <font>
      <b/>
      <u/>
      <sz val="8"/>
      <name val="Arial"/>
      <family val="2"/>
    </font>
    <font>
      <sz val="9"/>
      <color indexed="56"/>
      <name val="Arial"/>
      <family val="2"/>
    </font>
    <font>
      <sz val="9"/>
      <color indexed="9"/>
      <name val="Arial"/>
      <family val="2"/>
    </font>
    <font>
      <b/>
      <sz val="8"/>
      <color indexed="8"/>
      <name val="Arial"/>
      <family val="2"/>
    </font>
    <font>
      <u val="doubleAccounting"/>
      <sz val="8"/>
      <name val="Arial"/>
    </font>
    <font>
      <u val="singleAccounting"/>
      <sz val="8"/>
      <name val="Arial"/>
    </font>
    <font>
      <b/>
      <u/>
      <sz val="8"/>
      <name val="Arial"/>
    </font>
    <font>
      <sz val="10"/>
      <name val="Times New Roman"/>
    </font>
    <font>
      <sz val="9"/>
      <color indexed="12"/>
      <name val="Arial"/>
    </font>
    <font>
      <b/>
      <sz val="8"/>
      <color indexed="81"/>
      <name val="Tahoma"/>
    </font>
    <font>
      <sz val="9"/>
      <name val="Arial"/>
    </font>
    <font>
      <b/>
      <sz val="16"/>
      <name val="Arial"/>
    </font>
    <font>
      <u/>
      <sz val="8"/>
      <name val="Arial"/>
    </font>
    <font>
      <i/>
      <sz val="9"/>
      <name val="Arial"/>
    </font>
    <font>
      <b/>
      <u/>
      <sz val="12"/>
      <name val="Arial"/>
    </font>
    <font>
      <u/>
      <sz val="11"/>
      <name val="Arial"/>
    </font>
    <font>
      <b/>
      <sz val="12"/>
      <name val="Arial"/>
    </font>
    <font>
      <sz val="10"/>
      <color indexed="8"/>
      <name val="Arial"/>
      <family val="2"/>
    </font>
    <font>
      <sz val="12"/>
      <name val="Helv"/>
    </font>
    <font>
      <b/>
      <sz val="10"/>
      <color indexed="10"/>
      <name val="Arial"/>
      <family val="2"/>
    </font>
    <font>
      <u/>
      <sz val="9"/>
      <name val="Arial"/>
    </font>
    <font>
      <sz val="8"/>
      <color indexed="12"/>
      <name val="Arial"/>
    </font>
    <font>
      <sz val="10"/>
      <name val="Arial"/>
    </font>
    <font>
      <b/>
      <u/>
      <sz val="12"/>
      <name val="Arial"/>
      <family val="2"/>
    </font>
    <font>
      <b/>
      <i/>
      <u/>
      <sz val="8"/>
      <name val="Arial"/>
      <family val="2"/>
    </font>
    <font>
      <b/>
      <u/>
      <sz val="9"/>
      <name val="Arial"/>
      <family val="2"/>
    </font>
    <font>
      <b/>
      <sz val="10"/>
      <color indexed="12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9"/>
      <color indexed="10"/>
      <name val="Arial"/>
      <family val="2"/>
    </font>
    <font>
      <u val="singleAccounting"/>
      <sz val="9"/>
      <name val="Arial"/>
      <family val="2"/>
    </font>
    <font>
      <b/>
      <sz val="9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b/>
      <i/>
      <sz val="8"/>
      <name val="Arial"/>
      <family val="2"/>
    </font>
    <font>
      <sz val="12"/>
      <color indexed="10"/>
      <name val="Arial"/>
      <family val="2"/>
    </font>
    <font>
      <u val="double"/>
      <sz val="10"/>
      <name val="Arial"/>
      <family val="2"/>
    </font>
    <font>
      <sz val="9"/>
      <color indexed="10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10"/>
      <name val="Times New Roman"/>
      <family val="1"/>
    </font>
    <font>
      <sz val="8"/>
      <name val="Arial"/>
    </font>
    <font>
      <sz val="8"/>
      <name val="MS Sans Serif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0"/>
      <name val="Arial Narrow"/>
      <family val="2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u val="doubleAccounting"/>
      <sz val="8"/>
      <name val="Arial"/>
      <family val="2"/>
    </font>
    <font>
      <b/>
      <sz val="9"/>
      <color indexed="8"/>
      <name val="Arial"/>
      <family val="2"/>
    </font>
    <font>
      <b/>
      <u/>
      <sz val="10"/>
      <name val="Arial"/>
      <family val="2"/>
    </font>
    <font>
      <u val="doubleAccounting"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u val="singleAccounting"/>
      <sz val="9"/>
      <color indexed="12"/>
      <name val="Arial"/>
      <family val="2"/>
    </font>
    <font>
      <b/>
      <sz val="9"/>
      <name val="Arial"/>
      <family val="2"/>
    </font>
    <font>
      <b/>
      <u val="singleAccounting"/>
      <sz val="10"/>
      <name val="Arial"/>
      <family val="2"/>
    </font>
    <font>
      <b/>
      <u/>
      <sz val="16"/>
      <name val="Arial"/>
      <family val="2"/>
    </font>
    <font>
      <u val="singleAccounting"/>
      <sz val="8"/>
      <color indexed="12"/>
      <name val="Arial"/>
      <family val="2"/>
    </font>
    <font>
      <u/>
      <sz val="9"/>
      <color indexed="12"/>
      <name val="Arial"/>
      <family val="2"/>
    </font>
    <font>
      <sz val="16"/>
      <color indexed="12"/>
      <name val="Arial"/>
      <family val="2"/>
    </font>
    <font>
      <b/>
      <sz val="36"/>
      <color indexed="12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vertAlign val="superscript"/>
      <sz val="9"/>
      <color indexed="8"/>
      <name val="Arial"/>
      <family val="2"/>
    </font>
    <font>
      <u/>
      <sz val="16"/>
      <name val="Arial"/>
      <family val="2"/>
    </font>
    <font>
      <b/>
      <sz val="18"/>
      <name val="Arial"/>
      <family val="2"/>
    </font>
    <font>
      <vertAlign val="subscript"/>
      <sz val="10"/>
      <name val="Arial"/>
      <family val="2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3">
    <xf numFmtId="0" fontId="0" fillId="0" borderId="0"/>
    <xf numFmtId="0" fontId="63" fillId="0" borderId="0"/>
    <xf numFmtId="299" fontId="2" fillId="2" borderId="1">
      <alignment horizontal="center" vertical="center"/>
    </xf>
    <xf numFmtId="43" fontId="2" fillId="0" borderId="0" applyFont="0" applyFill="0" applyBorder="0" applyAlignment="0" applyProtection="0"/>
    <xf numFmtId="40" fontId="2" fillId="3" borderId="0" applyFont="0" applyBorder="0" applyAlignment="0" applyProtection="0"/>
    <xf numFmtId="44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6" fontId="66" fillId="0" borderId="0">
      <protection locked="0"/>
    </xf>
    <xf numFmtId="223" fontId="2" fillId="0" borderId="0" applyFont="0" applyFill="0" applyBorder="0" applyAlignment="0" applyProtection="0"/>
    <xf numFmtId="225" fontId="2" fillId="0" borderId="0" applyFont="0" applyFill="0" applyBorder="0" applyAlignment="0" applyProtection="0"/>
    <xf numFmtId="313" fontId="2" fillId="0" borderId="0">
      <protection locked="0"/>
    </xf>
    <xf numFmtId="38" fontId="7" fillId="4" borderId="0" applyNumberFormat="0" applyBorder="0" applyAlignment="0" applyProtection="0"/>
    <xf numFmtId="0" fontId="72" fillId="0" borderId="0" applyNumberFormat="0" applyFill="0" applyBorder="0" applyAlignment="0" applyProtection="0"/>
    <xf numFmtId="359" fontId="2" fillId="0" borderId="0">
      <protection locked="0"/>
    </xf>
    <xf numFmtId="359" fontId="2" fillId="0" borderId="0">
      <protection locked="0"/>
    </xf>
    <xf numFmtId="0" fontId="14" fillId="0" borderId="2" applyNumberFormat="0" applyFill="0" applyAlignment="0" applyProtection="0"/>
    <xf numFmtId="10" fontId="7" fillId="5" borderId="3" applyNumberFormat="0" applyBorder="0" applyAlignment="0" applyProtection="0"/>
    <xf numFmtId="37" fontId="74" fillId="0" borderId="0"/>
    <xf numFmtId="170" fontId="75" fillId="0" borderId="0"/>
    <xf numFmtId="0" fontId="3" fillId="0" borderId="0"/>
    <xf numFmtId="37" fontId="5" fillId="0" borderId="0" applyBorder="0" applyAlignment="0" applyProtection="0">
      <alignment horizontal="center"/>
    </xf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2" fillId="6" borderId="0"/>
    <xf numFmtId="359" fontId="2" fillId="0" borderId="5">
      <protection locked="0"/>
    </xf>
    <xf numFmtId="333" fontId="7" fillId="0" borderId="0"/>
    <xf numFmtId="38" fontId="7" fillId="8" borderId="0" applyNumberFormat="0" applyBorder="0" applyAlignment="0" applyProtection="0"/>
    <xf numFmtId="37" fontId="7" fillId="8" borderId="0" applyNumberFormat="0" applyBorder="0" applyAlignment="0" applyProtection="0"/>
    <xf numFmtId="37" fontId="5" fillId="0" borderId="0"/>
    <xf numFmtId="37" fontId="5" fillId="4" borderId="0" applyNumberFormat="0" applyBorder="0" applyAlignment="0" applyProtection="0"/>
    <xf numFmtId="3" fontId="8" fillId="9" borderId="2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588">
    <xf numFmtId="0" fontId="0" fillId="0" borderId="0" xfId="0"/>
    <xf numFmtId="37" fontId="5" fillId="0" borderId="0" xfId="20" applyAlignment="1"/>
    <xf numFmtId="37" fontId="9" fillId="0" borderId="0" xfId="20" applyFont="1" applyAlignment="1"/>
    <xf numFmtId="37" fontId="5" fillId="0" borderId="0" xfId="20" applyAlignment="1">
      <alignment horizontal="right"/>
    </xf>
    <xf numFmtId="37" fontId="5" fillId="0" borderId="0" xfId="20" applyFont="1" applyAlignment="1">
      <alignment horizontal="right"/>
    </xf>
    <xf numFmtId="37" fontId="5" fillId="0" borderId="0" xfId="20" applyFont="1" applyAlignment="1"/>
    <xf numFmtId="37" fontId="5" fillId="0" borderId="0" xfId="20" applyFill="1" applyAlignment="1"/>
    <xf numFmtId="41" fontId="7" fillId="0" borderId="0" xfId="6" applyNumberFormat="1" applyFont="1" applyFill="1"/>
    <xf numFmtId="37" fontId="5" fillId="0" borderId="0" xfId="20" applyFont="1" applyFill="1" applyAlignment="1"/>
    <xf numFmtId="39" fontId="5" fillId="0" borderId="0" xfId="20" applyNumberFormat="1" applyAlignment="1"/>
    <xf numFmtId="37" fontId="0" fillId="0" borderId="0" xfId="0" applyNumberFormat="1"/>
    <xf numFmtId="0" fontId="16" fillId="0" borderId="0" xfId="0" applyFont="1"/>
    <xf numFmtId="0" fontId="1" fillId="0" borderId="0" xfId="0" applyFont="1"/>
    <xf numFmtId="37" fontId="5" fillId="0" borderId="0" xfId="20" applyFont="1" applyAlignment="1">
      <alignment horizontal="left"/>
    </xf>
    <xf numFmtId="0" fontId="7" fillId="0" borderId="0" xfId="0" applyFont="1" applyAlignment="1" applyProtection="1">
      <alignment horizontal="left"/>
    </xf>
    <xf numFmtId="0" fontId="7" fillId="0" borderId="0" xfId="0" applyFont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Protection="1"/>
    <xf numFmtId="37" fontId="10" fillId="0" borderId="0" xfId="0" applyNumberFormat="1" applyFont="1"/>
    <xf numFmtId="0" fontId="7" fillId="0" borderId="0" xfId="0" applyFont="1" applyProtection="1"/>
    <xf numFmtId="0" fontId="7" fillId="0" borderId="0" xfId="0" applyFont="1" applyBorder="1" applyProtection="1"/>
    <xf numFmtId="243" fontId="7" fillId="0" borderId="0" xfId="0" applyNumberFormat="1" applyFont="1" applyProtection="1"/>
    <xf numFmtId="10" fontId="7" fillId="0" borderId="0" xfId="0" applyNumberFormat="1" applyFont="1" applyProtection="1"/>
    <xf numFmtId="0" fontId="7" fillId="0" borderId="0" xfId="0" applyFont="1" applyBorder="1"/>
    <xf numFmtId="243" fontId="7" fillId="0" borderId="0" xfId="0" applyNumberFormat="1" applyFont="1" applyBorder="1" applyProtection="1"/>
    <xf numFmtId="0" fontId="10" fillId="0" borderId="0" xfId="0" applyFont="1"/>
    <xf numFmtId="0" fontId="10" fillId="0" borderId="0" xfId="0" applyFont="1" applyBorder="1" applyProtection="1"/>
    <xf numFmtId="41" fontId="7" fillId="0" borderId="0" xfId="0" applyNumberFormat="1" applyFont="1" applyProtection="1"/>
    <xf numFmtId="41" fontId="7" fillId="0" borderId="0" xfId="0" applyNumberFormat="1" applyFont="1" applyBorder="1" applyProtection="1"/>
    <xf numFmtId="206" fontId="7" fillId="0" borderId="0" xfId="3" applyNumberFormat="1" applyFont="1"/>
    <xf numFmtId="206" fontId="7" fillId="0" borderId="0" xfId="3" applyNumberFormat="1" applyFont="1" applyProtection="1"/>
    <xf numFmtId="206" fontId="7" fillId="0" borderId="0" xfId="3" applyNumberFormat="1" applyFont="1" applyBorder="1" applyProtection="1"/>
    <xf numFmtId="37" fontId="17" fillId="0" borderId="0" xfId="20" applyFont="1" applyAlignment="1">
      <alignment horizontal="left"/>
    </xf>
    <xf numFmtId="0" fontId="19" fillId="0" borderId="0" xfId="0" applyFont="1"/>
    <xf numFmtId="0" fontId="19" fillId="0" borderId="0" xfId="0" applyFont="1" applyAlignment="1" applyProtection="1">
      <alignment horizontal="left"/>
    </xf>
    <xf numFmtId="37" fontId="7" fillId="0" borderId="0" xfId="0" applyNumberFormat="1" applyFont="1" applyBorder="1" applyProtection="1"/>
    <xf numFmtId="0" fontId="7" fillId="0" borderId="0" xfId="0" applyFont="1" applyBorder="1" applyAlignment="1" applyProtection="1">
      <alignment horizontal="left"/>
    </xf>
    <xf numFmtId="0" fontId="8" fillId="0" borderId="0" xfId="0" applyFont="1" applyBorder="1" applyProtection="1">
      <protection locked="0"/>
    </xf>
    <xf numFmtId="37" fontId="7" fillId="0" borderId="0" xfId="20" applyFont="1" applyAlignment="1"/>
    <xf numFmtId="37" fontId="7" fillId="0" borderId="0" xfId="20" applyFont="1" applyFill="1" applyAlignment="1"/>
    <xf numFmtId="37" fontId="22" fillId="0" borderId="0" xfId="20" applyFont="1" applyFill="1" applyAlignment="1">
      <alignment horizontal="right"/>
    </xf>
    <xf numFmtId="206" fontId="19" fillId="0" borderId="0" xfId="3" applyNumberFormat="1" applyFont="1"/>
    <xf numFmtId="167" fontId="12" fillId="0" borderId="0" xfId="0" applyNumberFormat="1" applyFont="1" applyProtection="1">
      <protection locked="0"/>
    </xf>
    <xf numFmtId="170" fontId="8" fillId="0" borderId="0" xfId="0" applyNumberFormat="1" applyFont="1" applyProtection="1">
      <protection locked="0"/>
    </xf>
    <xf numFmtId="170" fontId="7" fillId="0" borderId="0" xfId="0" applyNumberFormat="1" applyFont="1" applyProtection="1"/>
    <xf numFmtId="0" fontId="8" fillId="0" borderId="0" xfId="0" applyFont="1" applyAlignment="1" applyProtection="1">
      <alignment horizontal="center"/>
      <protection locked="0"/>
    </xf>
    <xf numFmtId="172" fontId="8" fillId="0" borderId="0" xfId="0" applyNumberFormat="1" applyFont="1" applyProtection="1">
      <protection locked="0"/>
    </xf>
    <xf numFmtId="176" fontId="7" fillId="0" borderId="0" xfId="0" applyNumberFormat="1" applyFont="1" applyProtection="1"/>
    <xf numFmtId="39" fontId="7" fillId="0" borderId="0" xfId="0" applyNumberFormat="1" applyFont="1" applyProtection="1"/>
    <xf numFmtId="172" fontId="7" fillId="0" borderId="0" xfId="0" applyNumberFormat="1" applyFont="1" applyProtection="1"/>
    <xf numFmtId="204" fontId="8" fillId="0" borderId="0" xfId="0" applyNumberFormat="1" applyFont="1" applyProtection="1">
      <protection locked="0"/>
    </xf>
    <xf numFmtId="203" fontId="7" fillId="0" borderId="0" xfId="5" applyNumberFormat="1" applyFont="1"/>
    <xf numFmtId="37" fontId="7" fillId="0" borderId="0" xfId="0" applyNumberFormat="1" applyFont="1" applyProtection="1"/>
    <xf numFmtId="9" fontId="8" fillId="0" borderId="0" xfId="21" applyFont="1" applyProtection="1"/>
    <xf numFmtId="9" fontId="8" fillId="0" borderId="0" xfId="21" applyFont="1" applyProtection="1">
      <protection locked="0"/>
    </xf>
    <xf numFmtId="203" fontId="7" fillId="0" borderId="0" xfId="5" applyNumberFormat="1" applyFont="1" applyBorder="1" applyProtection="1"/>
    <xf numFmtId="203" fontId="7" fillId="0" borderId="0" xfId="5" applyNumberFormat="1" applyFont="1" applyProtection="1"/>
    <xf numFmtId="203" fontId="7" fillId="0" borderId="0" xfId="0" applyNumberFormat="1" applyFont="1" applyProtection="1"/>
    <xf numFmtId="206" fontId="7" fillId="0" borderId="0" xfId="3" applyNumberFormat="1" applyFont="1" applyBorder="1"/>
    <xf numFmtId="167" fontId="24" fillId="0" borderId="0" xfId="0" applyNumberFormat="1" applyFont="1" applyProtection="1"/>
    <xf numFmtId="206" fontId="10" fillId="0" borderId="0" xfId="3" applyNumberFormat="1" applyFont="1"/>
    <xf numFmtId="0" fontId="21" fillId="0" borderId="0" xfId="0" applyFont="1" applyAlignment="1">
      <alignment horizontal="right"/>
    </xf>
    <xf numFmtId="0" fontId="19" fillId="0" borderId="0" xfId="0" applyFont="1" applyAlignment="1">
      <alignment horizontal="centerContinuous"/>
    </xf>
    <xf numFmtId="0" fontId="21" fillId="0" borderId="0" xfId="0" applyFont="1"/>
    <xf numFmtId="2" fontId="19" fillId="0" borderId="0" xfId="0" applyNumberFormat="1" applyFont="1"/>
    <xf numFmtId="0" fontId="19" fillId="0" borderId="0" xfId="0" quotePrefix="1" applyFont="1" applyAlignment="1">
      <alignment horizontal="centerContinuous"/>
    </xf>
    <xf numFmtId="0" fontId="20" fillId="0" borderId="0" xfId="0" applyFont="1" applyAlignment="1" applyProtection="1">
      <alignment horizontal="center"/>
    </xf>
    <xf numFmtId="206" fontId="21" fillId="0" borderId="0" xfId="3" applyNumberFormat="1" applyFont="1" applyProtection="1">
      <protection locked="0"/>
    </xf>
    <xf numFmtId="0" fontId="26" fillId="0" borderId="0" xfId="0" applyFont="1" applyProtection="1">
      <protection locked="0"/>
    </xf>
    <xf numFmtId="203" fontId="19" fillId="0" borderId="0" xfId="0" applyNumberFormat="1" applyFont="1" applyProtection="1"/>
    <xf numFmtId="0" fontId="26" fillId="0" borderId="0" xfId="0" applyFont="1"/>
    <xf numFmtId="0" fontId="23" fillId="0" borderId="0" xfId="0" applyFont="1"/>
    <xf numFmtId="172" fontId="26" fillId="0" borderId="0" xfId="0" applyNumberFormat="1" applyFont="1" applyProtection="1">
      <protection locked="0"/>
    </xf>
    <xf numFmtId="0" fontId="19" fillId="0" borderId="0" xfId="0" applyFont="1" applyAlignment="1" applyProtection="1"/>
    <xf numFmtId="0" fontId="19" fillId="0" borderId="0" xfId="0" applyFont="1" applyBorder="1" applyAlignment="1" applyProtection="1"/>
    <xf numFmtId="0" fontId="19" fillId="0" borderId="0" xfId="0" applyFont="1" applyAlignment="1">
      <alignment horizontal="left"/>
    </xf>
    <xf numFmtId="206" fontId="25" fillId="0" borderId="0" xfId="3" applyNumberFormat="1" applyFont="1"/>
    <xf numFmtId="243" fontId="26" fillId="0" borderId="0" xfId="0" applyNumberFormat="1" applyFont="1" applyProtection="1">
      <protection locked="0"/>
    </xf>
    <xf numFmtId="0" fontId="23" fillId="0" borderId="0" xfId="0" quotePrefix="1" applyFont="1"/>
    <xf numFmtId="5" fontId="26" fillId="0" borderId="0" xfId="0" applyNumberFormat="1" applyFont="1" applyAlignment="1"/>
    <xf numFmtId="0" fontId="23" fillId="0" borderId="0" xfId="0" applyFont="1" applyAlignment="1" applyProtection="1">
      <alignment horizontal="left"/>
    </xf>
    <xf numFmtId="0" fontId="23" fillId="0" borderId="0" xfId="0" applyFont="1" applyProtection="1">
      <protection locked="0"/>
    </xf>
    <xf numFmtId="206" fontId="25" fillId="0" borderId="0" xfId="3" applyNumberFormat="1" applyFont="1" applyBorder="1" applyProtection="1"/>
    <xf numFmtId="166" fontId="19" fillId="0" borderId="0" xfId="0" applyNumberFormat="1" applyFont="1" applyProtection="1"/>
    <xf numFmtId="5" fontId="19" fillId="0" borderId="0" xfId="0" applyNumberFormat="1" applyFont="1" applyProtection="1"/>
    <xf numFmtId="10" fontId="21" fillId="0" borderId="0" xfId="21" applyNumberFormat="1" applyFont="1"/>
    <xf numFmtId="172" fontId="21" fillId="0" borderId="0" xfId="0" applyNumberFormat="1" applyFont="1"/>
    <xf numFmtId="206" fontId="25" fillId="0" borderId="0" xfId="3" applyNumberFormat="1" applyFont="1" applyBorder="1"/>
    <xf numFmtId="10" fontId="21" fillId="0" borderId="0" xfId="0" applyNumberFormat="1" applyFont="1" applyProtection="1">
      <protection locked="0"/>
    </xf>
    <xf numFmtId="10" fontId="21" fillId="0" borderId="0" xfId="0" applyNumberFormat="1" applyFont="1"/>
    <xf numFmtId="0" fontId="19" fillId="0" borderId="0" xfId="0" applyFont="1" applyAlignment="1" applyProtection="1">
      <alignment horizontal="center"/>
    </xf>
    <xf numFmtId="0" fontId="20" fillId="0" borderId="0" xfId="0" applyFont="1"/>
    <xf numFmtId="9" fontId="21" fillId="0" borderId="0" xfId="21" applyFont="1"/>
    <xf numFmtId="203" fontId="7" fillId="0" borderId="0" xfId="0" applyNumberFormat="1" applyFont="1" applyBorder="1" applyProtection="1"/>
    <xf numFmtId="0" fontId="27" fillId="0" borderId="0" xfId="0" applyFont="1" applyAlignment="1" applyProtection="1">
      <alignment horizontal="left"/>
      <protection locked="0"/>
    </xf>
    <xf numFmtId="42" fontId="7" fillId="0" borderId="0" xfId="0" applyNumberFormat="1" applyFont="1" applyProtection="1"/>
    <xf numFmtId="206" fontId="29" fillId="0" borderId="0" xfId="3" applyNumberFormat="1" applyFont="1" applyBorder="1" applyProtection="1"/>
    <xf numFmtId="41" fontId="29" fillId="0" borderId="0" xfId="0" applyNumberFormat="1" applyFont="1" applyBorder="1" applyProtection="1"/>
    <xf numFmtId="1" fontId="7" fillId="0" borderId="0" xfId="0" applyNumberFormat="1" applyFont="1" applyBorder="1"/>
    <xf numFmtId="41" fontId="7" fillId="0" borderId="0" xfId="0" applyNumberFormat="1" applyFont="1" applyBorder="1"/>
    <xf numFmtId="42" fontId="28" fillId="0" borderId="0" xfId="0" applyNumberFormat="1" applyFont="1" applyBorder="1" applyProtection="1"/>
    <xf numFmtId="41" fontId="7" fillId="0" borderId="0" xfId="0" applyNumberFormat="1" applyFont="1"/>
    <xf numFmtId="0" fontId="32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171" fontId="19" fillId="0" borderId="0" xfId="0" applyNumberFormat="1" applyFont="1" applyAlignment="1" applyProtection="1">
      <alignment horizontal="center"/>
    </xf>
    <xf numFmtId="206" fontId="34" fillId="0" borderId="0" xfId="3" applyNumberFormat="1" applyFont="1" applyBorder="1"/>
    <xf numFmtId="9" fontId="32" fillId="0" borderId="0" xfId="21" applyFont="1" applyAlignment="1">
      <alignment horizontal="center"/>
    </xf>
    <xf numFmtId="5" fontId="19" fillId="0" borderId="0" xfId="21" applyNumberFormat="1" applyFont="1" applyAlignment="1" applyProtection="1">
      <alignment horizontal="center"/>
    </xf>
    <xf numFmtId="0" fontId="15" fillId="0" borderId="0" xfId="0" applyFont="1" applyBorder="1"/>
    <xf numFmtId="0" fontId="5" fillId="0" borderId="0" xfId="0" applyFont="1" applyAlignment="1" applyProtection="1">
      <alignment horizontal="left"/>
    </xf>
    <xf numFmtId="9" fontId="35" fillId="0" borderId="0" xfId="21" applyFont="1" applyAlignment="1">
      <alignment horizontal="left"/>
    </xf>
    <xf numFmtId="2" fontId="5" fillId="0" borderId="0" xfId="20" applyNumberFormat="1" applyAlignment="1">
      <alignment horizontal="left"/>
    </xf>
    <xf numFmtId="2" fontId="8" fillId="0" borderId="0" xfId="4" applyNumberFormat="1" applyFont="1" applyFill="1" applyBorder="1" applyAlignment="1">
      <alignment horizontal="right"/>
    </xf>
    <xf numFmtId="2" fontId="8" fillId="0" borderId="0" xfId="21" applyNumberFormat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71" fontId="21" fillId="0" borderId="0" xfId="21" applyNumberFormat="1" applyFont="1" applyAlignment="1" applyProtection="1">
      <alignment horizontal="center"/>
      <protection locked="0"/>
    </xf>
    <xf numFmtId="15" fontId="21" fillId="0" borderId="0" xfId="0" applyNumberFormat="1" applyFont="1" applyProtection="1">
      <protection locked="0"/>
    </xf>
    <xf numFmtId="0" fontId="1" fillId="0" borderId="0" xfId="0" applyFont="1" applyAlignment="1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174" fontId="0" fillId="0" borderId="0" xfId="21" applyNumberFormat="1" applyFont="1"/>
    <xf numFmtId="0" fontId="34" fillId="0" borderId="0" xfId="0" applyFont="1" applyAlignment="1" applyProtection="1">
      <alignment horizontal="left"/>
    </xf>
    <xf numFmtId="41" fontId="29" fillId="0" borderId="0" xfId="6" applyNumberFormat="1" applyFont="1" applyFill="1"/>
    <xf numFmtId="206" fontId="16" fillId="0" borderId="0" xfId="3" applyNumberFormat="1" applyFont="1"/>
    <xf numFmtId="10" fontId="2" fillId="0" borderId="0" xfId="21" applyNumberFormat="1"/>
    <xf numFmtId="0" fontId="37" fillId="0" borderId="0" xfId="0" applyFont="1" applyAlignment="1" applyProtection="1">
      <alignment horizontal="left"/>
    </xf>
    <xf numFmtId="0" fontId="38" fillId="0" borderId="0" xfId="0" applyFont="1" applyAlignment="1" applyProtection="1">
      <alignment horizontal="left"/>
    </xf>
    <xf numFmtId="203" fontId="19" fillId="0" borderId="0" xfId="5" applyNumberFormat="1" applyFont="1" applyProtection="1"/>
    <xf numFmtId="0" fontId="39" fillId="0" borderId="0" xfId="0" applyFont="1" applyAlignment="1" applyProtection="1">
      <alignment horizontal="left"/>
    </xf>
    <xf numFmtId="2" fontId="23" fillId="0" borderId="0" xfId="0" applyNumberFormat="1" applyFont="1" applyProtection="1"/>
    <xf numFmtId="171" fontId="19" fillId="0" borderId="0" xfId="0" applyNumberFormat="1" applyFont="1" applyAlignment="1">
      <alignment horizontal="center"/>
    </xf>
    <xf numFmtId="206" fontId="32" fillId="0" borderId="0" xfId="3" applyNumberFormat="1" applyFont="1"/>
    <xf numFmtId="10" fontId="32" fillId="0" borderId="0" xfId="21" applyNumberFormat="1" applyFont="1"/>
    <xf numFmtId="189" fontId="34" fillId="0" borderId="0" xfId="0" applyNumberFormat="1" applyFont="1"/>
    <xf numFmtId="2" fontId="32" fillId="0" borderId="0" xfId="0" applyNumberFormat="1" applyFont="1" applyProtection="1"/>
    <xf numFmtId="0" fontId="32" fillId="0" borderId="0" xfId="0" applyFont="1" applyProtection="1"/>
    <xf numFmtId="174" fontId="21" fillId="0" borderId="0" xfId="0" applyNumberFormat="1" applyFont="1" applyProtection="1">
      <protection locked="0"/>
    </xf>
    <xf numFmtId="10" fontId="7" fillId="0" borderId="0" xfId="21" applyNumberFormat="1" applyFont="1" applyProtection="1"/>
    <xf numFmtId="0" fontId="5" fillId="0" borderId="0" xfId="0" applyFont="1"/>
    <xf numFmtId="206" fontId="29" fillId="0" borderId="0" xfId="3" applyNumberFormat="1" applyFont="1" applyProtection="1"/>
    <xf numFmtId="203" fontId="5" fillId="0" borderId="0" xfId="5" applyNumberFormat="1" applyFont="1" applyProtection="1"/>
    <xf numFmtId="0" fontId="5" fillId="0" borderId="0" xfId="0" applyFont="1" applyBorder="1"/>
    <xf numFmtId="203" fontId="21" fillId="0" borderId="0" xfId="5" applyNumberFormat="1" applyFont="1" applyProtection="1">
      <protection locked="0"/>
    </xf>
    <xf numFmtId="203" fontId="19" fillId="0" borderId="0" xfId="5" applyNumberFormat="1" applyFont="1"/>
    <xf numFmtId="171" fontId="21" fillId="0" borderId="0" xfId="21" applyNumberFormat="1" applyFont="1"/>
    <xf numFmtId="0" fontId="43" fillId="0" borderId="0" xfId="0" applyFont="1"/>
    <xf numFmtId="2" fontId="32" fillId="0" borderId="0" xfId="0" applyNumberFormat="1" applyFont="1" applyAlignment="1" applyProtection="1">
      <alignment horizontal="right"/>
    </xf>
    <xf numFmtId="206" fontId="34" fillId="0" borderId="0" xfId="3" applyNumberFormat="1" applyFont="1" applyAlignment="1" applyProtection="1">
      <alignment horizontal="right"/>
    </xf>
    <xf numFmtId="0" fontId="34" fillId="0" borderId="0" xfId="0" applyFont="1" applyAlignment="1" applyProtection="1"/>
    <xf numFmtId="2" fontId="34" fillId="0" borderId="0" xfId="20" applyNumberFormat="1" applyFont="1" applyAlignment="1">
      <alignment horizontal="left"/>
    </xf>
    <xf numFmtId="37" fontId="34" fillId="0" borderId="0" xfId="20" applyFont="1" applyAlignment="1">
      <alignment horizontal="left"/>
    </xf>
    <xf numFmtId="37" fontId="12" fillId="0" borderId="0" xfId="0" applyNumberFormat="1" applyFont="1" applyProtection="1"/>
    <xf numFmtId="10" fontId="15" fillId="0" borderId="0" xfId="21" applyNumberFormat="1" applyFont="1"/>
    <xf numFmtId="0" fontId="9" fillId="0" borderId="0" xfId="0" applyFont="1" applyAlignment="1" applyProtection="1">
      <alignment horizontal="left"/>
    </xf>
    <xf numFmtId="0" fontId="9" fillId="0" borderId="0" xfId="0" applyFont="1"/>
    <xf numFmtId="0" fontId="9" fillId="0" borderId="0" xfId="0" applyFont="1" applyBorder="1"/>
    <xf numFmtId="0" fontId="34" fillId="0" borderId="0" xfId="0" applyFont="1"/>
    <xf numFmtId="7" fontId="5" fillId="0" borderId="0" xfId="3" applyNumberFormat="1" applyFont="1" applyBorder="1" applyAlignment="1">
      <alignment horizontal="right"/>
    </xf>
    <xf numFmtId="7" fontId="5" fillId="0" borderId="0" xfId="3" applyNumberFormat="1" applyFont="1" applyBorder="1"/>
    <xf numFmtId="0" fontId="5" fillId="0" borderId="0" xfId="0" applyFont="1" applyAlignment="1">
      <alignment horizontal="center"/>
    </xf>
    <xf numFmtId="167" fontId="30" fillId="0" borderId="0" xfId="0" applyNumberFormat="1" applyFont="1" applyProtection="1"/>
    <xf numFmtId="171" fontId="45" fillId="8" borderId="0" xfId="21" applyNumberFormat="1" applyFont="1" applyFill="1"/>
    <xf numFmtId="43" fontId="45" fillId="8" borderId="0" xfId="3" applyNumberFormat="1" applyFont="1" applyFill="1"/>
    <xf numFmtId="41" fontId="5" fillId="0" borderId="0" xfId="6" applyNumberFormat="1" applyFont="1" applyFill="1"/>
    <xf numFmtId="203" fontId="5" fillId="0" borderId="0" xfId="5" applyNumberFormat="1" applyFont="1" applyFill="1"/>
    <xf numFmtId="9" fontId="5" fillId="0" borderId="0" xfId="21" applyFont="1"/>
    <xf numFmtId="43" fontId="5" fillId="0" borderId="0" xfId="3" applyNumberFormat="1" applyFont="1"/>
    <xf numFmtId="10" fontId="5" fillId="0" borderId="0" xfId="21" applyNumberFormat="1" applyFont="1" applyFill="1"/>
    <xf numFmtId="40" fontId="5" fillId="0" borderId="0" xfId="4" applyFont="1" applyFill="1"/>
    <xf numFmtId="205" fontId="7" fillId="10" borderId="0" xfId="3" applyNumberFormat="1" applyFont="1" applyFill="1"/>
    <xf numFmtId="0" fontId="40" fillId="0" borderId="0" xfId="0" applyFont="1" applyBorder="1"/>
    <xf numFmtId="0" fontId="46" fillId="0" borderId="0" xfId="0" applyFont="1"/>
    <xf numFmtId="167" fontId="44" fillId="0" borderId="0" xfId="0" applyNumberFormat="1" applyFont="1" applyProtection="1"/>
    <xf numFmtId="205" fontId="5" fillId="0" borderId="0" xfId="0" applyNumberFormat="1" applyFont="1"/>
    <xf numFmtId="9" fontId="45" fillId="0" borderId="0" xfId="21" applyFont="1" applyAlignment="1">
      <alignment horizontal="left"/>
    </xf>
    <xf numFmtId="176" fontId="5" fillId="0" borderId="0" xfId="0" applyNumberFormat="1" applyFont="1"/>
    <xf numFmtId="37" fontId="5" fillId="0" borderId="0" xfId="0" applyNumberFormat="1" applyFont="1"/>
    <xf numFmtId="41" fontId="5" fillId="0" borderId="0" xfId="0" applyNumberFormat="1" applyFont="1"/>
    <xf numFmtId="6" fontId="5" fillId="0" borderId="0" xfId="0" applyNumberFormat="1" applyFont="1"/>
    <xf numFmtId="1" fontId="5" fillId="0" borderId="0" xfId="0" applyNumberFormat="1" applyFont="1"/>
    <xf numFmtId="0" fontId="36" fillId="0" borderId="0" xfId="0" applyFont="1"/>
    <xf numFmtId="0" fontId="5" fillId="0" borderId="0" xfId="0" applyFont="1" applyFill="1"/>
    <xf numFmtId="171" fontId="19" fillId="0" borderId="0" xfId="21" applyNumberFormat="1" applyFont="1"/>
    <xf numFmtId="37" fontId="5" fillId="0" borderId="0" xfId="20" applyNumberFormat="1" applyAlignment="1"/>
    <xf numFmtId="43" fontId="5" fillId="0" borderId="0" xfId="3" applyFont="1"/>
    <xf numFmtId="0" fontId="19" fillId="0" borderId="0" xfId="0" applyNumberFormat="1" applyFont="1"/>
    <xf numFmtId="206" fontId="5" fillId="0" borderId="0" xfId="3" quotePrefix="1" applyNumberFormat="1" applyFont="1" applyProtection="1"/>
    <xf numFmtId="7" fontId="0" fillId="0" borderId="0" xfId="0" applyNumberFormat="1"/>
    <xf numFmtId="44" fontId="5" fillId="0" borderId="0" xfId="5" applyFont="1"/>
    <xf numFmtId="10" fontId="21" fillId="0" borderId="0" xfId="21" applyNumberFormat="1" applyFont="1" applyFill="1" applyProtection="1"/>
    <xf numFmtId="2" fontId="32" fillId="0" borderId="0" xfId="0" applyNumberFormat="1" applyFont="1" applyFill="1" applyProtection="1"/>
    <xf numFmtId="0" fontId="19" fillId="0" borderId="0" xfId="0" applyFont="1" applyFill="1" applyAlignment="1" applyProtection="1"/>
    <xf numFmtId="0" fontId="38" fillId="0" borderId="0" xfId="0" applyFont="1" applyBorder="1"/>
    <xf numFmtId="174" fontId="19" fillId="0" borderId="0" xfId="0" applyNumberFormat="1" applyFont="1" applyAlignment="1" applyProtection="1">
      <alignment horizontal="center"/>
    </xf>
    <xf numFmtId="0" fontId="47" fillId="0" borderId="0" xfId="0" applyFont="1" applyBorder="1"/>
    <xf numFmtId="37" fontId="32" fillId="0" borderId="0" xfId="0" applyNumberFormat="1" applyFont="1" applyProtection="1"/>
    <xf numFmtId="206" fontId="19" fillId="0" borderId="0" xfId="3" applyNumberFormat="1" applyFont="1" applyBorder="1" applyProtection="1"/>
    <xf numFmtId="0" fontId="24" fillId="0" borderId="0" xfId="0" applyFont="1" applyAlignment="1" applyProtection="1">
      <alignment horizontal="left"/>
    </xf>
    <xf numFmtId="0" fontId="48" fillId="0" borderId="0" xfId="0" applyFont="1" applyAlignment="1" applyProtection="1">
      <alignment horizontal="left"/>
    </xf>
    <xf numFmtId="0" fontId="49" fillId="0" borderId="0" xfId="0" applyFont="1" applyAlignment="1" applyProtection="1">
      <alignment horizontal="center"/>
    </xf>
    <xf numFmtId="203" fontId="19" fillId="0" borderId="0" xfId="5" applyNumberFormat="1" applyFont="1" applyFill="1" applyProtection="1"/>
    <xf numFmtId="10" fontId="21" fillId="0" borderId="0" xfId="21" applyNumberFormat="1" applyFont="1" applyAlignment="1">
      <alignment horizontal="center"/>
    </xf>
    <xf numFmtId="7" fontId="23" fillId="0" borderId="0" xfId="3" applyNumberFormat="1" applyFont="1" applyProtection="1">
      <protection locked="0"/>
    </xf>
    <xf numFmtId="0" fontId="16" fillId="0" borderId="0" xfId="0" applyFont="1" applyFill="1"/>
    <xf numFmtId="0" fontId="15" fillId="0" borderId="0" xfId="0" applyFont="1" applyFill="1"/>
    <xf numFmtId="0" fontId="15" fillId="0" borderId="0" xfId="0" applyFont="1"/>
    <xf numFmtId="43" fontId="15" fillId="0" borderId="0" xfId="0" applyNumberFormat="1" applyFont="1"/>
    <xf numFmtId="206" fontId="15" fillId="0" borderId="0" xfId="0" applyNumberFormat="1" applyFont="1"/>
    <xf numFmtId="10" fontId="21" fillId="0" borderId="0" xfId="21" applyNumberFormat="1" applyFont="1" applyFill="1" applyAlignment="1" applyProtection="1">
      <alignment horizontal="right"/>
    </xf>
    <xf numFmtId="37" fontId="16" fillId="0" borderId="0" xfId="20" applyFont="1" applyAlignment="1">
      <alignment horizontal="left"/>
    </xf>
    <xf numFmtId="37" fontId="15" fillId="0" borderId="0" xfId="20" applyFont="1" applyAlignment="1"/>
    <xf numFmtId="203" fontId="15" fillId="0" borderId="0" xfId="5" applyNumberFormat="1" applyFont="1" applyFill="1"/>
    <xf numFmtId="37" fontId="15" fillId="0" borderId="0" xfId="20" applyFont="1" applyAlignment="1">
      <alignment horizontal="left"/>
    </xf>
    <xf numFmtId="43" fontId="15" fillId="0" borderId="0" xfId="3" applyFont="1" applyFill="1"/>
    <xf numFmtId="43" fontId="14" fillId="0" borderId="0" xfId="3" applyFont="1" applyFill="1"/>
    <xf numFmtId="10" fontId="15" fillId="0" borderId="0" xfId="21" applyNumberFormat="1" applyFont="1" applyFill="1"/>
    <xf numFmtId="206" fontId="15" fillId="0" borderId="0" xfId="3" applyNumberFormat="1" applyFont="1" applyFill="1"/>
    <xf numFmtId="206" fontId="15" fillId="0" borderId="0" xfId="0" applyNumberFormat="1" applyFont="1" applyFill="1"/>
    <xf numFmtId="6" fontId="15" fillId="0" borderId="0" xfId="0" applyNumberFormat="1" applyFont="1" applyFill="1"/>
    <xf numFmtId="6" fontId="15" fillId="0" borderId="0" xfId="0" applyNumberFormat="1" applyFont="1"/>
    <xf numFmtId="206" fontId="15" fillId="0" borderId="0" xfId="3" applyNumberFormat="1" applyFont="1"/>
    <xf numFmtId="43" fontId="15" fillId="0" borderId="0" xfId="3" applyNumberFormat="1" applyFont="1"/>
    <xf numFmtId="38" fontId="14" fillId="0" borderId="0" xfId="0" applyNumberFormat="1" applyFont="1"/>
    <xf numFmtId="43" fontId="14" fillId="0" borderId="0" xfId="3" applyFont="1"/>
    <xf numFmtId="10" fontId="14" fillId="0" borderId="0" xfId="21" applyNumberFormat="1" applyFont="1"/>
    <xf numFmtId="9" fontId="14" fillId="0" borderId="0" xfId="21" applyNumberFormat="1" applyFont="1"/>
    <xf numFmtId="210" fontId="15" fillId="0" borderId="0" xfId="3" applyNumberFormat="1" applyFont="1"/>
    <xf numFmtId="38" fontId="14" fillId="0" borderId="0" xfId="0" applyNumberFormat="1" applyFont="1" applyFill="1"/>
    <xf numFmtId="209" fontId="15" fillId="0" borderId="0" xfId="3" applyNumberFormat="1" applyFont="1" applyFill="1"/>
    <xf numFmtId="10" fontId="14" fillId="0" borderId="0" xfId="21" applyNumberFormat="1" applyFont="1" applyFill="1"/>
    <xf numFmtId="9" fontId="15" fillId="0" borderId="0" xfId="21" applyNumberFormat="1" applyFont="1"/>
    <xf numFmtId="43" fontId="15" fillId="0" borderId="0" xfId="0" applyNumberFormat="1" applyFont="1" applyFill="1"/>
    <xf numFmtId="206" fontId="52" fillId="0" borderId="0" xfId="3" applyNumberFormat="1" applyFont="1" applyFill="1"/>
    <xf numFmtId="2" fontId="23" fillId="0" borderId="0" xfId="0" applyNumberFormat="1" applyFont="1" applyAlignment="1" applyProtection="1">
      <alignment horizontal="right"/>
    </xf>
    <xf numFmtId="0" fontId="32" fillId="0" borderId="0" xfId="0" applyFont="1" applyFill="1" applyProtection="1"/>
    <xf numFmtId="203" fontId="53" fillId="0" borderId="0" xfId="5" applyNumberFormat="1" applyFont="1" applyFill="1" applyProtection="1"/>
    <xf numFmtId="203" fontId="53" fillId="0" borderId="0" xfId="0" applyNumberFormat="1" applyFont="1" applyFill="1" applyAlignment="1">
      <alignment horizontal="right"/>
    </xf>
    <xf numFmtId="203" fontId="32" fillId="0" borderId="0" xfId="5" applyNumberFormat="1" applyFont="1" applyFill="1" applyBorder="1" applyProtection="1"/>
    <xf numFmtId="174" fontId="19" fillId="0" borderId="0" xfId="0" applyNumberFormat="1" applyFont="1" applyAlignment="1">
      <alignment horizontal="center"/>
    </xf>
    <xf numFmtId="5" fontId="19" fillId="0" borderId="0" xfId="0" applyNumberFormat="1" applyFont="1" applyAlignment="1">
      <alignment horizontal="center"/>
    </xf>
    <xf numFmtId="203" fontId="11" fillId="0" borderId="0" xfId="5" applyNumberFormat="1" applyFont="1" applyProtection="1"/>
    <xf numFmtId="203" fontId="7" fillId="0" borderId="0" xfId="0" applyNumberFormat="1" applyFont="1" applyAlignment="1" applyProtection="1">
      <alignment horizontal="left"/>
    </xf>
    <xf numFmtId="0" fontId="18" fillId="0" borderId="0" xfId="0" applyFont="1" applyAlignment="1" applyProtection="1">
      <alignment horizontal="left"/>
    </xf>
    <xf numFmtId="7" fontId="55" fillId="0" borderId="0" xfId="0" applyNumberFormat="1" applyFont="1"/>
    <xf numFmtId="10" fontId="21" fillId="0" borderId="0" xfId="3" applyNumberFormat="1" applyFont="1" applyAlignment="1" applyProtection="1">
      <alignment horizontal="right"/>
    </xf>
    <xf numFmtId="275" fontId="32" fillId="0" borderId="0" xfId="0" applyNumberFormat="1" applyFont="1" applyAlignment="1">
      <alignment horizontal="right"/>
    </xf>
    <xf numFmtId="203" fontId="23" fillId="0" borderId="6" xfId="5" applyNumberFormat="1" applyFont="1" applyFill="1" applyBorder="1"/>
    <xf numFmtId="206" fontId="21" fillId="0" borderId="0" xfId="3" applyNumberFormat="1" applyFont="1" applyFill="1"/>
    <xf numFmtId="0" fontId="57" fillId="0" borderId="0" xfId="0" applyFont="1"/>
    <xf numFmtId="14" fontId="15" fillId="0" borderId="0" xfId="0" applyNumberFormat="1" applyFont="1" applyFill="1"/>
    <xf numFmtId="9" fontId="21" fillId="0" borderId="0" xfId="21" applyNumberFormat="1" applyFont="1" applyFill="1" applyProtection="1"/>
    <xf numFmtId="37" fontId="15" fillId="0" borderId="0" xfId="3" applyNumberFormat="1" applyFont="1" applyFill="1"/>
    <xf numFmtId="0" fontId="15" fillId="4" borderId="0" xfId="0" applyFont="1" applyFill="1"/>
    <xf numFmtId="0" fontId="58" fillId="0" borderId="0" xfId="0" applyFont="1" applyBorder="1"/>
    <xf numFmtId="37" fontId="10" fillId="0" borderId="0" xfId="0" applyNumberFormat="1" applyFont="1" applyBorder="1"/>
    <xf numFmtId="10" fontId="21" fillId="0" borderId="0" xfId="21" applyNumberFormat="1" applyFont="1" applyFill="1" applyAlignment="1" applyProtection="1">
      <alignment horizontal="center"/>
    </xf>
    <xf numFmtId="0" fontId="59" fillId="0" borderId="0" xfId="0" applyFont="1"/>
    <xf numFmtId="37" fontId="15" fillId="0" borderId="0" xfId="0" applyNumberFormat="1" applyFont="1" applyBorder="1"/>
    <xf numFmtId="37" fontId="51" fillId="0" borderId="0" xfId="0" applyNumberFormat="1" applyFont="1" applyBorder="1"/>
    <xf numFmtId="37" fontId="60" fillId="0" borderId="0" xfId="0" applyNumberFormat="1" applyFont="1" applyBorder="1"/>
    <xf numFmtId="206" fontId="0" fillId="0" borderId="0" xfId="0" applyNumberFormat="1"/>
    <xf numFmtId="0" fontId="16" fillId="0" borderId="0" xfId="0" applyFont="1" applyBorder="1"/>
    <xf numFmtId="0" fontId="61" fillId="0" borderId="0" xfId="0" applyNumberFormat="1" applyFont="1"/>
    <xf numFmtId="206" fontId="11" fillId="0" borderId="0" xfId="3" applyNumberFormat="1" applyFont="1" applyProtection="1"/>
    <xf numFmtId="10" fontId="8" fillId="0" borderId="0" xfId="21" applyNumberFormat="1" applyFont="1" applyProtection="1"/>
    <xf numFmtId="171" fontId="7" fillId="0" borderId="0" xfId="21" applyNumberFormat="1" applyFont="1" applyProtection="1"/>
    <xf numFmtId="183" fontId="0" fillId="0" borderId="0" xfId="21" applyNumberFormat="1" applyFont="1"/>
    <xf numFmtId="0" fontId="0" fillId="0" borderId="0" xfId="0" applyBorder="1"/>
    <xf numFmtId="206" fontId="32" fillId="0" borderId="0" xfId="0" applyNumberFormat="1" applyFont="1" applyFill="1" applyProtection="1"/>
    <xf numFmtId="206" fontId="19" fillId="0" borderId="0" xfId="0" applyNumberFormat="1" applyFont="1" applyProtection="1"/>
    <xf numFmtId="0" fontId="7" fillId="0" borderId="0" xfId="0" applyFont="1" applyFill="1" applyBorder="1"/>
    <xf numFmtId="243" fontId="7" fillId="0" borderId="0" xfId="0" applyNumberFormat="1" applyFont="1" applyFill="1" applyBorder="1" applyProtection="1"/>
    <xf numFmtId="37" fontId="7" fillId="0" borderId="0" xfId="0" applyNumberFormat="1" applyFont="1" applyFill="1" applyBorder="1"/>
    <xf numFmtId="0" fontId="58" fillId="0" borderId="0" xfId="0" applyFont="1" applyFill="1" applyBorder="1"/>
    <xf numFmtId="37" fontId="10" fillId="0" borderId="0" xfId="0" applyNumberFormat="1" applyFont="1" applyFill="1" applyBorder="1"/>
    <xf numFmtId="37" fontId="7" fillId="0" borderId="0" xfId="0" applyNumberFormat="1" applyFont="1" applyFill="1" applyBorder="1" applyProtection="1"/>
    <xf numFmtId="0" fontId="18" fillId="0" borderId="0" xfId="0" applyFont="1" applyFill="1" applyBorder="1"/>
    <xf numFmtId="37" fontId="18" fillId="0" borderId="0" xfId="0" applyNumberFormat="1" applyFont="1" applyFill="1" applyBorder="1" applyProtection="1"/>
    <xf numFmtId="10" fontId="7" fillId="0" borderId="0" xfId="21" applyNumberFormat="1" applyFont="1" applyFill="1" applyBorder="1"/>
    <xf numFmtId="203" fontId="28" fillId="0" borderId="0" xfId="5" applyNumberFormat="1" applyFont="1" applyFill="1" applyBorder="1" applyProtection="1"/>
    <xf numFmtId="203" fontId="111" fillId="0" borderId="0" xfId="5" applyNumberFormat="1" applyFont="1" applyFill="1" applyBorder="1" applyProtection="1"/>
    <xf numFmtId="275" fontId="14" fillId="0" borderId="0" xfId="0" applyNumberFormat="1" applyFont="1"/>
    <xf numFmtId="8" fontId="0" fillId="0" borderId="0" xfId="0" applyNumberFormat="1"/>
    <xf numFmtId="37" fontId="2" fillId="0" borderId="0" xfId="0" applyNumberFormat="1" applyFont="1"/>
    <xf numFmtId="5" fontId="19" fillId="0" borderId="0" xfId="0" applyNumberFormat="1" applyFont="1"/>
    <xf numFmtId="7" fontId="19" fillId="0" borderId="0" xfId="5" applyNumberFormat="1" applyFont="1" applyAlignment="1">
      <alignment horizontal="center"/>
    </xf>
    <xf numFmtId="275" fontId="21" fillId="0" borderId="0" xfId="21" applyNumberFormat="1" applyFont="1"/>
    <xf numFmtId="203" fontId="34" fillId="0" borderId="0" xfId="5" applyNumberFormat="1" applyFont="1" applyFill="1" applyBorder="1" applyProtection="1"/>
    <xf numFmtId="43" fontId="19" fillId="0" borderId="0" xfId="0" applyNumberFormat="1" applyFont="1"/>
    <xf numFmtId="0" fontId="19" fillId="0" borderId="0" xfId="0" applyFont="1" applyAlignment="1">
      <alignment horizontal="right"/>
    </xf>
    <xf numFmtId="5" fontId="19" fillId="0" borderId="0" xfId="5" applyNumberFormat="1" applyFont="1" applyFill="1" applyBorder="1"/>
    <xf numFmtId="6" fontId="0" fillId="0" borderId="0" xfId="0" applyNumberFormat="1"/>
    <xf numFmtId="0" fontId="113" fillId="0" borderId="0" xfId="0" applyFont="1"/>
    <xf numFmtId="6" fontId="0" fillId="0" borderId="0" xfId="0" applyNumberFormat="1" applyBorder="1" applyAlignment="1">
      <alignment horizontal="right"/>
    </xf>
    <xf numFmtId="0" fontId="113" fillId="0" borderId="0" xfId="0" applyFont="1" applyAlignment="1">
      <alignment horizontal="center"/>
    </xf>
    <xf numFmtId="6" fontId="0" fillId="0" borderId="0" xfId="0" applyNumberFormat="1" applyAlignment="1">
      <alignment horizontal="right"/>
    </xf>
    <xf numFmtId="6" fontId="0" fillId="0" borderId="4" xfId="0" applyNumberFormat="1" applyBorder="1" applyAlignment="1">
      <alignment horizontal="right"/>
    </xf>
    <xf numFmtId="6" fontId="16" fillId="0" borderId="0" xfId="0" applyNumberFormat="1" applyFont="1" applyAlignment="1">
      <alignment horizontal="right"/>
    </xf>
    <xf numFmtId="0" fontId="17" fillId="0" borderId="0" xfId="0" applyFont="1"/>
    <xf numFmtId="10" fontId="15" fillId="4" borderId="0" xfId="21" applyNumberFormat="1" applyFont="1" applyFill="1"/>
    <xf numFmtId="7" fontId="19" fillId="0" borderId="0" xfId="0" applyNumberFormat="1" applyFont="1"/>
    <xf numFmtId="203" fontId="19" fillId="0" borderId="4" xfId="5" applyNumberFormat="1" applyFont="1" applyBorder="1" applyProtection="1"/>
    <xf numFmtId="203" fontId="19" fillId="0" borderId="6" xfId="5" applyNumberFormat="1" applyFont="1" applyBorder="1" applyProtection="1"/>
    <xf numFmtId="203" fontId="19" fillId="0" borderId="0" xfId="0" applyNumberFormat="1" applyFont="1"/>
    <xf numFmtId="203" fontId="32" fillId="0" borderId="0" xfId="0" applyNumberFormat="1" applyFont="1" applyAlignment="1">
      <alignment horizontal="right"/>
    </xf>
    <xf numFmtId="0" fontId="32" fillId="0" borderId="0" xfId="0" applyFont="1" applyAlignment="1" applyProtection="1">
      <alignment horizontal="right"/>
    </xf>
    <xf numFmtId="7" fontId="21" fillId="0" borderId="0" xfId="0" applyNumberFormat="1" applyFont="1" applyAlignment="1">
      <alignment horizontal="right"/>
    </xf>
    <xf numFmtId="203" fontId="19" fillId="0" borderId="0" xfId="5" applyNumberFormat="1" applyFont="1" applyProtection="1">
      <protection locked="0"/>
    </xf>
    <xf numFmtId="10" fontId="21" fillId="0" borderId="4" xfId="0" quotePrefix="1" applyNumberFormat="1" applyFont="1" applyBorder="1" applyAlignment="1" applyProtection="1">
      <alignment horizontal="right"/>
      <protection locked="0"/>
    </xf>
    <xf numFmtId="10" fontId="23" fillId="0" borderId="0" xfId="19" applyNumberFormat="1" applyFont="1" applyBorder="1" applyProtection="1">
      <protection locked="0"/>
    </xf>
    <xf numFmtId="10" fontId="21" fillId="0" borderId="0" xfId="21" applyNumberFormat="1" applyFont="1" applyAlignment="1">
      <alignment horizontal="right"/>
    </xf>
    <xf numFmtId="189" fontId="19" fillId="0" borderId="0" xfId="0" applyNumberFormat="1" applyFont="1"/>
    <xf numFmtId="206" fontId="52" fillId="0" borderId="0" xfId="0" applyNumberFormat="1" applyFont="1"/>
    <xf numFmtId="7" fontId="21" fillId="0" borderId="0" xfId="3" applyNumberFormat="1" applyFont="1"/>
    <xf numFmtId="9" fontId="7" fillId="0" borderId="0" xfId="21" applyFont="1" applyProtection="1"/>
    <xf numFmtId="41" fontId="52" fillId="0" borderId="0" xfId="0" applyNumberFormat="1" applyFont="1"/>
    <xf numFmtId="41" fontId="15" fillId="0" borderId="0" xfId="6" applyNumberFormat="1" applyFont="1" applyFill="1"/>
    <xf numFmtId="206" fontId="15" fillId="0" borderId="0" xfId="6" applyNumberFormat="1" applyFont="1" applyFill="1"/>
    <xf numFmtId="41" fontId="52" fillId="0" borderId="0" xfId="6" applyNumberFormat="1" applyFont="1" applyFill="1"/>
    <xf numFmtId="41" fontId="15" fillId="0" borderId="0" xfId="0" applyNumberFormat="1" applyFont="1"/>
    <xf numFmtId="191" fontId="15" fillId="0" borderId="0" xfId="0" applyNumberFormat="1" applyFont="1"/>
    <xf numFmtId="44" fontId="15" fillId="0" borderId="0" xfId="5" applyNumberFormat="1" applyFont="1"/>
    <xf numFmtId="15" fontId="15" fillId="0" borderId="0" xfId="6" applyNumberFormat="1" applyFont="1" applyFill="1"/>
    <xf numFmtId="251" fontId="15" fillId="0" borderId="0" xfId="6" applyNumberFormat="1" applyFont="1" applyFill="1"/>
    <xf numFmtId="9" fontId="15" fillId="0" borderId="0" xfId="21" applyFont="1"/>
    <xf numFmtId="37" fontId="15" fillId="0" borderId="0" xfId="20" applyFont="1" applyAlignment="1">
      <alignment horizontal="right"/>
    </xf>
    <xf numFmtId="39" fontId="15" fillId="0" borderId="0" xfId="20" applyNumberFormat="1" applyFont="1" applyAlignment="1"/>
    <xf numFmtId="37" fontId="16" fillId="0" borderId="0" xfId="20" applyFont="1" applyAlignment="1"/>
    <xf numFmtId="167" fontId="113" fillId="0" borderId="0" xfId="0" applyNumberFormat="1" applyFont="1" applyProtection="1"/>
    <xf numFmtId="42" fontId="15" fillId="0" borderId="0" xfId="0" applyNumberFormat="1" applyFont="1" applyProtection="1"/>
    <xf numFmtId="0" fontId="15" fillId="0" borderId="0" xfId="0" applyFont="1" applyBorder="1" applyProtection="1"/>
    <xf numFmtId="0" fontId="15" fillId="0" borderId="0" xfId="0" applyFont="1" applyAlignment="1" applyProtection="1">
      <alignment horizontal="left"/>
    </xf>
    <xf numFmtId="206" fontId="15" fillId="0" borderId="0" xfId="3" applyNumberFormat="1" applyFont="1" applyProtection="1"/>
    <xf numFmtId="41" fontId="15" fillId="0" borderId="0" xfId="0" applyNumberFormat="1" applyFont="1" applyBorder="1" applyProtection="1"/>
    <xf numFmtId="203" fontId="15" fillId="0" borderId="0" xfId="5" applyNumberFormat="1" applyFont="1"/>
    <xf numFmtId="203" fontId="114" fillId="0" borderId="0" xfId="5" applyNumberFormat="1" applyFont="1" applyFill="1" applyBorder="1" applyProtection="1"/>
    <xf numFmtId="203" fontId="15" fillId="0" borderId="0" xfId="5" applyNumberFormat="1" applyFont="1" applyBorder="1" applyProtection="1"/>
    <xf numFmtId="203" fontId="15" fillId="0" borderId="0" xfId="5" applyNumberFormat="1" applyFont="1" applyProtection="1"/>
    <xf numFmtId="206" fontId="15" fillId="0" borderId="0" xfId="21" applyNumberFormat="1" applyFont="1"/>
    <xf numFmtId="171" fontId="15" fillId="0" borderId="0" xfId="21" applyNumberFormat="1" applyFont="1"/>
    <xf numFmtId="174" fontId="15" fillId="0" borderId="0" xfId="21" applyNumberFormat="1" applyFont="1"/>
    <xf numFmtId="14" fontId="113" fillId="0" borderId="0" xfId="0" applyNumberFormat="1" applyFont="1"/>
    <xf numFmtId="203" fontId="15" fillId="0" borderId="0" xfId="5" applyNumberFormat="1" applyFont="1" applyFill="1" applyBorder="1" applyProtection="1"/>
    <xf numFmtId="359" fontId="15" fillId="0" borderId="0" xfId="21" applyNumberFormat="1" applyFont="1"/>
    <xf numFmtId="205" fontId="15" fillId="10" borderId="0" xfId="3" applyNumberFormat="1" applyFont="1" applyFill="1"/>
    <xf numFmtId="205" fontId="14" fillId="10" borderId="0" xfId="3" applyNumberFormat="1" applyFont="1" applyFill="1"/>
    <xf numFmtId="252" fontId="15" fillId="0" borderId="0" xfId="6" applyNumberFormat="1" applyFont="1" applyFill="1"/>
    <xf numFmtId="214" fontId="15" fillId="0" borderId="0" xfId="21" applyNumberFormat="1" applyFont="1" applyFill="1"/>
    <xf numFmtId="173" fontId="15" fillId="0" borderId="0" xfId="6" applyNumberFormat="1" applyFont="1" applyFill="1"/>
    <xf numFmtId="203" fontId="52" fillId="0" borderId="0" xfId="5" applyNumberFormat="1" applyFont="1" applyFill="1"/>
    <xf numFmtId="37" fontId="15" fillId="0" borderId="0" xfId="20" applyFont="1" applyFill="1" applyAlignment="1"/>
    <xf numFmtId="171" fontId="15" fillId="0" borderId="0" xfId="21" applyNumberFormat="1" applyFont="1" applyFill="1"/>
    <xf numFmtId="42" fontId="114" fillId="0" borderId="0" xfId="6" applyNumberFormat="1" applyFont="1" applyFill="1"/>
    <xf numFmtId="44" fontId="12" fillId="0" borderId="0" xfId="4" applyNumberFormat="1" applyFont="1" applyFill="1"/>
    <xf numFmtId="43" fontId="5" fillId="0" borderId="0" xfId="20" applyNumberFormat="1" applyFont="1" applyAlignment="1">
      <alignment horizontal="left"/>
    </xf>
    <xf numFmtId="43" fontId="5" fillId="0" borderId="0" xfId="20" applyNumberFormat="1" applyFont="1" applyFill="1" applyAlignment="1"/>
    <xf numFmtId="44" fontId="5" fillId="0" borderId="0" xfId="20" applyNumberFormat="1" applyFont="1" applyAlignment="1">
      <alignment horizontal="left"/>
    </xf>
    <xf numFmtId="44" fontId="5" fillId="0" borderId="0" xfId="20" applyNumberFormat="1" applyFont="1" applyFill="1" applyAlignment="1"/>
    <xf numFmtId="44" fontId="5" fillId="0" borderId="0" xfId="4" applyNumberFormat="1" applyFont="1" applyFill="1"/>
    <xf numFmtId="44" fontId="5" fillId="0" borderId="0" xfId="0" applyNumberFormat="1" applyFont="1"/>
    <xf numFmtId="44" fontId="5" fillId="0" borderId="0" xfId="3" applyNumberFormat="1" applyFont="1" applyBorder="1" applyAlignment="1">
      <alignment horizontal="right"/>
    </xf>
    <xf numFmtId="44" fontId="45" fillId="0" borderId="0" xfId="3" applyNumberFormat="1" applyFont="1" applyBorder="1" applyAlignment="1">
      <alignment horizontal="right"/>
    </xf>
    <xf numFmtId="44" fontId="8" fillId="0" borderId="0" xfId="3" applyNumberFormat="1" applyFont="1" applyBorder="1"/>
    <xf numFmtId="44" fontId="5" fillId="0" borderId="0" xfId="3" applyNumberFormat="1" applyFont="1" applyBorder="1"/>
    <xf numFmtId="44" fontId="5" fillId="0" borderId="0" xfId="0" applyNumberFormat="1" applyFont="1" applyBorder="1"/>
    <xf numFmtId="44" fontId="5" fillId="0" borderId="0" xfId="20" applyNumberFormat="1" applyFont="1" applyAlignment="1"/>
    <xf numFmtId="44" fontId="45" fillId="0" borderId="0" xfId="6" applyNumberFormat="1" applyFont="1" applyFill="1"/>
    <xf numFmtId="44" fontId="7" fillId="0" borderId="0" xfId="6" applyNumberFormat="1" applyFont="1" applyFill="1"/>
    <xf numFmtId="38" fontId="15" fillId="0" borderId="0" xfId="0" applyNumberFormat="1" applyFont="1"/>
    <xf numFmtId="171" fontId="51" fillId="0" borderId="0" xfId="21" applyNumberFormat="1" applyFont="1"/>
    <xf numFmtId="37" fontId="51" fillId="0" borderId="0" xfId="20" applyFont="1" applyFill="1" applyAlignment="1"/>
    <xf numFmtId="44" fontId="15" fillId="0" borderId="0" xfId="5" applyFont="1"/>
    <xf numFmtId="44" fontId="52" fillId="0" borderId="0" xfId="5" applyFont="1"/>
    <xf numFmtId="8" fontId="15" fillId="0" borderId="0" xfId="4" applyNumberFormat="1" applyFont="1" applyFill="1"/>
    <xf numFmtId="172" fontId="15" fillId="0" borderId="0" xfId="20" applyNumberFormat="1" applyFont="1" applyAlignment="1"/>
    <xf numFmtId="2" fontId="15" fillId="0" borderId="0" xfId="0" applyNumberFormat="1" applyFont="1"/>
    <xf numFmtId="39" fontId="16" fillId="0" borderId="0" xfId="20" applyNumberFormat="1" applyFont="1" applyFill="1" applyAlignment="1"/>
    <xf numFmtId="176" fontId="15" fillId="0" borderId="0" xfId="20" applyNumberFormat="1" applyFont="1" applyFill="1" applyAlignment="1"/>
    <xf numFmtId="37" fontId="115" fillId="0" borderId="0" xfId="20" applyFont="1" applyAlignment="1"/>
    <xf numFmtId="206" fontId="19" fillId="0" borderId="0" xfId="3" applyNumberFormat="1" applyFont="1" applyFill="1"/>
    <xf numFmtId="42" fontId="20" fillId="0" borderId="0" xfId="5" applyNumberFormat="1" applyFont="1" applyProtection="1">
      <protection locked="0"/>
    </xf>
    <xf numFmtId="307" fontId="0" fillId="0" borderId="0" xfId="0" applyNumberFormat="1"/>
    <xf numFmtId="309" fontId="5" fillId="0" borderId="0" xfId="3" applyNumberFormat="1" applyFont="1" applyBorder="1" applyAlignment="1">
      <alignment horizontal="right"/>
    </xf>
    <xf numFmtId="309" fontId="0" fillId="0" borderId="0" xfId="0" applyNumberFormat="1"/>
    <xf numFmtId="10" fontId="0" fillId="0" borderId="0" xfId="21" applyNumberFormat="1" applyFont="1" applyAlignment="1">
      <alignment horizontal="center"/>
    </xf>
    <xf numFmtId="203" fontId="23" fillId="0" borderId="0" xfId="0" applyNumberFormat="1" applyFont="1"/>
    <xf numFmtId="206" fontId="19" fillId="0" borderId="0" xfId="0" applyNumberFormat="1" applyFont="1" applyAlignment="1" applyProtection="1">
      <alignment horizontal="center"/>
    </xf>
    <xf numFmtId="206" fontId="0" fillId="0" borderId="0" xfId="3" applyNumberFormat="1" applyFont="1" applyBorder="1"/>
    <xf numFmtId="37" fontId="15" fillId="11" borderId="0" xfId="0" applyNumberFormat="1" applyFont="1" applyFill="1" applyBorder="1"/>
    <xf numFmtId="44" fontId="116" fillId="0" borderId="0" xfId="20" applyNumberFormat="1" applyFont="1" applyAlignment="1">
      <alignment horizontal="left"/>
    </xf>
    <xf numFmtId="44" fontId="0" fillId="0" borderId="0" xfId="0" applyNumberFormat="1"/>
    <xf numFmtId="203" fontId="0" fillId="0" borderId="0" xfId="0" applyNumberFormat="1"/>
    <xf numFmtId="3" fontId="0" fillId="0" borderId="0" xfId="0" applyNumberFormat="1"/>
    <xf numFmtId="4" fontId="0" fillId="0" borderId="0" xfId="0" applyNumberFormat="1"/>
    <xf numFmtId="203" fontId="45" fillId="0" borderId="0" xfId="6" applyNumberFormat="1" applyFont="1" applyFill="1"/>
    <xf numFmtId="10" fontId="12" fillId="0" borderId="0" xfId="5" applyNumberFormat="1" applyFont="1" applyProtection="1"/>
    <xf numFmtId="0" fontId="113" fillId="0" borderId="0" xfId="0" applyFont="1" applyAlignment="1" applyProtection="1">
      <alignment horizontal="left"/>
    </xf>
    <xf numFmtId="41" fontId="15" fillId="0" borderId="0" xfId="5" applyNumberFormat="1" applyFont="1" applyProtection="1"/>
    <xf numFmtId="41" fontId="52" fillId="0" borderId="0" xfId="0" applyNumberFormat="1" applyFont="1" applyBorder="1" applyProtection="1"/>
    <xf numFmtId="41" fontId="52" fillId="0" borderId="0" xfId="0" applyNumberFormat="1" applyFont="1" applyBorder="1"/>
    <xf numFmtId="1" fontId="15" fillId="0" borderId="0" xfId="0" applyNumberFormat="1" applyFont="1" applyBorder="1"/>
    <xf numFmtId="203" fontId="15" fillId="0" borderId="0" xfId="0" applyNumberFormat="1" applyFont="1" applyBorder="1"/>
    <xf numFmtId="218" fontId="21" fillId="0" borderId="0" xfId="3" applyNumberFormat="1" applyFont="1"/>
    <xf numFmtId="171" fontId="32" fillId="0" borderId="0" xfId="21" applyNumberFormat="1" applyFont="1" applyAlignment="1">
      <alignment horizontal="right"/>
    </xf>
    <xf numFmtId="0" fontId="16" fillId="0" borderId="0" xfId="0" applyFont="1" applyBorder="1" applyAlignment="1">
      <alignment horizontal="right"/>
    </xf>
    <xf numFmtId="37" fontId="0" fillId="0" borderId="0" xfId="0" applyNumberFormat="1" applyBorder="1"/>
    <xf numFmtId="206" fontId="0" fillId="0" borderId="0" xfId="0" applyNumberFormat="1" applyBorder="1"/>
    <xf numFmtId="38" fontId="0" fillId="0" borderId="0" xfId="0" applyNumberFormat="1" applyBorder="1"/>
    <xf numFmtId="0" fontId="113" fillId="0" borderId="0" xfId="0" applyFont="1" applyBorder="1"/>
    <xf numFmtId="9" fontId="15" fillId="0" borderId="0" xfId="0" applyNumberFormat="1" applyFont="1"/>
    <xf numFmtId="42" fontId="16" fillId="0" borderId="0" xfId="0" applyNumberFormat="1" applyFont="1" applyProtection="1"/>
    <xf numFmtId="203" fontId="19" fillId="0" borderId="0" xfId="5" applyNumberFormat="1" applyFont="1" applyAlignment="1" applyProtection="1">
      <alignment horizontal="right"/>
    </xf>
    <xf numFmtId="171" fontId="19" fillId="0" borderId="0" xfId="0" applyNumberFormat="1" applyFont="1"/>
    <xf numFmtId="6" fontId="15" fillId="0" borderId="0" xfId="0" applyNumberFormat="1" applyFont="1" applyAlignment="1">
      <alignment horizontal="right"/>
    </xf>
    <xf numFmtId="6" fontId="51" fillId="0" borderId="0" xfId="0" applyNumberFormat="1" applyFont="1" applyAlignment="1">
      <alignment horizontal="right"/>
    </xf>
    <xf numFmtId="206" fontId="21" fillId="0" borderId="7" xfId="3" applyNumberFormat="1" applyFont="1" applyBorder="1" applyProtection="1">
      <protection locked="0"/>
    </xf>
    <xf numFmtId="206" fontId="32" fillId="0" borderId="8" xfId="3" applyNumberFormat="1" applyFont="1" applyBorder="1"/>
    <xf numFmtId="0" fontId="20" fillId="0" borderId="9" xfId="0" applyFont="1" applyBorder="1" applyAlignment="1" applyProtection="1">
      <alignment horizontal="center"/>
    </xf>
    <xf numFmtId="0" fontId="20" fillId="0" borderId="9" xfId="0" applyFont="1" applyBorder="1" applyAlignment="1">
      <alignment horizontal="center"/>
    </xf>
    <xf numFmtId="0" fontId="20" fillId="0" borderId="0" xfId="0" applyFont="1" applyAlignment="1">
      <alignment horizontal="center"/>
    </xf>
    <xf numFmtId="6" fontId="16" fillId="0" borderId="0" xfId="0" applyNumberFormat="1" applyFont="1" applyProtection="1"/>
    <xf numFmtId="203" fontId="54" fillId="0" borderId="0" xfId="5" applyNumberFormat="1" applyFont="1" applyAlignment="1" applyProtection="1">
      <alignment horizontal="right"/>
    </xf>
    <xf numFmtId="42" fontId="119" fillId="0" borderId="0" xfId="0" applyNumberFormat="1" applyFont="1" applyProtection="1"/>
    <xf numFmtId="42" fontId="19" fillId="0" borderId="0" xfId="0" applyNumberFormat="1" applyFont="1" applyAlignment="1" applyProtection="1">
      <alignment horizontal="right"/>
    </xf>
    <xf numFmtId="14" fontId="0" fillId="0" borderId="0" xfId="0" applyNumberFormat="1"/>
    <xf numFmtId="10" fontId="0" fillId="0" borderId="0" xfId="21" applyNumberFormat="1" applyFont="1"/>
    <xf numFmtId="14" fontId="113" fillId="0" borderId="0" xfId="0" applyNumberFormat="1" applyFont="1" applyAlignment="1">
      <alignment horizontal="center"/>
    </xf>
    <xf numFmtId="6" fontId="14" fillId="0" borderId="0" xfId="0" applyNumberFormat="1" applyFont="1" applyBorder="1" applyAlignment="1">
      <alignment horizontal="center"/>
    </xf>
    <xf numFmtId="206" fontId="19" fillId="0" borderId="7" xfId="3" applyNumberFormat="1" applyFont="1" applyBorder="1" applyProtection="1">
      <protection locked="0"/>
    </xf>
    <xf numFmtId="171" fontId="7" fillId="0" borderId="0" xfId="21" applyNumberFormat="1" applyFont="1" applyFill="1"/>
    <xf numFmtId="44" fontId="121" fillId="0" borderId="0" xfId="6" applyNumberFormat="1" applyFont="1" applyFill="1"/>
    <xf numFmtId="203" fontId="19" fillId="0" borderId="0" xfId="3" applyNumberFormat="1" applyFont="1" applyFill="1"/>
    <xf numFmtId="0" fontId="56" fillId="0" borderId="0" xfId="0" applyFont="1" applyAlignment="1">
      <alignment horizontal="center"/>
    </xf>
    <xf numFmtId="0" fontId="0" fillId="0" borderId="0" xfId="0" applyFill="1"/>
    <xf numFmtId="173" fontId="15" fillId="0" borderId="0" xfId="21" applyNumberFormat="1" applyFont="1" applyFill="1"/>
    <xf numFmtId="43" fontId="15" fillId="0" borderId="0" xfId="3" applyNumberFormat="1" applyFont="1" applyFill="1"/>
    <xf numFmtId="9" fontId="125" fillId="0" borderId="0" xfId="21" applyFont="1" applyAlignment="1">
      <alignment horizontal="left"/>
    </xf>
    <xf numFmtId="0" fontId="126" fillId="0" borderId="0" xfId="0" applyFont="1"/>
    <xf numFmtId="15" fontId="19" fillId="0" borderId="0" xfId="0" applyNumberFormat="1" applyFont="1"/>
    <xf numFmtId="206" fontId="32" fillId="0" borderId="0" xfId="3" applyNumberFormat="1" applyFont="1" applyAlignment="1" applyProtection="1">
      <protection locked="0"/>
    </xf>
    <xf numFmtId="41" fontId="21" fillId="0" borderId="0" xfId="3" applyNumberFormat="1" applyFont="1" applyFill="1"/>
    <xf numFmtId="41" fontId="122" fillId="0" borderId="0" xfId="5" applyNumberFormat="1" applyFont="1" applyProtection="1">
      <protection locked="0"/>
    </xf>
    <xf numFmtId="41" fontId="19" fillId="0" borderId="0" xfId="5" applyNumberFormat="1" applyFont="1"/>
    <xf numFmtId="41" fontId="19" fillId="0" borderId="0" xfId="3" applyNumberFormat="1" applyFont="1" applyFill="1"/>
    <xf numFmtId="44" fontId="23" fillId="0" borderId="0" xfId="3" applyNumberFormat="1" applyFont="1" applyProtection="1">
      <protection locked="0"/>
    </xf>
    <xf numFmtId="0" fontId="118" fillId="0" borderId="0" xfId="0" applyFont="1"/>
    <xf numFmtId="0" fontId="112" fillId="0" borderId="0" xfId="0" applyFont="1"/>
    <xf numFmtId="41" fontId="20" fillId="0" borderId="0" xfId="5" applyNumberFormat="1" applyFont="1" applyProtection="1">
      <protection locked="0"/>
    </xf>
    <xf numFmtId="307" fontId="15" fillId="0" borderId="0" xfId="5" applyNumberFormat="1" applyFont="1"/>
    <xf numFmtId="205" fontId="21" fillId="0" borderId="7" xfId="3" applyNumberFormat="1" applyFont="1" applyBorder="1"/>
    <xf numFmtId="205" fontId="21" fillId="0" borderId="7" xfId="3" applyNumberFormat="1" applyFont="1" applyBorder="1" applyProtection="1">
      <protection locked="0"/>
    </xf>
    <xf numFmtId="0" fontId="0" fillId="0" borderId="0" xfId="0" applyAlignment="1">
      <alignment horizontal="center"/>
    </xf>
    <xf numFmtId="190" fontId="32" fillId="0" borderId="0" xfId="0" applyNumberFormat="1" applyFont="1" applyFill="1" applyProtection="1"/>
    <xf numFmtId="307" fontId="15" fillId="0" borderId="0" xfId="5" applyNumberFormat="1" applyFont="1" applyFill="1"/>
    <xf numFmtId="205" fontId="19" fillId="0" borderId="0" xfId="0" applyNumberFormat="1" applyFont="1"/>
    <xf numFmtId="205" fontId="54" fillId="0" borderId="0" xfId="0" applyNumberFormat="1" applyFont="1"/>
    <xf numFmtId="41" fontId="15" fillId="0" borderId="0" xfId="5" applyNumberFormat="1" applyFont="1" applyFill="1"/>
    <xf numFmtId="41" fontId="19" fillId="0" borderId="0" xfId="5" applyNumberFormat="1" applyFont="1" applyFill="1"/>
    <xf numFmtId="10" fontId="19" fillId="0" borderId="0" xfId="21" applyNumberFormat="1" applyFont="1"/>
    <xf numFmtId="203" fontId="54" fillId="0" borderId="0" xfId="5" applyNumberFormat="1" applyFont="1"/>
    <xf numFmtId="206" fontId="21" fillId="0" borderId="0" xfId="3" applyNumberFormat="1" applyFont="1" applyFill="1" applyProtection="1">
      <protection locked="0"/>
    </xf>
    <xf numFmtId="206" fontId="21" fillId="0" borderId="0" xfId="3" applyNumberFormat="1" applyFont="1" applyAlignment="1"/>
    <xf numFmtId="206" fontId="21" fillId="0" borderId="0" xfId="3" applyNumberFormat="1" applyFont="1"/>
    <xf numFmtId="206" fontId="0" fillId="0" borderId="0" xfId="3" applyNumberFormat="1" applyFont="1"/>
    <xf numFmtId="218" fontId="19" fillId="0" borderId="0" xfId="3" applyNumberFormat="1" applyFont="1"/>
    <xf numFmtId="206" fontId="21" fillId="0" borderId="3" xfId="3" applyNumberFormat="1" applyFont="1" applyBorder="1" applyProtection="1">
      <protection locked="0"/>
    </xf>
    <xf numFmtId="203" fontId="16" fillId="0" borderId="0" xfId="0" applyNumberFormat="1" applyFont="1" applyProtection="1"/>
    <xf numFmtId="203" fontId="15" fillId="0" borderId="0" xfId="0" applyNumberFormat="1" applyFont="1" applyProtection="1"/>
    <xf numFmtId="42" fontId="52" fillId="0" borderId="0" xfId="0" applyNumberFormat="1" applyFont="1" applyProtection="1"/>
    <xf numFmtId="0" fontId="128" fillId="0" borderId="0" xfId="0" applyFont="1" applyAlignment="1">
      <alignment horizontal="center"/>
    </xf>
    <xf numFmtId="8" fontId="15" fillId="0" borderId="0" xfId="0" applyNumberFormat="1" applyFont="1" applyFill="1"/>
    <xf numFmtId="0" fontId="51" fillId="0" borderId="0" xfId="0" applyFont="1"/>
    <xf numFmtId="0" fontId="15" fillId="0" borderId="0" xfId="0" applyFont="1" applyBorder="1" applyAlignment="1">
      <alignment horizontal="center"/>
    </xf>
    <xf numFmtId="6" fontId="16" fillId="0" borderId="0" xfId="0" applyNumberFormat="1" applyFont="1" applyAlignment="1">
      <alignment horizontal="center"/>
    </xf>
    <xf numFmtId="0" fontId="120" fillId="0" borderId="0" xfId="0" applyFont="1" applyAlignment="1">
      <alignment horizontal="center"/>
    </xf>
    <xf numFmtId="0" fontId="120" fillId="0" borderId="0" xfId="0" applyFont="1" applyAlignment="1">
      <alignment horizontal="left"/>
    </xf>
    <xf numFmtId="6" fontId="115" fillId="0" borderId="0" xfId="0" applyNumberFormat="1" applyFont="1"/>
    <xf numFmtId="6" fontId="14" fillId="0" borderId="4" xfId="0" applyNumberFormat="1" applyFont="1" applyBorder="1" applyAlignment="1">
      <alignment horizontal="right"/>
    </xf>
    <xf numFmtId="6" fontId="14" fillId="0" borderId="0" xfId="0" applyNumberFormat="1" applyFont="1" applyAlignment="1">
      <alignment horizontal="right"/>
    </xf>
    <xf numFmtId="206" fontId="117" fillId="0" borderId="0" xfId="3" applyNumberFormat="1" applyFont="1" applyBorder="1"/>
    <xf numFmtId="206" fontId="19" fillId="0" borderId="0" xfId="0" applyNumberFormat="1" applyFont="1" applyAlignment="1">
      <alignment horizontal="center"/>
    </xf>
    <xf numFmtId="359" fontId="113" fillId="0" borderId="0" xfId="0" applyNumberFormat="1" applyFont="1" applyProtection="1"/>
    <xf numFmtId="41" fontId="52" fillId="0" borderId="0" xfId="5" applyNumberFormat="1" applyFont="1" applyFill="1"/>
    <xf numFmtId="9" fontId="50" fillId="0" borderId="10" xfId="21" applyFont="1" applyBorder="1" applyAlignment="1">
      <alignment horizontal="center"/>
    </xf>
    <xf numFmtId="206" fontId="15" fillId="0" borderId="0" xfId="5" applyNumberFormat="1" applyFont="1" applyFill="1"/>
    <xf numFmtId="207" fontId="15" fillId="0" borderId="0" xfId="0" applyNumberFormat="1" applyFont="1" applyFill="1"/>
    <xf numFmtId="37" fontId="15" fillId="0" borderId="0" xfId="20" applyNumberFormat="1" applyFont="1" applyAlignment="1"/>
    <xf numFmtId="206" fontId="19" fillId="0" borderId="0" xfId="3" applyNumberFormat="1" applyFont="1" applyBorder="1"/>
    <xf numFmtId="203" fontId="19" fillId="0" borderId="0" xfId="0" applyNumberFormat="1" applyFont="1" applyAlignment="1">
      <alignment horizontal="center"/>
    </xf>
    <xf numFmtId="43" fontId="23" fillId="0" borderId="0" xfId="0" applyNumberFormat="1" applyFont="1" applyAlignment="1">
      <alignment horizontal="center"/>
    </xf>
    <xf numFmtId="206" fontId="52" fillId="0" borderId="0" xfId="6" applyNumberFormat="1" applyFont="1" applyFill="1"/>
    <xf numFmtId="171" fontId="55" fillId="0" borderId="3" xfId="21" applyNumberFormat="1" applyFont="1" applyBorder="1" applyAlignment="1">
      <alignment horizontal="center"/>
    </xf>
    <xf numFmtId="0" fontId="129" fillId="0" borderId="0" xfId="0" applyFont="1"/>
    <xf numFmtId="190" fontId="19" fillId="0" borderId="0" xfId="0" applyNumberFormat="1" applyFont="1"/>
    <xf numFmtId="190" fontId="0" fillId="0" borderId="0" xfId="0" applyNumberFormat="1"/>
    <xf numFmtId="14" fontId="15" fillId="0" borderId="0" xfId="0" applyNumberFormat="1" applyFont="1"/>
    <xf numFmtId="206" fontId="115" fillId="0" borderId="0" xfId="3" applyNumberFormat="1" applyFont="1"/>
    <xf numFmtId="0" fontId="2" fillId="0" borderId="0" xfId="0" applyFont="1"/>
    <xf numFmtId="0" fontId="0" fillId="0" borderId="11" xfId="0" applyBorder="1"/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6" fontId="51" fillId="0" borderId="0" xfId="0" applyNumberFormat="1" applyFont="1" applyBorder="1" applyAlignment="1">
      <alignment horizontal="right"/>
    </xf>
    <xf numFmtId="0" fontId="0" fillId="0" borderId="16" xfId="0" applyBorder="1"/>
    <xf numFmtId="6" fontId="0" fillId="0" borderId="4" xfId="0" applyNumberFormat="1" applyBorder="1"/>
    <xf numFmtId="0" fontId="0" fillId="0" borderId="17" xfId="0" applyBorder="1" applyAlignment="1">
      <alignment horizontal="center"/>
    </xf>
    <xf numFmtId="0" fontId="16" fillId="0" borderId="4" xfId="0" applyFont="1" applyBorder="1" applyAlignment="1">
      <alignment horizontal="center"/>
    </xf>
    <xf numFmtId="6" fontId="16" fillId="0" borderId="0" xfId="0" applyNumberFormat="1" applyFont="1"/>
    <xf numFmtId="0" fontId="0" fillId="0" borderId="4" xfId="0" applyBorder="1" applyAlignment="1">
      <alignment horizontal="center"/>
    </xf>
    <xf numFmtId="171" fontId="2" fillId="0" borderId="0" xfId="21" applyNumberFormat="1"/>
    <xf numFmtId="171" fontId="0" fillId="0" borderId="0" xfId="0" applyNumberFormat="1"/>
    <xf numFmtId="6" fontId="0" fillId="0" borderId="0" xfId="0" applyNumberFormat="1" applyAlignment="1">
      <alignment horizontal="center"/>
    </xf>
    <xf numFmtId="203" fontId="21" fillId="0" borderId="0" xfId="5" applyNumberFormat="1" applyFont="1" applyFill="1" applyBorder="1" applyProtection="1"/>
    <xf numFmtId="206" fontId="21" fillId="0" borderId="0" xfId="3" applyNumberFormat="1" applyFont="1" applyBorder="1" applyProtection="1"/>
    <xf numFmtId="206" fontId="21" fillId="0" borderId="0" xfId="3" applyNumberFormat="1" applyFont="1" applyFill="1" applyBorder="1" applyProtection="1"/>
    <xf numFmtId="206" fontId="117" fillId="0" borderId="0" xfId="3" applyNumberFormat="1" applyFont="1"/>
    <xf numFmtId="203" fontId="19" fillId="0" borderId="0" xfId="5" applyNumberFormat="1" applyFont="1" applyFill="1" applyBorder="1" applyProtection="1"/>
    <xf numFmtId="206" fontId="19" fillId="0" borderId="0" xfId="3" applyNumberFormat="1" applyFont="1" applyProtection="1"/>
    <xf numFmtId="206" fontId="21" fillId="0" borderId="0" xfId="3" applyNumberFormat="1" applyFont="1" applyBorder="1"/>
    <xf numFmtId="206" fontId="19" fillId="0" borderId="0" xfId="0" applyNumberFormat="1" applyFont="1"/>
    <xf numFmtId="206" fontId="54" fillId="0" borderId="0" xfId="3" applyNumberFormat="1" applyFont="1"/>
    <xf numFmtId="0" fontId="0" fillId="0" borderId="13" xfId="0" applyBorder="1" applyAlignment="1">
      <alignment horizontal="center" wrapText="1"/>
    </xf>
    <xf numFmtId="218" fontId="0" fillId="0" borderId="18" xfId="0" applyNumberFormat="1" applyBorder="1" applyAlignment="1">
      <alignment horizontal="center"/>
    </xf>
    <xf numFmtId="218" fontId="0" fillId="0" borderId="15" xfId="0" applyNumberFormat="1" applyBorder="1" applyAlignment="1">
      <alignment horizontal="center"/>
    </xf>
    <xf numFmtId="218" fontId="0" fillId="0" borderId="17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10" fontId="0" fillId="0" borderId="9" xfId="21" applyNumberFormat="1" applyFon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218" fontId="0" fillId="0" borderId="9" xfId="0" applyNumberFormat="1" applyBorder="1" applyAlignment="1">
      <alignment horizontal="center"/>
    </xf>
    <xf numFmtId="218" fontId="0" fillId="0" borderId="7" xfId="0" applyNumberFormat="1" applyBorder="1" applyAlignment="1">
      <alignment horizontal="center"/>
    </xf>
    <xf numFmtId="218" fontId="0" fillId="0" borderId="8" xfId="0" applyNumberFormat="1" applyBorder="1" applyAlignment="1">
      <alignment horizontal="center"/>
    </xf>
    <xf numFmtId="171" fontId="14" fillId="0" borderId="3" xfId="21" applyNumberFormat="1" applyFont="1" applyBorder="1" applyAlignment="1">
      <alignment horizontal="center"/>
    </xf>
    <xf numFmtId="0" fontId="126" fillId="0" borderId="0" xfId="0" applyFont="1" applyAlignment="1">
      <alignment horizontal="center" wrapText="1"/>
    </xf>
    <xf numFmtId="6" fontId="15" fillId="0" borderId="0" xfId="5" applyNumberFormat="1" applyFont="1" applyFill="1"/>
    <xf numFmtId="218" fontId="0" fillId="0" borderId="0" xfId="0" applyNumberFormat="1"/>
    <xf numFmtId="203" fontId="0" fillId="0" borderId="0" xfId="5" applyNumberFormat="1" applyFont="1"/>
    <xf numFmtId="307" fontId="0" fillId="0" borderId="0" xfId="5" applyNumberFormat="1" applyFont="1"/>
    <xf numFmtId="171" fontId="14" fillId="0" borderId="0" xfId="21" applyNumberFormat="1" applyFont="1" applyBorder="1" applyAlignment="1">
      <alignment horizontal="center"/>
    </xf>
    <xf numFmtId="0" fontId="15" fillId="0" borderId="19" xfId="0" applyFont="1" applyBorder="1"/>
    <xf numFmtId="0" fontId="0" fillId="0" borderId="20" xfId="0" applyBorder="1"/>
    <xf numFmtId="6" fontId="15" fillId="0" borderId="20" xfId="0" applyNumberFormat="1" applyFont="1" applyBorder="1" applyAlignment="1">
      <alignment horizontal="right"/>
    </xf>
    <xf numFmtId="6" fontId="0" fillId="0" borderId="20" xfId="0" applyNumberFormat="1" applyBorder="1"/>
    <xf numFmtId="6" fontId="0" fillId="0" borderId="18" xfId="0" applyNumberFormat="1" applyBorder="1"/>
    <xf numFmtId="0" fontId="15" fillId="0" borderId="14" xfId="0" applyFont="1" applyBorder="1"/>
    <xf numFmtId="6" fontId="0" fillId="0" borderId="0" xfId="0" applyNumberFormat="1" applyBorder="1"/>
    <xf numFmtId="6" fontId="0" fillId="0" borderId="15" xfId="0" applyNumberFormat="1" applyBorder="1"/>
    <xf numFmtId="6" fontId="15" fillId="0" borderId="0" xfId="0" applyNumberFormat="1" applyFont="1" applyBorder="1" applyAlignment="1">
      <alignment horizontal="right"/>
    </xf>
    <xf numFmtId="6" fontId="115" fillId="0" borderId="0" xfId="0" applyNumberFormat="1" applyFont="1" applyBorder="1" applyAlignment="1">
      <alignment horizontal="right"/>
    </xf>
    <xf numFmtId="6" fontId="0" fillId="0" borderId="17" xfId="0" applyNumberFormat="1" applyBorder="1" applyAlignment="1">
      <alignment horizontal="right"/>
    </xf>
    <xf numFmtId="6" fontId="15" fillId="0" borderId="0" xfId="0" applyNumberFormat="1" applyFont="1" applyBorder="1"/>
    <xf numFmtId="6" fontId="15" fillId="0" borderId="15" xfId="0" applyNumberFormat="1" applyFont="1" applyBorder="1" applyAlignment="1">
      <alignment horizontal="right"/>
    </xf>
    <xf numFmtId="0" fontId="0" fillId="0" borderId="15" xfId="0" applyBorder="1"/>
    <xf numFmtId="0" fontId="16" fillId="0" borderId="0" xfId="0" applyFont="1" applyBorder="1" applyAlignment="1">
      <alignment horizontal="center"/>
    </xf>
    <xf numFmtId="0" fontId="131" fillId="0" borderId="0" xfId="0" applyFont="1"/>
    <xf numFmtId="6" fontId="131" fillId="0" borderId="0" xfId="0" applyNumberFormat="1" applyFont="1" applyAlignment="1">
      <alignment horizontal="right"/>
    </xf>
    <xf numFmtId="0" fontId="131" fillId="0" borderId="16" xfId="0" applyFont="1" applyBorder="1"/>
    <xf numFmtId="0" fontId="131" fillId="0" borderId="4" xfId="0" applyFont="1" applyBorder="1"/>
    <xf numFmtId="6" fontId="131" fillId="0" borderId="4" xfId="0" applyNumberFormat="1" applyFont="1" applyBorder="1"/>
    <xf numFmtId="6" fontId="131" fillId="0" borderId="17" xfId="0" applyNumberFormat="1" applyFont="1" applyBorder="1" applyAlignment="1">
      <alignment horizontal="right"/>
    </xf>
    <xf numFmtId="0" fontId="120" fillId="0" borderId="14" xfId="0" applyFont="1" applyBorder="1" applyAlignment="1">
      <alignment horizontal="left"/>
    </xf>
    <xf numFmtId="0" fontId="120" fillId="0" borderId="11" xfId="0" applyFont="1" applyBorder="1" applyAlignment="1">
      <alignment horizontal="left"/>
    </xf>
    <xf numFmtId="0" fontId="0" fillId="0" borderId="12" xfId="0" applyBorder="1"/>
    <xf numFmtId="0" fontId="120" fillId="0" borderId="12" xfId="0" applyFont="1" applyBorder="1" applyAlignment="1">
      <alignment horizontal="center"/>
    </xf>
    <xf numFmtId="0" fontId="120" fillId="0" borderId="13" xfId="0" applyFont="1" applyBorder="1" applyAlignment="1">
      <alignment horizontal="center"/>
    </xf>
    <xf numFmtId="0" fontId="129" fillId="0" borderId="0" xfId="0" applyFont="1" applyAlignment="1">
      <alignment horizontal="center"/>
    </xf>
    <xf numFmtId="7" fontId="19" fillId="0" borderId="3" xfId="5" applyNumberFormat="1" applyFont="1" applyFill="1" applyBorder="1"/>
    <xf numFmtId="308" fontId="15" fillId="0" borderId="0" xfId="5" applyNumberFormat="1" applyFont="1" applyFill="1"/>
    <xf numFmtId="176" fontId="23" fillId="0" borderId="0" xfId="0" applyNumberFormat="1" applyFont="1" applyProtection="1">
      <protection locked="0"/>
    </xf>
    <xf numFmtId="176" fontId="19" fillId="0" borderId="0" xfId="0" applyNumberFormat="1" applyFont="1"/>
    <xf numFmtId="6" fontId="41" fillId="0" borderId="0" xfId="0" applyNumberFormat="1" applyFont="1" applyAlignment="1">
      <alignment horizontal="right"/>
    </xf>
    <xf numFmtId="0" fontId="41" fillId="0" borderId="0" xfId="0" applyFont="1"/>
    <xf numFmtId="6" fontId="41" fillId="0" borderId="4" xfId="0" applyNumberFormat="1" applyFont="1" applyBorder="1" applyAlignment="1">
      <alignment horizontal="right"/>
    </xf>
    <xf numFmtId="203" fontId="32" fillId="0" borderId="0" xfId="5" applyNumberFormat="1" applyFont="1" applyFill="1" applyProtection="1"/>
    <xf numFmtId="226" fontId="32" fillId="0" borderId="0" xfId="0" applyNumberFormat="1" applyFont="1" applyFill="1" applyAlignment="1" applyProtection="1">
      <alignment horizontal="right"/>
    </xf>
    <xf numFmtId="210" fontId="15" fillId="10" borderId="0" xfId="3" applyNumberFormat="1" applyFont="1" applyFill="1"/>
    <xf numFmtId="211" fontId="15" fillId="10" borderId="0" xfId="3" applyNumberFormat="1" applyFont="1" applyFill="1"/>
    <xf numFmtId="0" fontId="124" fillId="0" borderId="0" xfId="0" applyFont="1" applyAlignment="1">
      <alignment horizontal="center"/>
    </xf>
    <xf numFmtId="0" fontId="123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2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6" fillId="0" borderId="0" xfId="0" applyFont="1" applyAlignment="1">
      <alignment horizontal="center" wrapText="1"/>
    </xf>
  </cellXfs>
  <cellStyles count="33">
    <cellStyle name="??_?.????" xfId="1"/>
    <cellStyle name="Actual Date" xfId="2"/>
    <cellStyle name="Comma" xfId="3" builtinId="3"/>
    <cellStyle name="Comma_Curve_Economics" xfId="4"/>
    <cellStyle name="Currency" xfId="5" builtinId="4"/>
    <cellStyle name="Currency_Curve_Economics" xfId="6"/>
    <cellStyle name="Date" xfId="7"/>
    <cellStyle name="Dezimal [0]_Compiling Utility Macros" xfId="8"/>
    <cellStyle name="Dezimal_Compiling Utility Macros" xfId="9"/>
    <cellStyle name="Fixed" xfId="10"/>
    <cellStyle name="Grey" xfId="11"/>
    <cellStyle name="HEADER" xfId="12"/>
    <cellStyle name="Heading1" xfId="13"/>
    <cellStyle name="Heading2" xfId="14"/>
    <cellStyle name="HIGHLIGHT" xfId="15"/>
    <cellStyle name="Input [yellow]" xfId="16"/>
    <cellStyle name="no dec" xfId="17"/>
    <cellStyle name="Normal" xfId="0" builtinId="0"/>
    <cellStyle name="Normal - Style1" xfId="18"/>
    <cellStyle name="Normal_A" xfId="19"/>
    <cellStyle name="Normal_Curve_Economics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4" Type="http://schemas.openxmlformats.org/officeDocument/2006/relationships/printerSettings" Target="../printerSettings/printerSettings4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4" Type="http://schemas.openxmlformats.org/officeDocument/2006/relationships/printerSettings" Target="../printerSettings/printerSettings1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S126"/>
  <sheetViews>
    <sheetView tabSelected="1" zoomScale="75" zoomScaleNormal="100" zoomScaleSheetLayoutView="75" workbookViewId="0">
      <selection activeCell="F27" sqref="F27"/>
    </sheetView>
  </sheetViews>
  <sheetFormatPr defaultColWidth="9.33203125" defaultRowHeight="11.4"/>
  <cols>
    <col min="1" max="1" width="43.44140625" style="34" customWidth="1"/>
    <col min="2" max="2" width="10.88671875" style="34" customWidth="1"/>
    <col min="3" max="3" width="17.44140625" style="34" customWidth="1"/>
    <col min="4" max="4" width="9.33203125" style="34" customWidth="1"/>
    <col min="5" max="5" width="33.6640625" style="34" customWidth="1"/>
    <col min="6" max="6" width="11.6640625" style="34" bestFit="1" customWidth="1"/>
    <col min="7" max="7" width="15.33203125" style="34" customWidth="1"/>
    <col min="8" max="8" width="8.44140625" style="34" customWidth="1"/>
    <col min="9" max="9" width="15.33203125" style="34" customWidth="1"/>
    <col min="10" max="10" width="9.33203125" style="34" customWidth="1"/>
    <col min="11" max="11" width="29.109375" style="34" customWidth="1"/>
    <col min="12" max="12" width="22.6640625" style="34" customWidth="1"/>
    <col min="13" max="13" width="6" style="34" bestFit="1" customWidth="1"/>
    <col min="14" max="14" width="9.33203125" style="34" customWidth="1"/>
    <col min="15" max="15" width="10.33203125" style="34" customWidth="1"/>
    <col min="16" max="16" width="13" style="34" bestFit="1" customWidth="1"/>
    <col min="17" max="17" width="9.6640625" style="34" bestFit="1" customWidth="1"/>
    <col min="18" max="18" width="13" style="34" bestFit="1" customWidth="1"/>
    <col min="19" max="16384" width="9.33203125" style="34"/>
  </cols>
  <sheetData>
    <row r="1" spans="1:19">
      <c r="B1" s="62"/>
    </row>
    <row r="2" spans="1:19" ht="45">
      <c r="A2" s="580" t="s">
        <v>405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</row>
    <row r="3" spans="1:19" ht="20.399999999999999">
      <c r="A3" s="581" t="s">
        <v>6</v>
      </c>
      <c r="B3" s="581"/>
      <c r="C3" s="581"/>
      <c r="D3" s="581"/>
      <c r="E3" s="581"/>
      <c r="F3" s="581"/>
      <c r="G3" s="581"/>
      <c r="H3" s="581"/>
      <c r="I3" s="581"/>
      <c r="J3" s="581"/>
      <c r="K3" s="581"/>
      <c r="L3" s="581"/>
      <c r="M3" s="581"/>
      <c r="N3" s="581"/>
    </row>
    <row r="4" spans="1:19" ht="15">
      <c r="A4" s="434"/>
      <c r="B4" s="434"/>
      <c r="C4" s="434"/>
      <c r="D4" s="434"/>
      <c r="E4" s="434"/>
      <c r="F4" s="434"/>
      <c r="G4" s="434"/>
      <c r="H4" s="434"/>
      <c r="I4" s="434"/>
      <c r="J4" s="434"/>
      <c r="K4" s="434"/>
      <c r="L4" s="434"/>
      <c r="M4" s="434"/>
      <c r="N4" s="434"/>
    </row>
    <row r="5" spans="1:19" ht="15">
      <c r="A5" s="434"/>
      <c r="B5" s="434"/>
      <c r="C5" s="434"/>
      <c r="D5" s="434"/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9">
      <c r="B6" s="65"/>
      <c r="E6" s="66"/>
      <c r="F6" s="63"/>
      <c r="G6" s="63"/>
      <c r="H6" s="63"/>
    </row>
    <row r="7" spans="1:19" ht="13.95" customHeight="1">
      <c r="A7" s="128" t="s">
        <v>65</v>
      </c>
      <c r="C7" s="70"/>
      <c r="E7" s="128" t="s">
        <v>7</v>
      </c>
      <c r="G7" s="420" t="s">
        <v>245</v>
      </c>
      <c r="I7" s="419" t="s">
        <v>244</v>
      </c>
      <c r="K7" s="128" t="s">
        <v>302</v>
      </c>
      <c r="L7" s="72"/>
      <c r="M7" s="72"/>
      <c r="N7" s="421" t="s">
        <v>287</v>
      </c>
      <c r="P7" s="421"/>
      <c r="R7" s="421"/>
    </row>
    <row r="8" spans="1:19" ht="13.95" customHeight="1">
      <c r="A8" s="130" t="s">
        <v>34</v>
      </c>
      <c r="E8" s="35" t="s">
        <v>243</v>
      </c>
      <c r="F8" s="239"/>
      <c r="G8" s="417">
        <f>5-I8</f>
        <v>2</v>
      </c>
      <c r="I8" s="417">
        <v>3</v>
      </c>
      <c r="K8" s="81" t="s">
        <v>301</v>
      </c>
      <c r="L8" s="72"/>
      <c r="M8" s="72"/>
      <c r="N8" s="144">
        <f>(252.75+25.05)*(1+$N$19)</f>
        <v>283.35599999999999</v>
      </c>
      <c r="O8" s="65"/>
      <c r="P8" s="81"/>
      <c r="R8" s="144"/>
      <c r="S8" s="144"/>
    </row>
    <row r="9" spans="1:19" ht="13.95" customHeight="1">
      <c r="A9" s="35" t="s">
        <v>257</v>
      </c>
      <c r="B9" s="105">
        <f>C9/C12</f>
        <v>2.8402409365593854E-2</v>
      </c>
      <c r="C9" s="70">
        <f>IDC!Z49</f>
        <v>3313.3769250269975</v>
      </c>
      <c r="E9" s="35" t="s">
        <v>10</v>
      </c>
      <c r="G9" s="452">
        <v>76.5</v>
      </c>
      <c r="H9" s="71"/>
      <c r="I9" s="451">
        <v>61</v>
      </c>
      <c r="K9" s="34" t="s">
        <v>309</v>
      </c>
      <c r="N9" s="442">
        <f>(497+37.2)*(1+$N$19)</f>
        <v>544.88400000000001</v>
      </c>
      <c r="O9" s="65"/>
      <c r="R9" s="249"/>
      <c r="S9" s="459"/>
    </row>
    <row r="10" spans="1:19" ht="13.95" customHeight="1">
      <c r="A10" s="35" t="s">
        <v>178</v>
      </c>
      <c r="B10" s="105">
        <f>C10/C12</f>
        <v>0.97159759063440609</v>
      </c>
      <c r="C10" s="303">
        <f>IF(ISNUMBER('Debt Amortization'!D35),'Debt Amortization'!D35,0)</f>
        <v>113344.92774122291</v>
      </c>
      <c r="D10" s="305"/>
      <c r="E10" s="35" t="s">
        <v>248</v>
      </c>
      <c r="G10" s="430">
        <f>G8*G9</f>
        <v>153</v>
      </c>
      <c r="H10" s="73"/>
      <c r="I10" s="430">
        <f>I8*I9</f>
        <v>183</v>
      </c>
      <c r="K10" s="81" t="s">
        <v>300</v>
      </c>
      <c r="L10" s="72"/>
      <c r="M10" s="72"/>
      <c r="N10" s="442">
        <f>(171.05+217.25+25.05)*(1+$N$19)</f>
        <v>421.61700000000002</v>
      </c>
      <c r="O10" s="65"/>
      <c r="P10" s="81"/>
      <c r="R10" s="249"/>
      <c r="S10" s="249"/>
    </row>
    <row r="11" spans="1:19" ht="13.95" customHeight="1">
      <c r="A11" s="74"/>
      <c r="B11" s="104"/>
      <c r="C11" s="75"/>
      <c r="E11" s="76" t="s">
        <v>12</v>
      </c>
      <c r="G11" s="418">
        <f>11936</f>
        <v>11936</v>
      </c>
      <c r="H11" s="69"/>
      <c r="I11" s="418">
        <f>(12220+12101+12101)/3</f>
        <v>12140.666666666666</v>
      </c>
      <c r="K11" s="81" t="s">
        <v>210</v>
      </c>
      <c r="L11" s="72"/>
      <c r="M11" s="72"/>
      <c r="N11" s="442">
        <f>722.21*(1+$N$19)</f>
        <v>736.65420000000006</v>
      </c>
      <c r="O11" s="65"/>
      <c r="P11" s="81"/>
      <c r="R11" s="249"/>
      <c r="S11" s="249"/>
    </row>
    <row r="12" spans="1:19" ht="13.95" customHeight="1" thickBot="1">
      <c r="A12" s="35" t="s">
        <v>430</v>
      </c>
      <c r="B12" s="104"/>
      <c r="C12" s="304">
        <f>SUM(C9:C10)</f>
        <v>116658.30466624991</v>
      </c>
      <c r="E12" s="35" t="s">
        <v>249</v>
      </c>
      <c r="G12" s="133"/>
      <c r="H12" s="69"/>
      <c r="I12" s="571">
        <f>G10+I10</f>
        <v>336</v>
      </c>
      <c r="K12" s="81" t="s">
        <v>277</v>
      </c>
      <c r="L12" s="72"/>
      <c r="M12" s="86">
        <v>5.0000000000000001E-3</v>
      </c>
      <c r="N12" s="444">
        <f>'Book Income Statement'!C28*(12/'Book Income Statement'!C5)</f>
        <v>59.230079999999994</v>
      </c>
      <c r="O12" s="65"/>
      <c r="P12" s="72"/>
      <c r="R12" s="381"/>
      <c r="S12" s="249"/>
    </row>
    <row r="13" spans="1:19" ht="13.95" customHeight="1" thickTop="1">
      <c r="A13" s="104"/>
      <c r="B13" s="104"/>
      <c r="E13" s="76" t="s">
        <v>285</v>
      </c>
      <c r="G13" s="291" t="s">
        <v>334</v>
      </c>
      <c r="H13" s="69"/>
      <c r="I13" s="133">
        <f>IF(G13="Weighted Average",I10/I12*I11+G10/I12*G11,12200)</f>
        <v>12047.470238095237</v>
      </c>
      <c r="K13" s="81" t="s">
        <v>322</v>
      </c>
      <c r="L13" s="72"/>
      <c r="M13" s="86">
        <v>1.6000000000000001E-3</v>
      </c>
      <c r="N13" s="444">
        <f>'Book Income Statement'!C29*(12/'Book Income Statement'!C5)</f>
        <v>180.21581004828275</v>
      </c>
      <c r="O13" s="65"/>
      <c r="P13" s="72"/>
      <c r="R13" s="382"/>
      <c r="S13" s="144"/>
    </row>
    <row r="14" spans="1:19" ht="13.95" customHeight="1">
      <c r="B14" s="104"/>
      <c r="C14" s="104"/>
      <c r="E14" s="35" t="s">
        <v>59</v>
      </c>
      <c r="H14" s="78"/>
      <c r="I14" s="441">
        <v>1400</v>
      </c>
      <c r="K14" s="81" t="s">
        <v>333</v>
      </c>
      <c r="L14" s="72"/>
      <c r="M14" s="86"/>
      <c r="N14" s="445">
        <v>0</v>
      </c>
      <c r="P14" s="145"/>
      <c r="R14" s="145"/>
    </row>
    <row r="15" spans="1:19" ht="13.95" customHeight="1">
      <c r="B15" s="104"/>
      <c r="C15" s="104"/>
      <c r="E15" s="35" t="s">
        <v>215</v>
      </c>
      <c r="H15" s="80"/>
      <c r="I15" s="68">
        <v>15</v>
      </c>
      <c r="K15" s="81" t="s">
        <v>332</v>
      </c>
      <c r="L15" s="72"/>
      <c r="M15" s="86"/>
      <c r="N15" s="445">
        <v>200</v>
      </c>
      <c r="P15" s="81"/>
      <c r="Q15" s="72"/>
      <c r="R15" s="460"/>
      <c r="S15" s="145"/>
    </row>
    <row r="16" spans="1:19" ht="13.95" customHeight="1">
      <c r="A16" s="130" t="s">
        <v>35</v>
      </c>
      <c r="B16" s="104"/>
      <c r="C16" s="104"/>
      <c r="E16" s="35" t="s">
        <v>11</v>
      </c>
      <c r="G16" s="572"/>
      <c r="H16" s="71"/>
      <c r="I16" s="118">
        <v>36661</v>
      </c>
      <c r="K16" s="34" t="s">
        <v>331</v>
      </c>
      <c r="N16" s="449">
        <f>((108.8*$I$8)+(94.3*$G$8))*'PPA Assumptions'!C26*$N$34/1000</f>
        <v>128.02900000000002</v>
      </c>
      <c r="P16" s="81"/>
      <c r="Q16" s="72"/>
      <c r="R16" s="460"/>
      <c r="S16" s="461"/>
    </row>
    <row r="17" spans="1:19" ht="13.95" customHeight="1">
      <c r="A17" s="127" t="s">
        <v>66</v>
      </c>
      <c r="B17" s="104"/>
      <c r="E17" s="34" t="s">
        <v>69</v>
      </c>
      <c r="H17" s="291"/>
      <c r="I17" s="569">
        <f>C49/I12</f>
        <v>347.19733531622012</v>
      </c>
      <c r="K17" s="72" t="s">
        <v>303</v>
      </c>
      <c r="L17" s="72"/>
      <c r="M17" s="72"/>
      <c r="N17" s="145">
        <f>SUM(N8:N16)</f>
        <v>2553.9860900482827</v>
      </c>
      <c r="P17" s="81"/>
      <c r="Q17" s="72"/>
      <c r="R17" s="82"/>
      <c r="S17" s="309"/>
    </row>
    <row r="18" spans="1:19" ht="13.95" customHeight="1">
      <c r="A18" s="35" t="s">
        <v>199</v>
      </c>
      <c r="C18" s="515">
        <f>'Current Budget'!Q53/1000</f>
        <v>79118.009999999995</v>
      </c>
      <c r="D18" s="292"/>
      <c r="E18" s="76"/>
      <c r="G18" s="118"/>
      <c r="H18" s="69"/>
      <c r="I18" s="118"/>
      <c r="P18" s="81"/>
      <c r="Q18" s="72"/>
      <c r="R18" s="72"/>
      <c r="S18" s="462"/>
    </row>
    <row r="19" spans="1:19" ht="13.95" customHeight="1">
      <c r="A19" s="35" t="s">
        <v>335</v>
      </c>
      <c r="B19" s="104"/>
      <c r="C19" s="464">
        <f>('Current Budget'!Q30+'Current Budget'!Q37)/1000</f>
        <v>26078.423220000004</v>
      </c>
      <c r="D19" s="292"/>
      <c r="I19"/>
      <c r="K19" s="72" t="s">
        <v>305</v>
      </c>
      <c r="L19" s="72"/>
      <c r="M19" s="72"/>
      <c r="N19" s="90">
        <v>0.02</v>
      </c>
      <c r="P19" s="72"/>
      <c r="Q19" s="72"/>
      <c r="R19" s="72"/>
      <c r="S19" s="463"/>
    </row>
    <row r="20" spans="1:19" ht="13.95" customHeight="1">
      <c r="A20" s="35" t="s">
        <v>262</v>
      </c>
      <c r="B20" s="104"/>
      <c r="C20" s="516">
        <f>'Current Budget'!Q58/1000</f>
        <v>1000</v>
      </c>
      <c r="D20" s="292"/>
      <c r="E20" s="128" t="s">
        <v>41</v>
      </c>
      <c r="S20" s="464"/>
    </row>
    <row r="21" spans="1:19" ht="13.95" customHeight="1">
      <c r="A21" s="34" t="s">
        <v>22</v>
      </c>
      <c r="B21" s="104"/>
      <c r="C21" s="517">
        <f>'Current Budget'!Q59/1000</f>
        <v>1694.67</v>
      </c>
      <c r="D21" s="292"/>
      <c r="E21" s="187" t="s">
        <v>278</v>
      </c>
      <c r="F21" s="440">
        <f>$I$16</f>
        <v>36661</v>
      </c>
      <c r="H21" s="34" t="s">
        <v>283</v>
      </c>
      <c r="I21" s="456">
        <f>$I$9</f>
        <v>61</v>
      </c>
      <c r="K21" s="128" t="s">
        <v>307</v>
      </c>
      <c r="L21" s="72"/>
      <c r="M21" s="79"/>
      <c r="N21" s="421" t="s">
        <v>287</v>
      </c>
      <c r="S21" s="464"/>
    </row>
    <row r="22" spans="1:19" ht="13.2">
      <c r="A22" s="34" t="s">
        <v>70</v>
      </c>
      <c r="B22" s="104"/>
      <c r="C22" s="518">
        <f>'Current Budget'!Q60/1000</f>
        <v>351.92032</v>
      </c>
      <c r="D22" s="292"/>
      <c r="E22" s="187" t="s">
        <v>279</v>
      </c>
      <c r="F22" s="440">
        <f>$I$16</f>
        <v>36661</v>
      </c>
      <c r="H22" s="34" t="s">
        <v>283</v>
      </c>
      <c r="I22" s="456">
        <f>$I$9</f>
        <v>61</v>
      </c>
      <c r="J22" s="302"/>
      <c r="K22" s="72" t="s">
        <v>310</v>
      </c>
      <c r="L22" s="72"/>
      <c r="M22" s="134"/>
      <c r="N22" s="433">
        <f>150*(1+$N$19)</f>
        <v>153</v>
      </c>
    </row>
    <row r="23" spans="1:19" ht="13.95" customHeight="1">
      <c r="A23" s="35"/>
      <c r="B23" s="104"/>
      <c r="C23" s="519">
        <f>SUM(C18:C22)</f>
        <v>108243.02354000001</v>
      </c>
      <c r="D23" s="292"/>
      <c r="E23" s="187" t="s">
        <v>280</v>
      </c>
      <c r="F23" s="440">
        <f>$I$16</f>
        <v>36661</v>
      </c>
      <c r="H23" s="34" t="s">
        <v>283</v>
      </c>
      <c r="I23" s="456">
        <f>$I$9</f>
        <v>61</v>
      </c>
      <c r="K23" s="72" t="s">
        <v>209</v>
      </c>
      <c r="L23" s="72"/>
      <c r="M23" s="134"/>
      <c r="N23" s="444">
        <v>125</v>
      </c>
      <c r="S23" s="305"/>
    </row>
    <row r="24" spans="1:19" ht="13.95" customHeight="1">
      <c r="B24" s="203"/>
      <c r="C24" s="198"/>
      <c r="D24" s="292"/>
      <c r="E24" s="187" t="s">
        <v>281</v>
      </c>
      <c r="F24" s="440">
        <v>36722</v>
      </c>
      <c r="H24" s="34" t="s">
        <v>283</v>
      </c>
      <c r="I24" s="456">
        <f>+G9</f>
        <v>76.5</v>
      </c>
      <c r="K24" s="81" t="s">
        <v>343</v>
      </c>
      <c r="L24" s="72"/>
      <c r="M24" s="72"/>
      <c r="N24" s="443">
        <v>0</v>
      </c>
    </row>
    <row r="25" spans="1:19" ht="13.95" customHeight="1">
      <c r="A25" s="35"/>
      <c r="B25" s="490"/>
      <c r="C25" s="519"/>
      <c r="D25" s="292"/>
      <c r="E25" s="187" t="s">
        <v>282</v>
      </c>
      <c r="F25" s="440">
        <f>36769-F27</f>
        <v>36769</v>
      </c>
      <c r="H25" s="34" t="s">
        <v>283</v>
      </c>
      <c r="I25" s="457">
        <f>+G9</f>
        <v>76.5</v>
      </c>
      <c r="K25" s="72" t="s">
        <v>306</v>
      </c>
      <c r="L25" s="72"/>
      <c r="M25" s="82"/>
      <c r="N25" s="309">
        <f>SUM(N22:N24)</f>
        <v>278</v>
      </c>
      <c r="P25" s="87"/>
      <c r="S25" s="305"/>
    </row>
    <row r="26" spans="1:19" ht="13.95" customHeight="1">
      <c r="A26" s="127" t="s">
        <v>67</v>
      </c>
      <c r="B26" s="104"/>
      <c r="C26" s="83"/>
      <c r="D26" s="292"/>
      <c r="E26" s="187" t="s">
        <v>261</v>
      </c>
      <c r="I26" s="456">
        <f>SUM(I21:I25)</f>
        <v>336</v>
      </c>
      <c r="K26" s="81"/>
      <c r="L26" s="72"/>
      <c r="M26" s="82"/>
      <c r="N26" s="309"/>
    </row>
    <row r="27" spans="1:19" ht="13.95" customHeight="1">
      <c r="A27" s="35" t="s">
        <v>8</v>
      </c>
      <c r="B27" s="104"/>
      <c r="C27" s="517">
        <f>'Current Budget'!Q68/1000</f>
        <v>375</v>
      </c>
      <c r="D27" s="292"/>
      <c r="E27" s="128"/>
      <c r="K27" s="72" t="s">
        <v>304</v>
      </c>
      <c r="L27" s="72"/>
      <c r="M27" s="72"/>
      <c r="N27" s="86">
        <v>0.02</v>
      </c>
    </row>
    <row r="28" spans="1:19" ht="13.95" customHeight="1">
      <c r="A28" s="34" t="s">
        <v>182</v>
      </c>
      <c r="B28" s="133"/>
      <c r="C28" s="520">
        <f>'Current Budget'!Q69/1000</f>
        <v>400</v>
      </c>
      <c r="D28" s="292"/>
      <c r="E28" s="187" t="s">
        <v>289</v>
      </c>
      <c r="F28" s="187"/>
      <c r="G28" s="187"/>
      <c r="H28" s="495"/>
      <c r="I28" s="404">
        <v>2.9380000000000002</v>
      </c>
      <c r="Q28" s="42"/>
    </row>
    <row r="29" spans="1:19" ht="13.95" customHeight="1">
      <c r="A29" s="35" t="s">
        <v>183</v>
      </c>
      <c r="B29" s="133"/>
      <c r="C29" s="464">
        <f>'Current Budget'!Q70/1000</f>
        <v>1128.5640000000001</v>
      </c>
      <c r="D29" s="292"/>
      <c r="E29" s="187" t="s">
        <v>291</v>
      </c>
      <c r="F29" s="187"/>
      <c r="G29" s="187"/>
      <c r="H29" s="495"/>
      <c r="I29" s="86">
        <v>0</v>
      </c>
      <c r="K29" s="72" t="s">
        <v>323</v>
      </c>
      <c r="L29" s="447" t="s">
        <v>321</v>
      </c>
      <c r="M29" s="34" t="s">
        <v>320</v>
      </c>
      <c r="N29" s="446">
        <f>'Book Income Statement'!C88</f>
        <v>0.56995649799843895</v>
      </c>
    </row>
    <row r="30" spans="1:19" ht="13.95" customHeight="1">
      <c r="A30" s="35" t="s">
        <v>184</v>
      </c>
      <c r="B30" s="104"/>
      <c r="C30" s="521">
        <f>'Current Budget'!Q71/1000</f>
        <v>300</v>
      </c>
      <c r="D30" s="292"/>
      <c r="E30" s="187"/>
      <c r="F30" s="187"/>
      <c r="G30" s="187"/>
      <c r="H30" s="187"/>
      <c r="I30" s="86"/>
      <c r="K30" s="72" t="s">
        <v>324</v>
      </c>
      <c r="L30" s="448" t="s">
        <v>319</v>
      </c>
      <c r="M30" s="72"/>
      <c r="N30" s="446">
        <f>'PPA Assumptions'!C12</f>
        <v>1.7607142857142859</v>
      </c>
    </row>
    <row r="31" spans="1:19" ht="13.95" customHeight="1">
      <c r="A31" s="35" t="s">
        <v>36</v>
      </c>
      <c r="B31" s="104"/>
      <c r="C31" s="521">
        <f>'Current Budget'!Q72/1000</f>
        <v>150</v>
      </c>
      <c r="D31" s="292"/>
      <c r="E31" s="187" t="s">
        <v>292</v>
      </c>
      <c r="F31" s="187"/>
      <c r="G31" s="187"/>
      <c r="H31" s="187"/>
      <c r="I31" s="466">
        <v>8.5999999999999993E-2</v>
      </c>
      <c r="K31" s="72"/>
      <c r="L31" s="72"/>
      <c r="M31" s="72"/>
      <c r="N31" s="204"/>
    </row>
    <row r="32" spans="1:19" ht="13.95" customHeight="1">
      <c r="A32" s="34" t="s">
        <v>131</v>
      </c>
      <c r="B32" s="116"/>
      <c r="C32" s="464">
        <f>'Current Budget'!Q73/1000</f>
        <v>281.45999999999998</v>
      </c>
      <c r="D32" s="292"/>
      <c r="E32" s="187" t="s">
        <v>290</v>
      </c>
      <c r="F32" s="187"/>
      <c r="G32" s="187"/>
      <c r="H32" s="187"/>
      <c r="I32" s="86">
        <f>N19</f>
        <v>0.02</v>
      </c>
      <c r="K32" s="72"/>
      <c r="L32" s="72"/>
      <c r="M32" s="72"/>
      <c r="N32" s="308"/>
    </row>
    <row r="33" spans="1:14" ht="13.95" customHeight="1">
      <c r="A33" s="34" t="s">
        <v>186</v>
      </c>
      <c r="B33" s="116"/>
      <c r="C33" s="481">
        <f>'Current Budget'!Q74/1000</f>
        <v>400</v>
      </c>
      <c r="D33" s="292"/>
      <c r="E33" s="35"/>
      <c r="H33" s="118"/>
      <c r="I33" s="239"/>
      <c r="K33" s="128" t="s">
        <v>336</v>
      </c>
      <c r="L33" s="72"/>
      <c r="M33" s="72"/>
    </row>
    <row r="34" spans="1:14" ht="13.95" customHeight="1">
      <c r="A34" s="35"/>
      <c r="B34" s="104"/>
      <c r="C34" s="522">
        <f>SUM(C27:C33)</f>
        <v>3035.0240000000003</v>
      </c>
      <c r="D34" s="292"/>
      <c r="E34" s="35" t="s">
        <v>286</v>
      </c>
      <c r="I34" s="239">
        <v>10000</v>
      </c>
      <c r="K34" s="34" t="s">
        <v>77</v>
      </c>
      <c r="N34" s="68">
        <v>110</v>
      </c>
    </row>
    <row r="35" spans="1:14" ht="13.95" customHeight="1">
      <c r="A35" s="35"/>
      <c r="B35" s="104"/>
      <c r="C35" s="489"/>
      <c r="D35" s="292"/>
      <c r="E35" s="152"/>
      <c r="I35" s="197"/>
      <c r="K35" s="34" t="s">
        <v>337</v>
      </c>
      <c r="N35" s="145">
        <f>Maint_Accrual/N34/5*1000</f>
        <v>990.69818181818187</v>
      </c>
    </row>
    <row r="36" spans="1:14" ht="13.95" customHeight="1">
      <c r="B36" s="490"/>
      <c r="C36" s="519"/>
      <c r="D36" s="292"/>
      <c r="E36" s="128" t="s">
        <v>9</v>
      </c>
      <c r="F36" s="84"/>
    </row>
    <row r="37" spans="1:14" ht="13.95" customHeight="1">
      <c r="A37" s="127" t="s">
        <v>68</v>
      </c>
      <c r="B37" s="116"/>
      <c r="C37" s="464"/>
      <c r="D37" s="292"/>
      <c r="E37" s="35" t="s">
        <v>251</v>
      </c>
      <c r="I37" s="252">
        <v>0.03</v>
      </c>
      <c r="K37" s="128" t="s">
        <v>116</v>
      </c>
    </row>
    <row r="38" spans="1:14" ht="13.95" customHeight="1">
      <c r="A38" s="35" t="s">
        <v>417</v>
      </c>
      <c r="B38" s="132"/>
      <c r="C38" s="42">
        <f>'Current Budget'!Q78/1000</f>
        <v>0</v>
      </c>
      <c r="D38" s="292"/>
      <c r="E38" s="35" t="s">
        <v>259</v>
      </c>
      <c r="F38" s="307" t="s">
        <v>101</v>
      </c>
      <c r="I38" s="252">
        <f>1-I37</f>
        <v>0.97</v>
      </c>
      <c r="K38" s="35" t="s">
        <v>114</v>
      </c>
      <c r="N38" s="89">
        <v>0.35</v>
      </c>
    </row>
    <row r="39" spans="1:14" ht="13.95" customHeight="1">
      <c r="B39" s="104"/>
      <c r="D39" s="292"/>
      <c r="E39" s="35" t="s">
        <v>196</v>
      </c>
      <c r="I39" s="307" t="s">
        <v>188</v>
      </c>
      <c r="K39" s="35" t="s">
        <v>113</v>
      </c>
      <c r="N39" s="310">
        <v>0.06</v>
      </c>
    </row>
    <row r="40" spans="1:14" ht="13.95" customHeight="1">
      <c r="B40" s="116"/>
      <c r="C40" s="523"/>
      <c r="D40" s="292"/>
      <c r="E40" s="35"/>
      <c r="I40" s="237"/>
      <c r="K40" s="34" t="s">
        <v>115</v>
      </c>
      <c r="N40" s="311">
        <f>(1-N39)*N38+N39</f>
        <v>0.38899999999999996</v>
      </c>
    </row>
    <row r="41" spans="1:14" ht="13.95" customHeight="1">
      <c r="A41" s="127" t="s">
        <v>239</v>
      </c>
      <c r="C41" s="489"/>
      <c r="D41" s="292"/>
      <c r="E41" s="150" t="s">
        <v>111</v>
      </c>
      <c r="F41" s="129"/>
      <c r="G41" s="129"/>
      <c r="H41" s="238"/>
      <c r="I41" s="202">
        <f>IF(F38="Coverage Ratio",'Debt Amortization'!B28,'Debt Amortization'!$D$63)</f>
        <v>113344.92774122291</v>
      </c>
      <c r="K41" s="35"/>
    </row>
    <row r="42" spans="1:14" ht="13.95" customHeight="1">
      <c r="A42" s="34" t="s">
        <v>380</v>
      </c>
      <c r="B42" s="257"/>
      <c r="C42" s="489">
        <f>IDC!Z53</f>
        <v>7133.8824107151504</v>
      </c>
      <c r="D42" s="292"/>
      <c r="E42" s="150" t="s">
        <v>112</v>
      </c>
      <c r="F42" s="236"/>
      <c r="G42" s="137"/>
      <c r="I42" s="270">
        <v>15</v>
      </c>
      <c r="K42" s="35" t="s">
        <v>110</v>
      </c>
      <c r="N42" s="89">
        <v>0</v>
      </c>
    </row>
    <row r="43" spans="1:14" ht="13.95" customHeight="1">
      <c r="A43" s="35"/>
      <c r="B43" s="482"/>
      <c r="C43" s="464"/>
      <c r="D43" s="292"/>
      <c r="E43" s="193" t="s">
        <v>123</v>
      </c>
      <c r="F43" s="191"/>
      <c r="G43" s="191"/>
      <c r="I43" s="191">
        <v>0.06</v>
      </c>
      <c r="K43" s="35" t="s">
        <v>129</v>
      </c>
      <c r="N43" s="144">
        <v>5</v>
      </c>
    </row>
    <row r="44" spans="1:14" ht="13.95" customHeight="1">
      <c r="B44" s="117"/>
      <c r="C44" s="489"/>
      <c r="D44" s="292"/>
      <c r="E44" s="150"/>
      <c r="F44" s="192"/>
      <c r="G44" s="576"/>
      <c r="H44" s="65"/>
      <c r="I44" s="577"/>
    </row>
    <row r="45" spans="1:14" ht="13.95" customHeight="1">
      <c r="A45" s="127" t="s">
        <v>397</v>
      </c>
      <c r="B45" s="104"/>
      <c r="C45" s="481"/>
      <c r="D45" s="292"/>
      <c r="E45" s="35"/>
      <c r="F45" s="93"/>
      <c r="G45" s="93"/>
      <c r="H45" s="135"/>
      <c r="K45" s="35" t="s">
        <v>109</v>
      </c>
      <c r="N45" s="89">
        <v>0</v>
      </c>
    </row>
    <row r="46" spans="1:14" ht="13.95" customHeight="1">
      <c r="A46" s="34" t="s">
        <v>177</v>
      </c>
      <c r="B46" s="117"/>
      <c r="C46" s="42">
        <f>'Current Budget'!Q79/1000</f>
        <v>-1753.6252844651876</v>
      </c>
      <c r="D46" s="292"/>
      <c r="E46" s="35" t="s">
        <v>194</v>
      </c>
      <c r="F46" s="93"/>
      <c r="G46" s="93"/>
      <c r="H46" s="135"/>
      <c r="I46" s="454">
        <f>MIN('Debt Amortization'!D96:S96)</f>
        <v>1.0304051787309807</v>
      </c>
      <c r="K46" s="35" t="s">
        <v>117</v>
      </c>
      <c r="N46" s="89">
        <v>0</v>
      </c>
    </row>
    <row r="47" spans="1:14" ht="13.95" customHeight="1">
      <c r="A47" s="35"/>
      <c r="B47" s="104"/>
      <c r="C47" s="464"/>
      <c r="D47" s="292"/>
      <c r="E47" s="35" t="s">
        <v>195</v>
      </c>
      <c r="F47" s="93"/>
      <c r="G47" s="93"/>
      <c r="H47" s="135"/>
      <c r="I47" s="454">
        <f>AVERAGE('Debt Amortization'!D96:S96)</f>
        <v>1.1601409903832913</v>
      </c>
      <c r="K47" s="35"/>
    </row>
    <row r="48" spans="1:14" ht="13.95" customHeight="1">
      <c r="A48" s="34" t="s">
        <v>411</v>
      </c>
      <c r="B48" s="116"/>
      <c r="C48" s="77"/>
      <c r="D48" s="292"/>
      <c r="E48" s="35" t="s">
        <v>288</v>
      </c>
      <c r="H48" s="107"/>
      <c r="I48" s="454">
        <f>MAX('Debt Amortization'!D96:S96)</f>
        <v>2.100352517956261</v>
      </c>
      <c r="K48" s="128" t="s">
        <v>72</v>
      </c>
    </row>
    <row r="49" spans="1:15" ht="13.95" customHeight="1" thickBot="1">
      <c r="A49" s="35" t="s">
        <v>398</v>
      </c>
      <c r="B49" s="491"/>
      <c r="C49" s="248">
        <f>C23+C34+C38+C42+C46</f>
        <v>116658.30466624997</v>
      </c>
      <c r="D49" s="292"/>
      <c r="E49" s="150" t="s">
        <v>126</v>
      </c>
      <c r="F49" s="131"/>
      <c r="G49" s="235"/>
      <c r="H49" s="235"/>
      <c r="I49" s="65">
        <f>+'Debt Amortization'!D40</f>
        <v>9.5966575747404192</v>
      </c>
      <c r="K49" s="123" t="s">
        <v>71</v>
      </c>
      <c r="N49" s="312">
        <v>0.4</v>
      </c>
    </row>
    <row r="50" spans="1:15" ht="13.95" customHeight="1" thickTop="1">
      <c r="A50" s="72"/>
      <c r="B50" s="72"/>
      <c r="C50" s="387"/>
      <c r="D50" s="292"/>
      <c r="E50" s="35"/>
      <c r="I50" s="85"/>
      <c r="K50" s="35" t="s">
        <v>133</v>
      </c>
      <c r="L50" s="72"/>
      <c r="M50" s="72"/>
      <c r="N50" s="138">
        <v>1.4E-2</v>
      </c>
    </row>
    <row r="51" spans="1:15" ht="13.95" customHeight="1">
      <c r="B51" s="490"/>
      <c r="C51" s="289"/>
      <c r="D51" s="292"/>
      <c r="E51" s="74"/>
      <c r="I51" s="136"/>
      <c r="K51" s="34" t="s">
        <v>73</v>
      </c>
      <c r="N51" s="62">
        <v>5</v>
      </c>
    </row>
    <row r="52" spans="1:15" ht="13.95" customHeight="1">
      <c r="B52" s="257"/>
      <c r="C52" s="106"/>
      <c r="D52" s="292"/>
      <c r="E52" s="128" t="s">
        <v>403</v>
      </c>
      <c r="I52" s="413"/>
      <c r="K52" s="35" t="s">
        <v>134</v>
      </c>
      <c r="N52" s="138">
        <v>1.4E-2</v>
      </c>
    </row>
    <row r="53" spans="1:15" ht="13.95" customHeight="1">
      <c r="B53" s="104"/>
      <c r="C53" s="88"/>
      <c r="D53" s="290"/>
      <c r="E53" s="35" t="s">
        <v>404</v>
      </c>
      <c r="F53" s="92"/>
      <c r="G53" s="106"/>
      <c r="H53" s="413"/>
      <c r="I53" s="413">
        <f>'Enron Pre-Tax Returns'!B7</f>
        <v>3127.5346635140641</v>
      </c>
      <c r="K53" s="151" t="s">
        <v>74</v>
      </c>
      <c r="L53" s="65"/>
      <c r="M53" s="65"/>
      <c r="N53" s="62">
        <v>5</v>
      </c>
      <c r="O53" s="184"/>
    </row>
    <row r="54" spans="1:15" ht="13.95" customHeight="1">
      <c r="A54" s="123"/>
      <c r="C54" s="306"/>
      <c r="D54" s="292"/>
      <c r="K54" s="35"/>
      <c r="N54" s="138"/>
      <c r="O54" s="184"/>
    </row>
    <row r="55" spans="1:15" ht="15.6">
      <c r="B55" s="104"/>
      <c r="C55" s="88"/>
      <c r="E55" s="34" t="s">
        <v>258</v>
      </c>
      <c r="H55" s="425"/>
      <c r="I55" s="425">
        <f>'Enron Pre-Tax Returns'!B25</f>
        <v>5381.0976684850066</v>
      </c>
      <c r="K55" s="128" t="s">
        <v>30</v>
      </c>
      <c r="O55" s="184"/>
    </row>
    <row r="56" spans="1:15" ht="13.95" customHeight="1">
      <c r="A56" s="72"/>
      <c r="B56" s="72"/>
      <c r="C56" s="387"/>
      <c r="D56" s="305"/>
      <c r="I56" s="405"/>
      <c r="K56" s="34" t="s">
        <v>31</v>
      </c>
      <c r="N56" s="64">
        <v>15</v>
      </c>
      <c r="O56" s="184"/>
    </row>
    <row r="57" spans="1:15" ht="13.2">
      <c r="B57" s="72"/>
      <c r="C57" s="387"/>
      <c r="H57" s="423"/>
      <c r="I57" s="423"/>
      <c r="K57" s="34" t="s">
        <v>32</v>
      </c>
      <c r="N57" s="239">
        <v>10000</v>
      </c>
    </row>
    <row r="58" spans="1:15">
      <c r="A58" s="72"/>
      <c r="B58" s="72"/>
      <c r="C58" s="387"/>
      <c r="G58" s="240"/>
      <c r="H58" s="413"/>
      <c r="I58" s="413"/>
      <c r="K58" s="34" t="s">
        <v>85</v>
      </c>
      <c r="N58" s="146">
        <v>1.4999999999999999E-2</v>
      </c>
    </row>
    <row r="59" spans="1:15">
      <c r="C59" s="103"/>
      <c r="G59" s="240"/>
      <c r="H59" s="413"/>
      <c r="I59" s="413"/>
      <c r="K59" s="34" t="s">
        <v>240</v>
      </c>
      <c r="N59" s="146">
        <v>0.5</v>
      </c>
    </row>
    <row r="60" spans="1:15">
      <c r="C60" s="103"/>
      <c r="E60" s="104"/>
      <c r="F60" s="104"/>
      <c r="G60" s="195"/>
      <c r="H60" s="105"/>
      <c r="I60" s="195"/>
      <c r="K60" s="34" t="s">
        <v>241</v>
      </c>
      <c r="N60" s="414">
        <f>1-N59</f>
        <v>0.5</v>
      </c>
    </row>
    <row r="61" spans="1:15" ht="15.6">
      <c r="C61" s="103"/>
      <c r="E61" s="128"/>
      <c r="F61" s="187"/>
      <c r="G61" s="264"/>
      <c r="H61" s="187"/>
      <c r="I61" s="42"/>
      <c r="N61" s="313"/>
    </row>
    <row r="62" spans="1:15" ht="12">
      <c r="C62" s="245"/>
      <c r="E62" s="74"/>
      <c r="I62" s="148"/>
    </row>
    <row r="63" spans="1:15">
      <c r="E63" s="74"/>
      <c r="I63" s="149"/>
      <c r="K63" s="151"/>
      <c r="L63" s="65"/>
      <c r="M63" s="65"/>
      <c r="N63" s="62"/>
    </row>
    <row r="64" spans="1:15" ht="12">
      <c r="E64" s="74"/>
      <c r="F64" s="201"/>
      <c r="G64" s="201"/>
      <c r="H64" s="201"/>
      <c r="I64" s="201"/>
      <c r="K64" s="81"/>
      <c r="L64" s="72"/>
      <c r="M64" s="79"/>
    </row>
    <row r="65" spans="1:15">
      <c r="C65" s="287"/>
      <c r="E65" s="35"/>
      <c r="F65" s="92"/>
      <c r="G65" s="92"/>
      <c r="H65" s="413"/>
      <c r="I65" s="413"/>
      <c r="K65" s="81"/>
      <c r="L65" s="72"/>
      <c r="M65" s="79"/>
      <c r="N65" s="184"/>
    </row>
    <row r="66" spans="1:15">
      <c r="B66" s="286"/>
      <c r="C66" s="241"/>
      <c r="E66" s="35"/>
      <c r="F66" s="92"/>
      <c r="G66" s="92"/>
      <c r="H66" s="413"/>
      <c r="I66" s="413"/>
      <c r="O66" s="65"/>
    </row>
    <row r="67" spans="1:15" ht="22.8">
      <c r="A67" s="494" t="s">
        <v>408</v>
      </c>
      <c r="B67" s="494" t="str">
        <f ca="1">CELL("Filename")</f>
        <v>O:\NAES\GenSvcs\Doyle\Current Models\[AV.IDC Fix.xls]Project Assumptions</v>
      </c>
      <c r="E67" s="128"/>
      <c r="I67" s="246"/>
      <c r="K67" s="81"/>
      <c r="L67" s="72"/>
      <c r="M67" s="79"/>
      <c r="N67" s="42"/>
      <c r="O67" s="113"/>
    </row>
    <row r="68" spans="1:15">
      <c r="E68" s="74"/>
      <c r="F68" s="92"/>
      <c r="O68" s="113"/>
    </row>
    <row r="69" spans="1:15" ht="15.6">
      <c r="A69" s="128" t="s">
        <v>33</v>
      </c>
      <c r="C69" s="305"/>
      <c r="D69" s="287"/>
      <c r="E69" s="74"/>
      <c r="F69" s="104"/>
      <c r="G69" s="195"/>
      <c r="H69" s="105"/>
      <c r="I69" s="195"/>
      <c r="K69" s="65"/>
      <c r="L69" s="65"/>
      <c r="M69" s="65"/>
      <c r="N69" s="65"/>
      <c r="O69" s="113"/>
    </row>
    <row r="70" spans="1:15">
      <c r="A70" s="35" t="s">
        <v>269</v>
      </c>
      <c r="C70" s="103" t="s">
        <v>270</v>
      </c>
      <c r="D70" s="287"/>
      <c r="E70" s="74"/>
      <c r="F70" s="104"/>
      <c r="G70" s="195"/>
      <c r="H70" s="105"/>
      <c r="I70" s="195"/>
      <c r="K70" s="65"/>
      <c r="L70" s="65"/>
      <c r="M70" s="65"/>
      <c r="N70" s="65"/>
      <c r="O70" s="113"/>
    </row>
    <row r="71" spans="1:15">
      <c r="A71" s="34" t="s">
        <v>130</v>
      </c>
      <c r="C71" s="103" t="s">
        <v>132</v>
      </c>
      <c r="D71" s="287"/>
      <c r="E71" s="74"/>
      <c r="G71" s="91"/>
      <c r="I71" s="91"/>
      <c r="K71" s="65"/>
      <c r="L71" s="65"/>
      <c r="M71" s="65"/>
      <c r="N71" s="65"/>
      <c r="O71" s="113"/>
    </row>
    <row r="72" spans="1:15">
      <c r="A72" s="34" t="s">
        <v>263</v>
      </c>
      <c r="C72" s="103" t="s">
        <v>250</v>
      </c>
      <c r="D72" s="287"/>
      <c r="E72" s="74"/>
      <c r="F72" s="104"/>
      <c r="G72" s="67"/>
      <c r="H72" s="92"/>
      <c r="I72" s="67"/>
      <c r="J72" s="65"/>
      <c r="K72" s="65"/>
      <c r="L72" s="65"/>
      <c r="M72" s="65"/>
      <c r="N72" s="65"/>
      <c r="O72" s="113"/>
    </row>
    <row r="73" spans="1:15">
      <c r="A73" s="34" t="s">
        <v>264</v>
      </c>
      <c r="C73" s="247"/>
      <c r="D73" s="287"/>
      <c r="G73" s="108"/>
      <c r="H73" s="108"/>
      <c r="I73" s="108"/>
      <c r="K73" s="65"/>
      <c r="L73" s="65"/>
      <c r="M73" s="65"/>
      <c r="N73" s="65"/>
      <c r="O73" s="113"/>
    </row>
    <row r="74" spans="1:15" ht="15.6">
      <c r="A74" s="34" t="s">
        <v>265</v>
      </c>
      <c r="C74" s="146"/>
      <c r="D74" s="287"/>
      <c r="E74" s="128"/>
      <c r="K74" s="65"/>
      <c r="L74" s="65"/>
      <c r="M74" s="65"/>
      <c r="N74" s="65"/>
      <c r="O74" s="114"/>
    </row>
    <row r="75" spans="1:15">
      <c r="A75" s="123" t="s">
        <v>55</v>
      </c>
      <c r="C75" s="103" t="s">
        <v>132</v>
      </c>
      <c r="D75" s="287"/>
      <c r="E75" s="152"/>
      <c r="I75" s="271"/>
      <c r="K75" s="65"/>
      <c r="L75" s="65"/>
      <c r="M75" s="65"/>
      <c r="N75" s="65"/>
    </row>
    <row r="76" spans="1:15">
      <c r="A76" s="123" t="s">
        <v>127</v>
      </c>
      <c r="C76" s="103">
        <v>15</v>
      </c>
      <c r="D76" s="287"/>
      <c r="E76" s="187"/>
      <c r="F76" s="187"/>
      <c r="G76" s="187"/>
      <c r="H76" s="187"/>
      <c r="I76" s="315"/>
      <c r="K76" s="112"/>
      <c r="L76" s="65"/>
      <c r="M76" s="65"/>
      <c r="N76" s="65"/>
    </row>
    <row r="77" spans="1:15">
      <c r="D77" s="287"/>
      <c r="E77" s="187"/>
      <c r="F77" s="187"/>
      <c r="G77" s="187"/>
      <c r="H77" s="187"/>
      <c r="I77" s="288"/>
      <c r="L77" s="65"/>
      <c r="M77" s="65"/>
      <c r="N77" s="65"/>
    </row>
    <row r="78" spans="1:15" ht="15.6">
      <c r="A78" s="250"/>
      <c r="D78" s="287"/>
      <c r="E78" s="187"/>
      <c r="F78" s="187"/>
      <c r="G78" s="187"/>
      <c r="H78" s="187"/>
      <c r="I78" s="86"/>
    </row>
    <row r="79" spans="1:15">
      <c r="E79" s="74"/>
      <c r="G79" s="108"/>
      <c r="H79" s="108"/>
      <c r="I79" s="108"/>
    </row>
    <row r="80" spans="1:15">
      <c r="F80" s="104"/>
      <c r="G80" s="241"/>
      <c r="I80" s="241"/>
    </row>
    <row r="81" spans="1:9">
      <c r="E81" s="91"/>
      <c r="F81" s="104"/>
      <c r="G81" s="108"/>
      <c r="H81" s="108"/>
      <c r="I81" s="108"/>
    </row>
    <row r="82" spans="1:9" ht="13.2">
      <c r="D82"/>
      <c r="E82" s="74"/>
      <c r="G82" s="108" t="str">
        <f>IF($I$15&gt;=25,'Enron Pre-Tax Returns'!$AC$9,"")</f>
        <v/>
      </c>
      <c r="H82" s="108"/>
      <c r="I82" s="108" t="str">
        <f>IF($I$15&gt;=25,'Enron Pre-Tax Returns'!#REF!,"")</f>
        <v/>
      </c>
    </row>
    <row r="83" spans="1:9" ht="13.2">
      <c r="A83"/>
      <c r="B83"/>
      <c r="C83"/>
      <c r="D83"/>
      <c r="E83" s="91"/>
    </row>
    <row r="84" spans="1:9" ht="13.2">
      <c r="A84"/>
      <c r="B84"/>
      <c r="C84"/>
      <c r="D84"/>
      <c r="E84" s="388"/>
      <c r="F84" s="104"/>
      <c r="G84" s="195"/>
      <c r="H84" s="105"/>
      <c r="I84" s="195"/>
    </row>
    <row r="85" spans="1:9" ht="13.2">
      <c r="A85"/>
      <c r="B85"/>
      <c r="C85"/>
      <c r="D85"/>
      <c r="E85" s="74" t="str">
        <f>IF($I$15&gt;=25,25,"")</f>
        <v/>
      </c>
      <c r="I85" s="241"/>
    </row>
    <row r="86" spans="1:9" ht="13.2">
      <c r="A86"/>
      <c r="B86"/>
      <c r="C86"/>
      <c r="D86"/>
      <c r="E86" s="74"/>
      <c r="H86"/>
      <c r="I86"/>
    </row>
    <row r="87" spans="1:9" ht="13.2">
      <c r="A87"/>
      <c r="B87"/>
      <c r="C87"/>
      <c r="D87"/>
      <c r="E87" s="74"/>
      <c r="H87"/>
      <c r="I87"/>
    </row>
    <row r="88" spans="1:9" ht="13.2">
      <c r="A88"/>
      <c r="B88"/>
      <c r="C88"/>
      <c r="D88"/>
      <c r="E88" s="74"/>
      <c r="H88"/>
      <c r="I88"/>
    </row>
    <row r="89" spans="1:9" ht="13.2">
      <c r="A89"/>
      <c r="B89"/>
      <c r="C89"/>
      <c r="D89"/>
      <c r="E89" s="286"/>
      <c r="H89"/>
      <c r="I89"/>
    </row>
    <row r="90" spans="1:9" ht="13.2">
      <c r="A90"/>
      <c r="B90"/>
      <c r="C90"/>
      <c r="D90"/>
      <c r="E90" s="286"/>
      <c r="H90"/>
      <c r="I90"/>
    </row>
    <row r="91" spans="1:9" ht="13.2">
      <c r="A91"/>
      <c r="B91"/>
      <c r="C91"/>
      <c r="D91"/>
      <c r="E91" s="286"/>
      <c r="H91"/>
      <c r="I91"/>
    </row>
    <row r="92" spans="1:9" ht="13.2">
      <c r="A92"/>
      <c r="B92"/>
      <c r="C92"/>
      <c r="D92"/>
      <c r="E92" s="286"/>
      <c r="F92"/>
      <c r="G92"/>
      <c r="H92"/>
      <c r="I92"/>
    </row>
    <row r="93" spans="1:9" ht="13.2">
      <c r="A93"/>
      <c r="B93"/>
      <c r="C93"/>
      <c r="D93"/>
      <c r="E93" s="286"/>
      <c r="F93"/>
      <c r="G93"/>
      <c r="H93"/>
      <c r="I93"/>
    </row>
    <row r="94" spans="1:9" ht="13.2">
      <c r="A94"/>
      <c r="B94"/>
      <c r="C94"/>
      <c r="D94"/>
      <c r="E94" s="286"/>
      <c r="F94"/>
      <c r="G94"/>
      <c r="H94"/>
      <c r="I94"/>
    </row>
    <row r="95" spans="1:9" ht="13.2">
      <c r="A95"/>
      <c r="B95"/>
      <c r="C95"/>
      <c r="D95"/>
      <c r="E95" s="286"/>
      <c r="F95"/>
      <c r="G95"/>
      <c r="H95"/>
      <c r="I95" s="146"/>
    </row>
    <row r="96" spans="1:9" ht="13.2">
      <c r="A96"/>
      <c r="B96"/>
      <c r="C96"/>
      <c r="D96"/>
      <c r="E96" s="286"/>
      <c r="I96" s="146"/>
    </row>
    <row r="97" spans="1:9" ht="13.2">
      <c r="A97"/>
      <c r="B97"/>
      <c r="C97"/>
      <c r="D97"/>
      <c r="E97" s="286"/>
      <c r="F97" s="210"/>
      <c r="G97" s="191"/>
      <c r="H97" s="191"/>
    </row>
    <row r="98" spans="1:9" ht="13.2">
      <c r="A98"/>
      <c r="B98"/>
      <c r="C98"/>
      <c r="D98"/>
      <c r="E98" s="193"/>
    </row>
    <row r="99" spans="1:9" ht="13.2">
      <c r="A99"/>
      <c r="B99"/>
      <c r="C99"/>
      <c r="D99"/>
    </row>
    <row r="100" spans="1:9" ht="13.2">
      <c r="A100"/>
      <c r="B100"/>
      <c r="C100"/>
      <c r="D100"/>
      <c r="F100"/>
      <c r="G100"/>
      <c r="H100"/>
    </row>
    <row r="101" spans="1:9" ht="13.2">
      <c r="A101"/>
      <c r="B101"/>
      <c r="C101"/>
      <c r="D101"/>
      <c r="E101"/>
      <c r="F101"/>
      <c r="G101"/>
      <c r="H101"/>
      <c r="I101" s="35"/>
    </row>
    <row r="102" spans="1:9" ht="13.2">
      <c r="A102"/>
      <c r="B102"/>
      <c r="C102"/>
      <c r="D102"/>
      <c r="E102"/>
      <c r="F102"/>
      <c r="G102"/>
      <c r="H102"/>
      <c r="I102" s="67"/>
    </row>
    <row r="103" spans="1:9" ht="13.2">
      <c r="A103"/>
      <c r="B103"/>
      <c r="C103"/>
      <c r="D103"/>
      <c r="E103"/>
      <c r="F103"/>
      <c r="G103"/>
      <c r="H103"/>
    </row>
    <row r="104" spans="1:9" ht="13.2">
      <c r="A104"/>
      <c r="B104"/>
      <c r="C104"/>
      <c r="D104"/>
      <c r="E104"/>
      <c r="F104"/>
      <c r="G104"/>
      <c r="H104"/>
    </row>
    <row r="105" spans="1:9" ht="13.2">
      <c r="A105"/>
      <c r="B105"/>
      <c r="C105"/>
      <c r="D105"/>
      <c r="E105"/>
      <c r="F105"/>
      <c r="G105"/>
      <c r="H105"/>
    </row>
    <row r="106" spans="1:9" ht="13.2">
      <c r="A106"/>
      <c r="B106"/>
      <c r="C106"/>
      <c r="D106"/>
      <c r="E106"/>
      <c r="F106"/>
      <c r="G106"/>
      <c r="H106"/>
    </row>
    <row r="107" spans="1:9" ht="13.2">
      <c r="A107"/>
      <c r="B107"/>
      <c r="C107"/>
      <c r="D107"/>
      <c r="E107"/>
      <c r="F107"/>
      <c r="G107"/>
      <c r="H107"/>
    </row>
    <row r="108" spans="1:9" ht="13.2">
      <c r="A108"/>
      <c r="B108"/>
      <c r="C108"/>
      <c r="E108"/>
      <c r="F108"/>
      <c r="G108"/>
      <c r="H108"/>
    </row>
    <row r="109" spans="1:9" ht="13.2">
      <c r="E109"/>
      <c r="F109"/>
      <c r="G109"/>
      <c r="H109"/>
    </row>
    <row r="110" spans="1:9" ht="13.2">
      <c r="E110"/>
      <c r="F110"/>
      <c r="G110"/>
      <c r="H110"/>
    </row>
    <row r="111" spans="1:9" ht="13.2">
      <c r="E111"/>
      <c r="F111"/>
      <c r="G111"/>
      <c r="H111"/>
    </row>
    <row r="112" spans="1:9" ht="13.2">
      <c r="E112"/>
      <c r="F112"/>
      <c r="G112"/>
      <c r="H112"/>
    </row>
    <row r="113" spans="5:8" ht="13.2">
      <c r="E113"/>
      <c r="F113"/>
      <c r="G113"/>
      <c r="H113"/>
    </row>
    <row r="114" spans="5:8" ht="13.2">
      <c r="E114"/>
      <c r="F114"/>
      <c r="G114"/>
      <c r="H114"/>
    </row>
    <row r="115" spans="5:8" ht="13.2">
      <c r="E115"/>
      <c r="F115"/>
      <c r="G115"/>
      <c r="H115"/>
    </row>
    <row r="116" spans="5:8" ht="13.2">
      <c r="E116"/>
      <c r="F116"/>
      <c r="G116"/>
      <c r="H116"/>
    </row>
    <row r="117" spans="5:8" ht="13.2">
      <c r="E117"/>
      <c r="F117"/>
      <c r="G117"/>
      <c r="H117"/>
    </row>
    <row r="118" spans="5:8" ht="13.2">
      <c r="E118"/>
      <c r="F118"/>
      <c r="G118"/>
      <c r="H118"/>
    </row>
    <row r="119" spans="5:8" ht="13.2">
      <c r="E119"/>
      <c r="F119"/>
      <c r="G119"/>
      <c r="H119"/>
    </row>
    <row r="120" spans="5:8" ht="13.2">
      <c r="E120"/>
      <c r="F120"/>
      <c r="G120"/>
      <c r="H120"/>
    </row>
    <row r="121" spans="5:8" ht="13.2">
      <c r="E121"/>
      <c r="F121"/>
      <c r="G121"/>
      <c r="H121"/>
    </row>
    <row r="122" spans="5:8" ht="13.2">
      <c r="E122"/>
      <c r="F122"/>
      <c r="G122"/>
      <c r="H122"/>
    </row>
    <row r="123" spans="5:8" ht="13.2">
      <c r="E123"/>
      <c r="F123"/>
      <c r="G123"/>
      <c r="H123"/>
    </row>
    <row r="124" spans="5:8" ht="13.2">
      <c r="E124"/>
      <c r="F124"/>
      <c r="G124"/>
      <c r="H124"/>
    </row>
    <row r="125" spans="5:8" ht="13.2">
      <c r="E125"/>
      <c r="F125"/>
      <c r="G125"/>
      <c r="H125"/>
    </row>
    <row r="126" spans="5:8" ht="13.2">
      <c r="E126"/>
    </row>
  </sheetData>
  <customSheetViews>
    <customSheetView guid="{9D7575BF-255B-11D2-8267-00A0D1027254}" scale="75" showPageBreaks="1" printArea="1" showRuler="0" topLeftCell="A23">
      <selection activeCell="I43" sqref="I43"/>
      <colBreaks count="1" manualBreakCount="1">
        <brk id="14" min="1" max="60" man="1"/>
      </colBreaks>
      <pageMargins left="0.75" right="0.5" top="0.25" bottom="0.5" header="0" footer="0"/>
      <pageSetup scale="62" orientation="landscape" horizontalDpi="4294967294" r:id="rId1"/>
      <headerFooter alignWithMargins="0">
        <oddFooter>&amp;L&amp;D   &amp;T&amp;RO:\Naes\GenSvcs\TVA\TVA Model\&amp;F
&amp;A &amp;P</oddFooter>
      </headerFooter>
    </customSheetView>
    <customSheetView guid="{773475A7-2559-11D2-A5F6-0060080AEB13}" showPageBreaks="1" printArea="1" showRuler="0">
      <selection activeCell="O38" sqref="O38"/>
      <pageMargins left="0.75" right="0.75" top="1" bottom="0.75" header="0.5" footer="0.37"/>
      <pageSetup scale="70" orientation="landscape" horizontalDpi="4294967294" r:id="rId2"/>
      <headerFooter alignWithMargins="0">
        <oddFooter>&amp;L&amp;D   &amp;T&amp;RO:\Naes\GenSvcs\Tva\Tva Models\&amp;F   
&amp;A   &amp;P</oddFooter>
      </headerFooter>
    </customSheetView>
    <customSheetView guid="{14FB3146-3CEF-11D2-B9CE-0060080D6A65}" scale="75" showPageBreaks="1" printArea="1" showRuler="0">
      <selection activeCell="B16" sqref="B16"/>
      <colBreaks count="1" manualBreakCount="1">
        <brk id="14" min="1" max="60" man="1"/>
      </colBreaks>
      <pageMargins left="0.75" right="0.5" top="0.25" bottom="0.5" header="0" footer="0"/>
      <pageSetup scale="62" orientation="landscape" horizontalDpi="4294967294" r:id="rId3"/>
      <headerFooter alignWithMargins="0">
        <oddFooter>&amp;L&amp;D   &amp;T&amp;RO:\Naes\GenSvcs\TVA\TVA Model\&amp;F
&amp;A &amp;P</oddFooter>
      </headerFooter>
    </customSheetView>
  </customSheetViews>
  <mergeCells count="2">
    <mergeCell ref="A2:N2"/>
    <mergeCell ref="A3:N3"/>
  </mergeCells>
  <dataValidations count="11">
    <dataValidation type="list" allowBlank="1" showInputMessage="1" showErrorMessage="1" sqref="F38">
      <formula1>"Coverage Ratio, Assumed"</formula1>
    </dataValidation>
    <dataValidation type="list" allowBlank="1" showInputMessage="1" showErrorMessage="1" sqref="C75 C71">
      <formula1>"Yes,No"</formula1>
    </dataValidation>
    <dataValidation type="list" allowBlank="1" showInputMessage="1" showErrorMessage="1" sqref="C70">
      <formula1>"Fixed,Oglethorpe"</formula1>
    </dataValidation>
    <dataValidation type="list" allowBlank="1" showInputMessage="1" showErrorMessage="1" sqref="N45">
      <formula1>"0,.015"</formula1>
    </dataValidation>
    <dataValidation type="list" allowBlank="1" showInputMessage="1" showErrorMessage="1" sqref="N42">
      <formula1>"0,.03,.04"</formula1>
    </dataValidation>
    <dataValidation type="list" allowBlank="1" showInputMessage="1" showErrorMessage="1" sqref="F45:G45">
      <formula1>"Interest Only,No P&amp;I"</formula1>
    </dataValidation>
    <dataValidation type="list" allowBlank="1" showInputMessage="1" showErrorMessage="1" sqref="C72">
      <formula1>"Actual,Assumed"</formula1>
    </dataValidation>
    <dataValidation type="list" allowBlank="1" showInputMessage="1" showErrorMessage="1" sqref="C74">
      <formula1>"0,.02,.03"</formula1>
    </dataValidation>
    <dataValidation type="list" allowBlank="1" showInputMessage="1" showErrorMessage="1" sqref="I39">
      <formula1>"Mortgage Style, Level Principal, Custom"</formula1>
    </dataValidation>
    <dataValidation type="list" allowBlank="1" showInputMessage="1" showErrorMessage="1" sqref="I37">
      <formula1>"0,.01,.02,.03,.04,.05,.06,.07,.08,.09,.1"</formula1>
    </dataValidation>
    <dataValidation type="list" allowBlank="1" showInputMessage="1" showErrorMessage="1" sqref="G13">
      <formula1>"Weighted Average,Twelve-Two"</formula1>
    </dataValidation>
  </dataValidations>
  <printOptions horizontalCentered="1" verticalCentered="1"/>
  <pageMargins left="0.75" right="0.5" top="0.25" bottom="0.5" header="0" footer="0"/>
  <pageSetup scale="52" orientation="landscape" horizontalDpi="4294967294" r:id="rId4"/>
  <headerFooter alignWithMargins="0">
    <oddFooter>&amp;L&amp;D   &amp;T&amp;R&amp;A &amp;P</oddFooter>
  </headerFooter>
  <colBreaks count="1" manualBreakCount="1">
    <brk id="14" min="1" max="60" man="1"/>
  </colBreaks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U67"/>
  <sheetViews>
    <sheetView showZeros="0" zoomScaleNormal="75" workbookViewId="0"/>
  </sheetViews>
  <sheetFormatPr defaultColWidth="9.33203125" defaultRowHeight="10.199999999999999"/>
  <cols>
    <col min="1" max="1" width="52.88671875" style="15" bestFit="1" customWidth="1"/>
    <col min="2" max="2" width="7.33203125" style="15" customWidth="1"/>
    <col min="3" max="16384" width="9.33203125" style="15"/>
  </cols>
  <sheetData>
    <row r="1" spans="1:255" ht="21.75" customHeight="1">
      <c r="A1" s="438" t="str">
        <f>'Project Assumptions'!$A$2</f>
        <v>PROJECT DOYLE</v>
      </c>
      <c r="AB1" s="3"/>
      <c r="AC1" s="24"/>
    </row>
    <row r="2" spans="1:255" ht="15.6" customHeight="1">
      <c r="A2" s="439" t="s">
        <v>29</v>
      </c>
      <c r="C2" s="5"/>
      <c r="D2" s="5"/>
      <c r="E2" s="1"/>
      <c r="F2" s="1"/>
      <c r="G2" s="1"/>
      <c r="H2" s="1"/>
      <c r="I2" s="1"/>
      <c r="J2" s="3"/>
      <c r="K2" s="1"/>
      <c r="L2" s="1"/>
      <c r="M2" s="1"/>
      <c r="N2" s="1"/>
      <c r="O2" s="1"/>
      <c r="P2" s="3"/>
      <c r="Q2" s="1"/>
      <c r="R2" s="1"/>
      <c r="S2" s="1"/>
      <c r="T2" s="1"/>
      <c r="U2" s="1"/>
      <c r="V2" s="3"/>
      <c r="W2" s="1"/>
      <c r="X2" s="1"/>
      <c r="Y2" s="1"/>
      <c r="Z2" s="1"/>
      <c r="AA2" s="1"/>
      <c r="AB2" s="3"/>
      <c r="AC2" s="24"/>
    </row>
    <row r="3" spans="1:255" s="1" customFormat="1" ht="12.6" customHeight="1">
      <c r="A3" s="33"/>
      <c r="B3" s="5"/>
      <c r="C3" s="1">
        <v>1</v>
      </c>
      <c r="D3" s="1">
        <f>C3+1</f>
        <v>2</v>
      </c>
      <c r="E3" s="1">
        <f t="shared" ref="E3:R3" si="0">D3+1</f>
        <v>3</v>
      </c>
      <c r="F3" s="1">
        <f t="shared" si="0"/>
        <v>4</v>
      </c>
      <c r="G3" s="1">
        <f t="shared" si="0"/>
        <v>5</v>
      </c>
      <c r="H3" s="3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3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T3" s="3"/>
      <c r="Z3" s="3"/>
      <c r="AB3" s="9"/>
      <c r="AC3"/>
    </row>
    <row r="4" spans="1:255" s="1" customFormat="1" ht="12.6" customHeight="1">
      <c r="A4" s="2"/>
      <c r="B4" s="60"/>
      <c r="C4" s="60">
        <f>YEAR('Project Assumptions'!I16)</f>
        <v>2000</v>
      </c>
      <c r="D4" s="60">
        <f t="shared" ref="D4:R4" si="1">C4+1</f>
        <v>2001</v>
      </c>
      <c r="E4" s="60">
        <f t="shared" si="1"/>
        <v>2002</v>
      </c>
      <c r="F4" s="60">
        <f t="shared" si="1"/>
        <v>2003</v>
      </c>
      <c r="G4" s="60">
        <f t="shared" si="1"/>
        <v>2004</v>
      </c>
      <c r="H4" s="60">
        <f t="shared" si="1"/>
        <v>2005</v>
      </c>
      <c r="I4" s="60">
        <f t="shared" si="1"/>
        <v>2006</v>
      </c>
      <c r="J4" s="60">
        <f t="shared" si="1"/>
        <v>2007</v>
      </c>
      <c r="K4" s="60">
        <f t="shared" si="1"/>
        <v>2008</v>
      </c>
      <c r="L4" s="60">
        <f t="shared" si="1"/>
        <v>2009</v>
      </c>
      <c r="M4" s="60">
        <f t="shared" si="1"/>
        <v>2010</v>
      </c>
      <c r="N4" s="60">
        <f t="shared" si="1"/>
        <v>2011</v>
      </c>
      <c r="O4" s="60">
        <f t="shared" si="1"/>
        <v>2012</v>
      </c>
      <c r="P4" s="60">
        <f t="shared" si="1"/>
        <v>2013</v>
      </c>
      <c r="Q4" s="60">
        <f t="shared" si="1"/>
        <v>2014</v>
      </c>
      <c r="R4" s="60">
        <f t="shared" si="1"/>
        <v>2015</v>
      </c>
      <c r="S4" s="60"/>
      <c r="T4" s="60"/>
      <c r="U4" s="60"/>
      <c r="V4" s="60"/>
      <c r="W4" s="60"/>
      <c r="X4" s="60"/>
      <c r="Y4" s="60"/>
      <c r="Z4" s="60"/>
      <c r="AA4" s="60"/>
      <c r="AB4" s="60"/>
      <c r="AC4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</row>
    <row r="5" spans="1:255" s="207" customFormat="1" ht="12" customHeight="1">
      <c r="A5" s="398" t="s">
        <v>226</v>
      </c>
      <c r="B5" s="109"/>
      <c r="AB5" s="109"/>
      <c r="AC5" s="109"/>
    </row>
    <row r="6" spans="1:255" s="336" customFormat="1" ht="13.2">
      <c r="A6" s="333" t="s">
        <v>53</v>
      </c>
      <c r="B6" s="338"/>
      <c r="C6" s="339">
        <f>'Book Income Statement'!C48</f>
        <v>-358.79631088708447</v>
      </c>
      <c r="D6" s="339">
        <f>'Book Income Statement'!D48</f>
        <v>-1997.6538778749891</v>
      </c>
      <c r="E6" s="339">
        <f>'Book Income Statement'!E48</f>
        <v>-1696.0314412299231</v>
      </c>
      <c r="F6" s="339">
        <f>'Book Income Statement'!F48</f>
        <v>-1374.8817654425238</v>
      </c>
      <c r="G6" s="339">
        <f>'Book Income Statement'!G48</f>
        <v>-1035.3889993242601</v>
      </c>
      <c r="H6" s="339">
        <f>'Book Income Statement'!H48</f>
        <v>-396.64887934595208</v>
      </c>
      <c r="I6" s="339">
        <f>'Book Income Statement'!I48</f>
        <v>261.72381559676978</v>
      </c>
      <c r="J6" s="339">
        <f>'Book Income Statement'!J48</f>
        <v>665.36568995356356</v>
      </c>
      <c r="K6" s="339">
        <f>'Book Income Statement'!K48</f>
        <v>1094.8354942920701</v>
      </c>
      <c r="L6" s="339">
        <f>'Book Income Statement'!L48</f>
        <v>1549.3324449736883</v>
      </c>
      <c r="M6" s="339">
        <f>'Book Income Statement'!M48</f>
        <v>2031.5969714296807</v>
      </c>
      <c r="N6" s="339">
        <f>'Book Income Statement'!N48</f>
        <v>2542.741292978616</v>
      </c>
      <c r="O6" s="339">
        <f>'Book Income Statement'!O48</f>
        <v>3085.7052963724027</v>
      </c>
      <c r="P6" s="339">
        <f>'Book Income Statement'!P48</f>
        <v>3661.8128021682805</v>
      </c>
      <c r="Q6" s="339">
        <f>'Book Income Statement'!Q48</f>
        <v>4272.503189278832</v>
      </c>
      <c r="R6" s="339">
        <f>'Book Income Statement'!R48</f>
        <v>14496.297140467241</v>
      </c>
      <c r="S6" s="339"/>
      <c r="T6" s="339"/>
      <c r="U6" s="339"/>
      <c r="V6" s="339"/>
      <c r="W6" s="339"/>
      <c r="X6" s="339"/>
      <c r="Y6" s="339"/>
      <c r="Z6" s="339"/>
      <c r="AA6" s="339"/>
      <c r="AB6" s="338"/>
      <c r="AC6" s="338"/>
    </row>
    <row r="7" spans="1:255" s="336" customFormat="1" ht="13.2">
      <c r="A7" s="333" t="s">
        <v>219</v>
      </c>
      <c r="B7" s="338"/>
      <c r="C7" s="399">
        <f>-Depreciation!D53</f>
        <v>-5</v>
      </c>
      <c r="D7" s="399">
        <f>-Depreciation!E53</f>
        <v>-5</v>
      </c>
      <c r="E7" s="399">
        <f>-Depreciation!F53</f>
        <v>-5</v>
      </c>
      <c r="F7" s="399">
        <f>-Depreciation!G53</f>
        <v>-5</v>
      </c>
      <c r="G7" s="399">
        <f>-Depreciation!H53</f>
        <v>-5</v>
      </c>
      <c r="H7" s="399">
        <f>-Depreciation!I53</f>
        <v>-5</v>
      </c>
      <c r="I7" s="399">
        <f>-Depreciation!J53</f>
        <v>-5</v>
      </c>
      <c r="J7" s="399">
        <f>-Depreciation!K53</f>
        <v>-5</v>
      </c>
      <c r="K7" s="399">
        <f>-Depreciation!L53</f>
        <v>-5</v>
      </c>
      <c r="L7" s="399">
        <f>-Depreciation!M53</f>
        <v>-5</v>
      </c>
      <c r="M7" s="399">
        <f>-Depreciation!N53</f>
        <v>-5</v>
      </c>
      <c r="N7" s="399">
        <f>-Depreciation!O53</f>
        <v>-5</v>
      </c>
      <c r="O7" s="399">
        <f>-Depreciation!P53</f>
        <v>-5</v>
      </c>
      <c r="P7" s="399">
        <f>-Depreciation!Q53</f>
        <v>-5</v>
      </c>
      <c r="Q7" s="399">
        <f>-Depreciation!R53</f>
        <v>-5</v>
      </c>
      <c r="R7" s="399">
        <f>-Depreciation!S53</f>
        <v>-5</v>
      </c>
      <c r="S7" s="339"/>
      <c r="T7" s="339"/>
      <c r="U7" s="339"/>
      <c r="V7" s="339"/>
      <c r="W7" s="339"/>
      <c r="X7" s="339"/>
      <c r="Y7" s="339"/>
      <c r="Z7" s="339"/>
      <c r="AA7" s="339"/>
      <c r="AB7" s="338"/>
      <c r="AC7" s="338"/>
    </row>
    <row r="8" spans="1:255" s="207" customFormat="1" ht="15">
      <c r="A8" s="333" t="s">
        <v>220</v>
      </c>
      <c r="B8" s="332"/>
      <c r="C8" s="400">
        <f>-Depreciation!D60</f>
        <v>0</v>
      </c>
      <c r="D8" s="400">
        <f>-Depreciation!E60</f>
        <v>0</v>
      </c>
      <c r="E8" s="400">
        <f>-Depreciation!F60</f>
        <v>0</v>
      </c>
      <c r="F8" s="400">
        <f>-Depreciation!G60</f>
        <v>0</v>
      </c>
      <c r="G8" s="400">
        <f>-Depreciation!H60</f>
        <v>0</v>
      </c>
      <c r="H8" s="400">
        <f>-Depreciation!I60</f>
        <v>0</v>
      </c>
      <c r="I8" s="400">
        <f>-Depreciation!J60</f>
        <v>0</v>
      </c>
      <c r="J8" s="400">
        <f>-Depreciation!K60</f>
        <v>0</v>
      </c>
      <c r="K8" s="400">
        <f>-Depreciation!L60</f>
        <v>0</v>
      </c>
      <c r="L8" s="400">
        <f>-Depreciation!M60</f>
        <v>0</v>
      </c>
      <c r="M8" s="400">
        <f>-Depreciation!N60</f>
        <v>0</v>
      </c>
      <c r="N8" s="400">
        <f>-Depreciation!O60</f>
        <v>0</v>
      </c>
      <c r="O8" s="400">
        <f>-Depreciation!P60</f>
        <v>0</v>
      </c>
      <c r="P8" s="400">
        <f>-Depreciation!Q60</f>
        <v>0</v>
      </c>
      <c r="Q8" s="400">
        <f>-Depreciation!R60</f>
        <v>0</v>
      </c>
      <c r="R8" s="400">
        <f>-Depreciation!S60</f>
        <v>0</v>
      </c>
      <c r="S8" s="400"/>
      <c r="T8" s="400"/>
      <c r="U8" s="400"/>
      <c r="V8" s="400"/>
      <c r="W8" s="400"/>
      <c r="X8" s="400"/>
      <c r="Y8" s="400"/>
      <c r="Z8" s="400"/>
      <c r="AA8" s="400"/>
      <c r="AB8" s="335"/>
      <c r="AC8" s="335"/>
    </row>
    <row r="9" spans="1:255" s="336" customFormat="1" ht="13.2">
      <c r="A9" s="333" t="s">
        <v>221</v>
      </c>
      <c r="B9" s="338"/>
      <c r="C9" s="399">
        <f>SUM(C6:C8)</f>
        <v>-363.79631088708447</v>
      </c>
      <c r="D9" s="399">
        <f t="shared" ref="D9:R9" si="2">SUM(D6:D8)</f>
        <v>-2002.6538778749891</v>
      </c>
      <c r="E9" s="399">
        <f t="shared" si="2"/>
        <v>-1701.0314412299231</v>
      </c>
      <c r="F9" s="399">
        <f t="shared" si="2"/>
        <v>-1379.8817654425238</v>
      </c>
      <c r="G9" s="399">
        <f t="shared" si="2"/>
        <v>-1040.3889993242601</v>
      </c>
      <c r="H9" s="399">
        <f t="shared" si="2"/>
        <v>-401.64887934595208</v>
      </c>
      <c r="I9" s="399">
        <f t="shared" si="2"/>
        <v>256.72381559676978</v>
      </c>
      <c r="J9" s="399">
        <f t="shared" si="2"/>
        <v>660.36568995356356</v>
      </c>
      <c r="K9" s="399">
        <f t="shared" si="2"/>
        <v>1089.8354942920701</v>
      </c>
      <c r="L9" s="399">
        <f t="shared" si="2"/>
        <v>1544.3324449736883</v>
      </c>
      <c r="M9" s="399">
        <f t="shared" si="2"/>
        <v>2026.5969714296807</v>
      </c>
      <c r="N9" s="399">
        <f t="shared" si="2"/>
        <v>2537.741292978616</v>
      </c>
      <c r="O9" s="399">
        <f t="shared" si="2"/>
        <v>3080.7052963724027</v>
      </c>
      <c r="P9" s="399">
        <f t="shared" si="2"/>
        <v>3656.8128021682805</v>
      </c>
      <c r="Q9" s="399">
        <f t="shared" si="2"/>
        <v>4267.503189278832</v>
      </c>
      <c r="R9" s="399">
        <f t="shared" si="2"/>
        <v>14491.297140467241</v>
      </c>
      <c r="S9" s="339"/>
      <c r="T9" s="339"/>
      <c r="U9" s="339"/>
      <c r="V9" s="339"/>
      <c r="W9" s="339"/>
      <c r="X9" s="339"/>
      <c r="Y9" s="339"/>
      <c r="Z9" s="339"/>
      <c r="AA9" s="339"/>
      <c r="AB9" s="338"/>
      <c r="AC9" s="338"/>
    </row>
    <row r="10" spans="1:255" s="336" customFormat="1" ht="12" customHeight="1">
      <c r="A10" s="333"/>
      <c r="B10" s="338"/>
      <c r="C10" s="399"/>
      <c r="D10" s="399"/>
      <c r="E10" s="399"/>
      <c r="F10" s="399"/>
      <c r="G10" s="399"/>
      <c r="H10" s="399"/>
      <c r="I10" s="399"/>
      <c r="J10" s="399"/>
      <c r="K10" s="399"/>
      <c r="L10" s="399"/>
      <c r="M10" s="399"/>
      <c r="N10" s="399"/>
      <c r="O10" s="399"/>
      <c r="P10" s="399"/>
      <c r="Q10" s="399"/>
      <c r="R10" s="399"/>
      <c r="S10" s="339"/>
      <c r="T10" s="339"/>
      <c r="U10" s="339"/>
      <c r="V10" s="339"/>
      <c r="W10" s="339"/>
      <c r="X10" s="339"/>
      <c r="Y10" s="339"/>
      <c r="Z10" s="339"/>
      <c r="AA10" s="339"/>
      <c r="AB10" s="338"/>
      <c r="AC10" s="338"/>
    </row>
    <row r="11" spans="1:255" s="336" customFormat="1" ht="13.2">
      <c r="A11" s="333" t="s">
        <v>24</v>
      </c>
      <c r="B11" s="338"/>
      <c r="C11" s="399">
        <f>'Book Income Statement'!C42</f>
        <v>3730.4583505384367</v>
      </c>
      <c r="D11" s="399">
        <f>'Book Income Statement'!D42</f>
        <v>7460.9167010768733</v>
      </c>
      <c r="E11" s="399">
        <f>'Book Income Statement'!E42</f>
        <v>7460.9167010768733</v>
      </c>
      <c r="F11" s="399">
        <f>'Book Income Statement'!F42</f>
        <v>7460.9167010768733</v>
      </c>
      <c r="G11" s="399">
        <f>'Book Income Statement'!G42</f>
        <v>7460.9167010768733</v>
      </c>
      <c r="H11" s="399">
        <f>'Book Income Statement'!H42</f>
        <v>7183.4961568049766</v>
      </c>
      <c r="I11" s="399">
        <f>'Book Income Statement'!I42</f>
        <v>6906.075612533079</v>
      </c>
      <c r="J11" s="399">
        <f>'Book Income Statement'!J42</f>
        <v>6906.075612533079</v>
      </c>
      <c r="K11" s="399">
        <f>'Book Income Statement'!K42</f>
        <v>6906.075612533079</v>
      </c>
      <c r="L11" s="399">
        <f>'Book Income Statement'!L42</f>
        <v>6906.075612533079</v>
      </c>
      <c r="M11" s="399">
        <f>'Book Income Statement'!M42</f>
        <v>6906.075612533079</v>
      </c>
      <c r="N11" s="399">
        <f>'Book Income Statement'!N42</f>
        <v>6906.075612533079</v>
      </c>
      <c r="O11" s="399">
        <f>'Book Income Statement'!O42</f>
        <v>6906.075612533079</v>
      </c>
      <c r="P11" s="399">
        <f>'Book Income Statement'!P42</f>
        <v>6906.075612533079</v>
      </c>
      <c r="Q11" s="399">
        <f>'Book Income Statement'!Q42</f>
        <v>6906.075612533079</v>
      </c>
      <c r="R11" s="399">
        <f>'Book Income Statement'!R42</f>
        <v>3453.0378062665395</v>
      </c>
      <c r="S11" s="339"/>
      <c r="T11" s="339"/>
      <c r="U11" s="339"/>
      <c r="V11" s="339"/>
      <c r="W11" s="339"/>
      <c r="X11" s="339"/>
      <c r="Y11" s="339"/>
      <c r="Z11" s="339"/>
      <c r="AA11" s="339"/>
      <c r="AB11" s="338"/>
      <c r="AC11" s="338"/>
    </row>
    <row r="12" spans="1:255" s="222" customFormat="1" ht="15">
      <c r="A12" s="333" t="s">
        <v>222</v>
      </c>
      <c r="B12" s="109"/>
      <c r="C12" s="401">
        <f>Depreciation!D26*-1</f>
        <v>-5970.0181815357582</v>
      </c>
      <c r="D12" s="401">
        <f>Depreciation!E26*-1</f>
        <v>-11373.38478491794</v>
      </c>
      <c r="E12" s="401">
        <f>Depreciation!F26*-1</f>
        <v>-10296.746786426147</v>
      </c>
      <c r="F12" s="401">
        <f>Depreciation!G26*-1</f>
        <v>-9333.4391035650679</v>
      </c>
      <c r="G12" s="401">
        <f>Depreciation!H26*-1</f>
        <v>-8460.7956732085604</v>
      </c>
      <c r="H12" s="401">
        <f>Depreciation!I26*-1</f>
        <v>-7363.9810637935543</v>
      </c>
      <c r="I12" s="401">
        <f>Depreciation!J26*-1</f>
        <v>-6686.4886222121931</v>
      </c>
      <c r="J12" s="401">
        <f>Depreciation!K26*-1</f>
        <v>-6686.4886222121931</v>
      </c>
      <c r="K12" s="401">
        <f>Depreciation!L26*-1</f>
        <v>-6697.8216537752651</v>
      </c>
      <c r="L12" s="401">
        <f>Depreciation!M26*-1</f>
        <v>-6686.4886222121931</v>
      </c>
      <c r="M12" s="401">
        <f>Depreciation!N26*-1</f>
        <v>-6697.8216537752651</v>
      </c>
      <c r="N12" s="401">
        <f>Depreciation!O26*-1</f>
        <v>-6686.4886222121931</v>
      </c>
      <c r="O12" s="401">
        <f>Depreciation!P26*-1</f>
        <v>-6697.8216537752651</v>
      </c>
      <c r="P12" s="401">
        <f>Depreciation!Q26*-1</f>
        <v>-6686.4886222121931</v>
      </c>
      <c r="Q12" s="401">
        <f>Depreciation!R26*-1</f>
        <v>-6697.8216537752651</v>
      </c>
      <c r="R12" s="401">
        <f>Depreciation!S26*-1</f>
        <v>-3343.2443111060966</v>
      </c>
      <c r="S12" s="401"/>
      <c r="T12" s="401"/>
      <c r="U12" s="401"/>
      <c r="V12" s="401"/>
      <c r="W12" s="401"/>
      <c r="X12" s="401"/>
      <c r="Y12" s="401"/>
      <c r="Z12" s="401"/>
      <c r="AA12" s="401"/>
      <c r="AB12" s="109"/>
      <c r="AC12" s="109"/>
      <c r="AD12" s="402"/>
      <c r="AE12" s="402"/>
      <c r="AF12" s="402"/>
      <c r="AG12" s="402"/>
      <c r="AH12" s="402"/>
      <c r="AI12" s="402"/>
      <c r="AJ12" s="402"/>
      <c r="AK12" s="402"/>
      <c r="AL12" s="402"/>
      <c r="AM12" s="402"/>
      <c r="AN12" s="402"/>
      <c r="AO12" s="402"/>
      <c r="AP12" s="402"/>
      <c r="AQ12" s="402"/>
      <c r="AR12" s="402"/>
      <c r="AS12" s="402"/>
      <c r="AT12" s="402"/>
      <c r="AU12" s="402"/>
      <c r="AV12" s="402"/>
      <c r="AW12" s="402"/>
      <c r="AX12" s="402"/>
      <c r="AY12" s="402"/>
      <c r="AZ12" s="402"/>
      <c r="BA12" s="402"/>
      <c r="BB12" s="402"/>
      <c r="BC12" s="402"/>
      <c r="BD12" s="402"/>
      <c r="BE12" s="402"/>
      <c r="BF12" s="402"/>
      <c r="BG12" s="402"/>
      <c r="BH12" s="402"/>
      <c r="BI12" s="402"/>
      <c r="BJ12" s="402"/>
      <c r="BK12" s="402"/>
      <c r="BL12" s="402"/>
      <c r="BM12" s="402"/>
      <c r="BN12" s="402"/>
      <c r="BO12" s="402"/>
      <c r="BP12" s="402"/>
      <c r="BQ12" s="402"/>
      <c r="BR12" s="402"/>
      <c r="BS12" s="402"/>
      <c r="BT12" s="402"/>
      <c r="BU12" s="402"/>
      <c r="BV12" s="402"/>
      <c r="BW12" s="402"/>
      <c r="BX12" s="402"/>
      <c r="BY12" s="402"/>
      <c r="BZ12" s="402"/>
      <c r="CA12" s="402"/>
      <c r="CB12" s="402"/>
      <c r="CC12" s="402"/>
      <c r="CD12" s="402"/>
      <c r="CE12" s="402"/>
      <c r="CF12" s="402"/>
      <c r="CG12" s="402"/>
      <c r="CH12" s="402"/>
      <c r="CI12" s="402"/>
      <c r="CJ12" s="402"/>
      <c r="CK12" s="402"/>
      <c r="CL12" s="402"/>
      <c r="CM12" s="402"/>
      <c r="CN12" s="402"/>
      <c r="CO12" s="402"/>
      <c r="CP12" s="402"/>
      <c r="CQ12" s="402"/>
      <c r="CR12" s="402"/>
      <c r="CS12" s="402"/>
      <c r="CT12" s="402"/>
      <c r="CU12" s="402"/>
      <c r="CV12" s="402"/>
      <c r="CW12" s="402"/>
      <c r="CX12" s="402"/>
      <c r="CY12" s="402"/>
      <c r="CZ12" s="402"/>
      <c r="DA12" s="402"/>
      <c r="DB12" s="402"/>
      <c r="DC12" s="402"/>
      <c r="DD12" s="402"/>
      <c r="DE12" s="402"/>
      <c r="DF12" s="402"/>
      <c r="DG12" s="402"/>
      <c r="DH12" s="402"/>
      <c r="DI12" s="402"/>
      <c r="DJ12" s="402"/>
      <c r="DK12" s="402"/>
      <c r="DL12" s="402"/>
      <c r="DM12" s="402"/>
      <c r="DN12" s="402"/>
      <c r="DO12" s="402"/>
      <c r="DP12" s="402"/>
      <c r="DQ12" s="402"/>
      <c r="DR12" s="402"/>
      <c r="DS12" s="402"/>
      <c r="DT12" s="402"/>
      <c r="DU12" s="402"/>
      <c r="DV12" s="402"/>
      <c r="DW12" s="402"/>
      <c r="DX12" s="402"/>
      <c r="DY12" s="402"/>
      <c r="DZ12" s="402"/>
      <c r="EA12" s="402"/>
      <c r="EB12" s="402"/>
      <c r="EC12" s="402"/>
      <c r="ED12" s="402"/>
      <c r="EE12" s="402"/>
      <c r="EF12" s="402"/>
      <c r="EG12" s="402"/>
      <c r="EH12" s="402"/>
      <c r="EI12" s="402"/>
      <c r="EJ12" s="402"/>
      <c r="EK12" s="402"/>
      <c r="EL12" s="402"/>
      <c r="EM12" s="402"/>
      <c r="EN12" s="402"/>
      <c r="EO12" s="402"/>
      <c r="EP12" s="402"/>
      <c r="EQ12" s="402"/>
      <c r="ER12" s="402"/>
      <c r="ES12" s="402"/>
      <c r="ET12" s="402"/>
      <c r="EU12" s="402"/>
      <c r="EV12" s="402"/>
      <c r="EW12" s="402"/>
      <c r="EX12" s="402"/>
      <c r="EY12" s="402"/>
      <c r="EZ12" s="402"/>
      <c r="FA12" s="402"/>
      <c r="FB12" s="402"/>
      <c r="FC12" s="402"/>
      <c r="FD12" s="402"/>
      <c r="FE12" s="402"/>
      <c r="FF12" s="402"/>
      <c r="FG12" s="402"/>
      <c r="FH12" s="402"/>
      <c r="FI12" s="402"/>
      <c r="FJ12" s="402"/>
      <c r="FK12" s="402"/>
      <c r="FL12" s="402"/>
      <c r="FM12" s="402"/>
      <c r="FN12" s="402"/>
      <c r="FO12" s="402"/>
      <c r="FP12" s="402"/>
      <c r="FQ12" s="402"/>
      <c r="FR12" s="402"/>
      <c r="FS12" s="402"/>
      <c r="FT12" s="402"/>
      <c r="FU12" s="402"/>
      <c r="FV12" s="402"/>
      <c r="FW12" s="402"/>
      <c r="FX12" s="402"/>
      <c r="FY12" s="402"/>
      <c r="FZ12" s="402"/>
      <c r="GA12" s="402"/>
      <c r="GB12" s="402"/>
      <c r="GC12" s="402"/>
      <c r="GD12" s="402"/>
      <c r="GE12" s="402"/>
      <c r="GF12" s="402"/>
      <c r="GG12" s="402"/>
      <c r="GH12" s="402"/>
      <c r="GI12" s="402"/>
      <c r="GJ12" s="402"/>
      <c r="GK12" s="402"/>
      <c r="GL12" s="402"/>
      <c r="GM12" s="402"/>
      <c r="GN12" s="402"/>
      <c r="GO12" s="402"/>
      <c r="GP12" s="402"/>
      <c r="GQ12" s="402"/>
      <c r="GR12" s="402"/>
      <c r="GS12" s="402"/>
      <c r="GT12" s="402"/>
      <c r="GU12" s="402"/>
      <c r="GV12" s="402"/>
      <c r="GW12" s="402"/>
      <c r="GX12" s="402"/>
      <c r="GY12" s="402"/>
      <c r="GZ12" s="402"/>
      <c r="HA12" s="402"/>
      <c r="HB12" s="402"/>
      <c r="HC12" s="402"/>
      <c r="HD12" s="402"/>
      <c r="HE12" s="402"/>
      <c r="HF12" s="402"/>
      <c r="HG12" s="402"/>
      <c r="HH12" s="402"/>
      <c r="HI12" s="402"/>
      <c r="HJ12" s="402"/>
      <c r="HK12" s="402"/>
      <c r="HL12" s="402"/>
      <c r="HM12" s="402"/>
      <c r="HN12" s="402"/>
      <c r="HO12" s="402"/>
      <c r="HP12" s="402"/>
      <c r="HQ12" s="402"/>
      <c r="HR12" s="402"/>
      <c r="HS12" s="402"/>
      <c r="HT12" s="402"/>
      <c r="HU12" s="402"/>
      <c r="HV12" s="402"/>
      <c r="HW12" s="402"/>
      <c r="HX12" s="402"/>
      <c r="HY12" s="402"/>
      <c r="HZ12" s="402"/>
      <c r="IA12" s="402"/>
      <c r="IB12" s="402"/>
      <c r="IC12" s="402"/>
      <c r="ID12" s="402"/>
      <c r="IE12" s="402"/>
      <c r="IF12" s="402"/>
      <c r="IG12" s="402"/>
      <c r="IH12" s="402"/>
      <c r="II12" s="402"/>
      <c r="IJ12" s="402"/>
      <c r="IK12" s="402"/>
      <c r="IL12" s="402"/>
      <c r="IM12" s="402"/>
      <c r="IN12" s="402"/>
      <c r="IO12" s="402"/>
      <c r="IP12" s="402"/>
      <c r="IQ12" s="402"/>
      <c r="IR12" s="402"/>
      <c r="IS12" s="402"/>
      <c r="IT12" s="402"/>
      <c r="IU12" s="402"/>
    </row>
    <row r="13" spans="1:255" s="336" customFormat="1" ht="13.2">
      <c r="A13" s="333" t="s">
        <v>223</v>
      </c>
      <c r="B13" s="338"/>
      <c r="C13" s="399">
        <f>SUM(C9:C12)</f>
        <v>-2603.356141884406</v>
      </c>
      <c r="D13" s="399">
        <f t="shared" ref="D13:R13" si="3">SUM(D9:D12)</f>
        <v>-5915.1219617160559</v>
      </c>
      <c r="E13" s="399">
        <f t="shared" si="3"/>
        <v>-4536.8615265791968</v>
      </c>
      <c r="F13" s="399">
        <f t="shared" si="3"/>
        <v>-3252.4041679307184</v>
      </c>
      <c r="G13" s="399">
        <f t="shared" si="3"/>
        <v>-2040.2679714559472</v>
      </c>
      <c r="H13" s="399">
        <f t="shared" si="3"/>
        <v>-582.13378633452976</v>
      </c>
      <c r="I13" s="399">
        <f t="shared" si="3"/>
        <v>476.31080591765567</v>
      </c>
      <c r="J13" s="399">
        <f t="shared" si="3"/>
        <v>879.95268027444945</v>
      </c>
      <c r="K13" s="399">
        <f t="shared" si="3"/>
        <v>1298.0894530498845</v>
      </c>
      <c r="L13" s="399">
        <f t="shared" si="3"/>
        <v>1763.9194352945742</v>
      </c>
      <c r="M13" s="399">
        <f t="shared" si="3"/>
        <v>2234.8509301874947</v>
      </c>
      <c r="N13" s="399">
        <f t="shared" si="3"/>
        <v>2757.3282832995028</v>
      </c>
      <c r="O13" s="399">
        <f t="shared" si="3"/>
        <v>3288.9592551302176</v>
      </c>
      <c r="P13" s="399">
        <f t="shared" si="3"/>
        <v>3876.3997924891664</v>
      </c>
      <c r="Q13" s="399">
        <f t="shared" si="3"/>
        <v>4475.757148036646</v>
      </c>
      <c r="R13" s="399">
        <f t="shared" si="3"/>
        <v>14601.090635627683</v>
      </c>
      <c r="S13" s="339"/>
      <c r="T13" s="339"/>
      <c r="U13" s="339"/>
      <c r="V13" s="339"/>
      <c r="W13" s="339"/>
      <c r="X13" s="339"/>
      <c r="Y13" s="339"/>
      <c r="Z13" s="339"/>
      <c r="AA13" s="339"/>
      <c r="AB13" s="338"/>
      <c r="AC13" s="338"/>
    </row>
    <row r="14" spans="1:255" s="336" customFormat="1" ht="12" customHeight="1">
      <c r="A14" s="333"/>
      <c r="B14" s="338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399"/>
      <c r="N14" s="399"/>
      <c r="O14" s="399"/>
      <c r="P14" s="399"/>
      <c r="Q14" s="399"/>
      <c r="R14" s="399"/>
      <c r="S14" s="339"/>
      <c r="T14" s="339"/>
      <c r="U14" s="339"/>
      <c r="V14" s="339"/>
      <c r="W14" s="339"/>
      <c r="X14" s="339"/>
      <c r="Y14" s="339"/>
      <c r="Z14" s="339"/>
      <c r="AA14" s="339"/>
      <c r="AB14" s="338"/>
      <c r="AC14" s="338"/>
    </row>
    <row r="15" spans="1:255" s="222" customFormat="1" ht="15">
      <c r="A15" s="333" t="s">
        <v>225</v>
      </c>
      <c r="B15" s="109"/>
      <c r="C15" s="401">
        <f>C13*'Project Assumptions'!$N$39</f>
        <v>-156.20136851306435</v>
      </c>
      <c r="D15" s="401">
        <f>D13*'Project Assumptions'!$N$39</f>
        <v>-354.90731770296333</v>
      </c>
      <c r="E15" s="401">
        <f>E13*'Project Assumptions'!$N$39</f>
        <v>-272.21169159475181</v>
      </c>
      <c r="F15" s="401">
        <f>F13*'Project Assumptions'!$N$39</f>
        <v>-195.1442500758431</v>
      </c>
      <c r="G15" s="401">
        <f>G13*'Project Assumptions'!$N$39</f>
        <v>-122.41607828735683</v>
      </c>
      <c r="H15" s="401">
        <f>H13*'Project Assumptions'!$N$39</f>
        <v>-34.928027180071787</v>
      </c>
      <c r="I15" s="401">
        <f>I13*'Project Assumptions'!$N$39</f>
        <v>28.57864835505934</v>
      </c>
      <c r="J15" s="401">
        <f>J13*'Project Assumptions'!$N$39</f>
        <v>52.797160816466963</v>
      </c>
      <c r="K15" s="401">
        <f>K13*'Project Assumptions'!$N$39</f>
        <v>77.885367182993065</v>
      </c>
      <c r="L15" s="401">
        <f>L13*'Project Assumptions'!$N$39</f>
        <v>105.83516611767445</v>
      </c>
      <c r="M15" s="401">
        <f>M13*'Project Assumptions'!$N$39</f>
        <v>134.09105581124967</v>
      </c>
      <c r="N15" s="401">
        <f>N13*'Project Assumptions'!$N$39</f>
        <v>165.43969699797017</v>
      </c>
      <c r="O15" s="401">
        <f>O13*'Project Assumptions'!$N$39</f>
        <v>197.33755530781303</v>
      </c>
      <c r="P15" s="401">
        <f>P13*'Project Assumptions'!$N$39</f>
        <v>232.58398754934998</v>
      </c>
      <c r="Q15" s="401">
        <f>Q13*'Project Assumptions'!$N$39</f>
        <v>268.54542888219873</v>
      </c>
      <c r="R15" s="401">
        <f>R13*'Project Assumptions'!$N$39</f>
        <v>876.06543813766098</v>
      </c>
      <c r="S15" s="401"/>
      <c r="T15" s="401"/>
      <c r="U15" s="401"/>
      <c r="V15" s="401"/>
      <c r="W15" s="401"/>
      <c r="X15" s="401"/>
      <c r="Y15" s="401"/>
      <c r="Z15" s="401"/>
      <c r="AA15" s="401"/>
      <c r="AB15" s="109"/>
      <c r="AC15" s="109"/>
      <c r="AD15" s="402"/>
      <c r="AE15" s="402"/>
      <c r="AF15" s="402"/>
      <c r="AG15" s="402"/>
      <c r="AH15" s="402"/>
      <c r="AI15" s="402"/>
      <c r="AJ15" s="402"/>
      <c r="AK15" s="402"/>
      <c r="AL15" s="402"/>
      <c r="AM15" s="402"/>
      <c r="AN15" s="402"/>
      <c r="AO15" s="402"/>
      <c r="AP15" s="402"/>
      <c r="AQ15" s="402"/>
      <c r="AR15" s="402"/>
      <c r="AS15" s="402"/>
      <c r="AT15" s="402"/>
      <c r="AU15" s="402"/>
      <c r="AV15" s="402"/>
      <c r="AW15" s="402"/>
      <c r="AX15" s="402"/>
      <c r="AY15" s="402"/>
      <c r="AZ15" s="402"/>
      <c r="BA15" s="402"/>
      <c r="BB15" s="402"/>
      <c r="BC15" s="402"/>
      <c r="BD15" s="402"/>
      <c r="BE15" s="402"/>
      <c r="BF15" s="402"/>
      <c r="BG15" s="402"/>
      <c r="BH15" s="402"/>
      <c r="BI15" s="402"/>
      <c r="BJ15" s="402"/>
      <c r="BK15" s="402"/>
      <c r="BL15" s="402"/>
      <c r="BM15" s="402"/>
      <c r="BN15" s="402"/>
      <c r="BO15" s="402"/>
      <c r="BP15" s="402"/>
      <c r="BQ15" s="402"/>
      <c r="BR15" s="402"/>
      <c r="BS15" s="402"/>
      <c r="BT15" s="402"/>
      <c r="BU15" s="402"/>
      <c r="BV15" s="402"/>
      <c r="BW15" s="402"/>
      <c r="BX15" s="402"/>
      <c r="BY15" s="402"/>
      <c r="BZ15" s="402"/>
      <c r="CA15" s="402"/>
      <c r="CB15" s="402"/>
      <c r="CC15" s="402"/>
      <c r="CD15" s="402"/>
      <c r="CE15" s="402"/>
      <c r="CF15" s="402"/>
      <c r="CG15" s="402"/>
      <c r="CH15" s="402"/>
      <c r="CI15" s="402"/>
      <c r="CJ15" s="402"/>
      <c r="CK15" s="402"/>
      <c r="CL15" s="402"/>
      <c r="CM15" s="402"/>
      <c r="CN15" s="402"/>
      <c r="CO15" s="402"/>
      <c r="CP15" s="402"/>
      <c r="CQ15" s="402"/>
      <c r="CR15" s="402"/>
      <c r="CS15" s="402"/>
      <c r="CT15" s="402"/>
      <c r="CU15" s="402"/>
      <c r="CV15" s="402"/>
      <c r="CW15" s="402"/>
      <c r="CX15" s="402"/>
      <c r="CY15" s="402"/>
      <c r="CZ15" s="402"/>
      <c r="DA15" s="402"/>
      <c r="DB15" s="402"/>
      <c r="DC15" s="402"/>
      <c r="DD15" s="402"/>
      <c r="DE15" s="402"/>
      <c r="DF15" s="402"/>
      <c r="DG15" s="402"/>
      <c r="DH15" s="402"/>
      <c r="DI15" s="402"/>
      <c r="DJ15" s="402"/>
      <c r="DK15" s="402"/>
      <c r="DL15" s="402"/>
      <c r="DM15" s="402"/>
      <c r="DN15" s="402"/>
      <c r="DO15" s="402"/>
      <c r="DP15" s="402"/>
      <c r="DQ15" s="402"/>
      <c r="DR15" s="402"/>
      <c r="DS15" s="402"/>
      <c r="DT15" s="402"/>
      <c r="DU15" s="402"/>
      <c r="DV15" s="402"/>
      <c r="DW15" s="402"/>
      <c r="DX15" s="402"/>
      <c r="DY15" s="402"/>
      <c r="DZ15" s="402"/>
      <c r="EA15" s="402"/>
      <c r="EB15" s="402"/>
      <c r="EC15" s="402"/>
      <c r="ED15" s="402"/>
      <c r="EE15" s="402"/>
      <c r="EF15" s="402"/>
      <c r="EG15" s="402"/>
      <c r="EH15" s="402"/>
      <c r="EI15" s="402"/>
      <c r="EJ15" s="402"/>
      <c r="EK15" s="402"/>
      <c r="EL15" s="402"/>
      <c r="EM15" s="402"/>
      <c r="EN15" s="402"/>
      <c r="EO15" s="402"/>
      <c r="EP15" s="402"/>
      <c r="EQ15" s="402"/>
      <c r="ER15" s="402"/>
      <c r="ES15" s="402"/>
      <c r="ET15" s="402"/>
      <c r="EU15" s="402"/>
      <c r="EV15" s="402"/>
      <c r="EW15" s="402"/>
      <c r="EX15" s="402"/>
      <c r="EY15" s="402"/>
      <c r="EZ15" s="402"/>
      <c r="FA15" s="402"/>
      <c r="FB15" s="402"/>
      <c r="FC15" s="402"/>
      <c r="FD15" s="402"/>
      <c r="FE15" s="402"/>
      <c r="FF15" s="402"/>
      <c r="FG15" s="402"/>
      <c r="FH15" s="402"/>
      <c r="FI15" s="402"/>
      <c r="FJ15" s="402"/>
      <c r="FK15" s="402"/>
      <c r="FL15" s="402"/>
      <c r="FM15" s="402"/>
      <c r="FN15" s="402"/>
      <c r="FO15" s="402"/>
      <c r="FP15" s="402"/>
      <c r="FQ15" s="402"/>
      <c r="FR15" s="402"/>
      <c r="FS15" s="402"/>
      <c r="FT15" s="402"/>
      <c r="FU15" s="402"/>
      <c r="FV15" s="402"/>
      <c r="FW15" s="402"/>
      <c r="FX15" s="402"/>
      <c r="FY15" s="402"/>
      <c r="FZ15" s="402"/>
      <c r="GA15" s="402"/>
      <c r="GB15" s="402"/>
      <c r="GC15" s="402"/>
      <c r="GD15" s="402"/>
      <c r="GE15" s="402"/>
      <c r="GF15" s="402"/>
      <c r="GG15" s="402"/>
      <c r="GH15" s="402"/>
      <c r="GI15" s="402"/>
      <c r="GJ15" s="402"/>
      <c r="GK15" s="402"/>
      <c r="GL15" s="402"/>
      <c r="GM15" s="402"/>
      <c r="GN15" s="402"/>
      <c r="GO15" s="402"/>
      <c r="GP15" s="402"/>
      <c r="GQ15" s="402"/>
      <c r="GR15" s="402"/>
      <c r="GS15" s="402"/>
      <c r="GT15" s="402"/>
      <c r="GU15" s="402"/>
      <c r="GV15" s="402"/>
      <c r="GW15" s="402"/>
      <c r="GX15" s="402"/>
      <c r="GY15" s="402"/>
      <c r="GZ15" s="402"/>
      <c r="HA15" s="402"/>
      <c r="HB15" s="402"/>
      <c r="HC15" s="402"/>
      <c r="HD15" s="402"/>
      <c r="HE15" s="402"/>
      <c r="HF15" s="402"/>
      <c r="HG15" s="402"/>
      <c r="HH15" s="402"/>
      <c r="HI15" s="402"/>
      <c r="HJ15" s="402"/>
      <c r="HK15" s="402"/>
      <c r="HL15" s="402"/>
      <c r="HM15" s="402"/>
      <c r="HN15" s="402"/>
      <c r="HO15" s="402"/>
      <c r="HP15" s="402"/>
      <c r="HQ15" s="402"/>
      <c r="HR15" s="402"/>
      <c r="HS15" s="402"/>
      <c r="HT15" s="402"/>
      <c r="HU15" s="402"/>
      <c r="HV15" s="402"/>
      <c r="HW15" s="402"/>
      <c r="HX15" s="402"/>
      <c r="HY15" s="402"/>
      <c r="HZ15" s="402"/>
      <c r="IA15" s="402"/>
      <c r="IB15" s="402"/>
      <c r="IC15" s="402"/>
      <c r="ID15" s="402"/>
      <c r="IE15" s="402"/>
      <c r="IF15" s="402"/>
      <c r="IG15" s="402"/>
      <c r="IH15" s="402"/>
      <c r="II15" s="402"/>
      <c r="IJ15" s="402"/>
      <c r="IK15" s="402"/>
      <c r="IL15" s="402"/>
      <c r="IM15" s="402"/>
      <c r="IN15" s="402"/>
      <c r="IO15" s="402"/>
      <c r="IP15" s="402"/>
      <c r="IQ15" s="402"/>
      <c r="IR15" s="402"/>
      <c r="IS15" s="402"/>
      <c r="IT15" s="402"/>
      <c r="IU15" s="402"/>
    </row>
    <row r="16" spans="1:255" s="207" customFormat="1" ht="13.2">
      <c r="A16" s="333" t="s">
        <v>227</v>
      </c>
      <c r="B16" s="109"/>
      <c r="C16" s="403">
        <f t="shared" ref="C16:R16" si="4">C13-C15</f>
        <v>-2447.1547733713419</v>
      </c>
      <c r="D16" s="403">
        <f t="shared" si="4"/>
        <v>-5560.2146440130928</v>
      </c>
      <c r="E16" s="403">
        <f t="shared" si="4"/>
        <v>-4264.6498349844451</v>
      </c>
      <c r="F16" s="403">
        <f t="shared" si="4"/>
        <v>-3057.2599178548753</v>
      </c>
      <c r="G16" s="403">
        <f t="shared" si="4"/>
        <v>-1917.8518931685903</v>
      </c>
      <c r="H16" s="403">
        <f t="shared" si="4"/>
        <v>-547.20575915445795</v>
      </c>
      <c r="I16" s="403">
        <f t="shared" si="4"/>
        <v>447.73215756259634</v>
      </c>
      <c r="J16" s="403">
        <f t="shared" si="4"/>
        <v>827.15551945798245</v>
      </c>
      <c r="K16" s="403">
        <f t="shared" si="4"/>
        <v>1220.2040858668913</v>
      </c>
      <c r="L16" s="403">
        <f t="shared" si="4"/>
        <v>1658.0842691768999</v>
      </c>
      <c r="M16" s="403">
        <f t="shared" si="4"/>
        <v>2100.7598743762451</v>
      </c>
      <c r="N16" s="403">
        <f t="shared" si="4"/>
        <v>2591.8885863015325</v>
      </c>
      <c r="O16" s="403">
        <f t="shared" si="4"/>
        <v>3091.6216998224045</v>
      </c>
      <c r="P16" s="403">
        <f t="shared" si="4"/>
        <v>3643.8158049398166</v>
      </c>
      <c r="Q16" s="403">
        <f t="shared" si="4"/>
        <v>4207.2117191544476</v>
      </c>
      <c r="R16" s="403">
        <f t="shared" si="4"/>
        <v>13725.025197490022</v>
      </c>
      <c r="S16" s="109"/>
      <c r="T16" s="109"/>
      <c r="U16" s="109"/>
      <c r="V16" s="109"/>
      <c r="W16" s="109"/>
      <c r="X16" s="109"/>
      <c r="Y16" s="109"/>
      <c r="Z16" s="109"/>
      <c r="AA16" s="402"/>
      <c r="AB16" s="402"/>
      <c r="AC16" s="402"/>
      <c r="AD16" s="402"/>
      <c r="AE16" s="402"/>
      <c r="AF16" s="402"/>
      <c r="AG16" s="402"/>
      <c r="AH16" s="402"/>
      <c r="AI16" s="402"/>
      <c r="AJ16" s="402"/>
      <c r="AK16" s="402"/>
      <c r="AL16" s="402"/>
      <c r="AM16" s="402"/>
      <c r="AN16" s="402"/>
      <c r="AO16" s="402"/>
      <c r="AP16" s="402"/>
      <c r="AQ16" s="402"/>
      <c r="AR16" s="402"/>
      <c r="AS16" s="402"/>
      <c r="AT16" s="402"/>
      <c r="AU16" s="402"/>
      <c r="AV16" s="402"/>
      <c r="AW16" s="402"/>
      <c r="AX16" s="402"/>
      <c r="AY16" s="402"/>
      <c r="AZ16" s="402"/>
      <c r="BA16" s="402"/>
      <c r="BB16" s="402"/>
      <c r="BC16" s="402"/>
      <c r="BD16" s="402"/>
      <c r="BE16" s="402"/>
      <c r="BF16" s="402"/>
      <c r="BG16" s="402"/>
      <c r="BH16" s="402"/>
      <c r="BI16" s="402"/>
      <c r="BJ16" s="402"/>
      <c r="BK16" s="402"/>
      <c r="BL16" s="402"/>
      <c r="BM16" s="402"/>
      <c r="BN16" s="402"/>
      <c r="BO16" s="402"/>
      <c r="BP16" s="402"/>
      <c r="BQ16" s="402"/>
      <c r="BR16" s="402"/>
      <c r="BS16" s="402"/>
      <c r="BT16" s="402"/>
      <c r="BU16" s="402"/>
      <c r="BV16" s="402"/>
      <c r="BW16" s="402"/>
      <c r="BX16" s="402"/>
      <c r="BY16" s="402"/>
      <c r="BZ16" s="402"/>
      <c r="CA16" s="402"/>
      <c r="CB16" s="402"/>
      <c r="CC16" s="402"/>
      <c r="CD16" s="402"/>
      <c r="CE16" s="402"/>
      <c r="CF16" s="402"/>
      <c r="CG16" s="402"/>
      <c r="CH16" s="402"/>
      <c r="CI16" s="402"/>
      <c r="CJ16" s="402"/>
      <c r="CK16" s="402"/>
      <c r="CL16" s="402"/>
      <c r="CM16" s="402"/>
      <c r="CN16" s="402"/>
      <c r="CO16" s="402"/>
      <c r="CP16" s="402"/>
      <c r="CQ16" s="402"/>
      <c r="CR16" s="402"/>
      <c r="CS16" s="402"/>
      <c r="CT16" s="402"/>
      <c r="CU16" s="402"/>
      <c r="CV16" s="402"/>
      <c r="CW16" s="402"/>
      <c r="CX16" s="402"/>
      <c r="CY16" s="402"/>
      <c r="CZ16" s="402"/>
      <c r="DA16" s="402"/>
      <c r="DB16" s="402"/>
      <c r="DC16" s="402"/>
      <c r="DD16" s="402"/>
      <c r="DE16" s="402"/>
      <c r="DF16" s="402"/>
      <c r="DG16" s="402"/>
      <c r="DH16" s="402"/>
      <c r="DI16" s="402"/>
      <c r="DJ16" s="402"/>
      <c r="DK16" s="402"/>
      <c r="DL16" s="402"/>
      <c r="DM16" s="402"/>
      <c r="DN16" s="402"/>
      <c r="DO16" s="402"/>
      <c r="DP16" s="402"/>
      <c r="DQ16" s="402"/>
      <c r="DR16" s="402"/>
      <c r="DS16" s="402"/>
      <c r="DT16" s="402"/>
      <c r="DU16" s="402"/>
      <c r="DV16" s="402"/>
      <c r="DW16" s="402"/>
      <c r="DX16" s="402"/>
      <c r="DY16" s="402"/>
      <c r="DZ16" s="402"/>
      <c r="EA16" s="402"/>
      <c r="EB16" s="402"/>
      <c r="EC16" s="402"/>
      <c r="ED16" s="402"/>
      <c r="EE16" s="402"/>
      <c r="EF16" s="402"/>
      <c r="EG16" s="402"/>
      <c r="EH16" s="402"/>
      <c r="EI16" s="402"/>
      <c r="EJ16" s="402"/>
      <c r="EK16" s="402"/>
      <c r="EL16" s="402"/>
      <c r="EM16" s="402"/>
      <c r="EN16" s="402"/>
      <c r="EO16" s="402"/>
      <c r="EP16" s="402"/>
      <c r="EQ16" s="402"/>
      <c r="ER16" s="402"/>
      <c r="ES16" s="402"/>
      <c r="ET16" s="402"/>
      <c r="EU16" s="402"/>
      <c r="EV16" s="402"/>
      <c r="EW16" s="402"/>
      <c r="EX16" s="402"/>
      <c r="EY16" s="402"/>
      <c r="EZ16" s="402"/>
      <c r="FA16" s="402"/>
      <c r="FB16" s="402"/>
      <c r="FC16" s="402"/>
      <c r="FD16" s="402"/>
      <c r="FE16" s="402"/>
      <c r="FF16" s="402"/>
      <c r="FG16" s="402"/>
      <c r="FH16" s="402"/>
      <c r="FI16" s="402"/>
      <c r="FJ16" s="402"/>
      <c r="FK16" s="402"/>
      <c r="FL16" s="402"/>
      <c r="FM16" s="402"/>
      <c r="FN16" s="402"/>
      <c r="FO16" s="402"/>
      <c r="FP16" s="402"/>
      <c r="FQ16" s="402"/>
      <c r="FR16" s="402"/>
      <c r="FS16" s="402"/>
      <c r="FT16" s="402"/>
      <c r="FU16" s="402"/>
      <c r="FV16" s="402"/>
      <c r="FW16" s="402"/>
      <c r="FX16" s="402"/>
      <c r="FY16" s="402"/>
      <c r="FZ16" s="402"/>
      <c r="GA16" s="402"/>
      <c r="GB16" s="402"/>
      <c r="GC16" s="402"/>
      <c r="GD16" s="402"/>
      <c r="GE16" s="402"/>
      <c r="GF16" s="402"/>
      <c r="GG16" s="402"/>
      <c r="GH16" s="402"/>
      <c r="GI16" s="402"/>
      <c r="GJ16" s="402"/>
      <c r="GK16" s="402"/>
      <c r="GL16" s="402"/>
      <c r="GM16" s="402"/>
      <c r="GN16" s="402"/>
      <c r="GO16" s="402"/>
      <c r="GP16" s="402"/>
      <c r="GQ16" s="402"/>
      <c r="GR16" s="402"/>
      <c r="GS16" s="402"/>
      <c r="GT16" s="402"/>
      <c r="GU16" s="402"/>
      <c r="GV16" s="402"/>
      <c r="GW16" s="402"/>
      <c r="GX16" s="402"/>
      <c r="GY16" s="402"/>
      <c r="GZ16" s="402"/>
      <c r="HA16" s="402"/>
      <c r="HB16" s="402"/>
      <c r="HC16" s="402"/>
      <c r="HD16" s="402"/>
      <c r="HE16" s="402"/>
      <c r="HF16" s="402"/>
      <c r="HG16" s="402"/>
      <c r="HH16" s="402"/>
      <c r="HI16" s="402"/>
      <c r="HJ16" s="402"/>
      <c r="HK16" s="402"/>
      <c r="HL16" s="402"/>
      <c r="HM16" s="402"/>
      <c r="HN16" s="402"/>
      <c r="HO16" s="402"/>
      <c r="HP16" s="402"/>
      <c r="HQ16" s="402"/>
      <c r="HR16" s="402"/>
      <c r="HS16" s="402"/>
      <c r="HT16" s="402"/>
      <c r="HU16" s="402"/>
      <c r="HV16" s="402"/>
      <c r="HW16" s="402"/>
      <c r="HX16" s="402"/>
      <c r="HY16" s="402"/>
      <c r="HZ16" s="402"/>
      <c r="IA16" s="402"/>
      <c r="IB16" s="402"/>
      <c r="IC16" s="402"/>
      <c r="ID16" s="402"/>
      <c r="IE16" s="402"/>
      <c r="IF16" s="402"/>
      <c r="IG16" s="402"/>
      <c r="IH16" s="402"/>
      <c r="II16" s="402"/>
      <c r="IJ16" s="402"/>
      <c r="IK16" s="402"/>
      <c r="IL16" s="402"/>
      <c r="IM16" s="402"/>
      <c r="IN16" s="402"/>
      <c r="IO16" s="402"/>
      <c r="IP16" s="402"/>
      <c r="IQ16" s="402"/>
      <c r="IR16" s="402"/>
    </row>
    <row r="17" spans="1:255" s="207" customFormat="1" ht="12" customHeight="1">
      <c r="A17" s="333"/>
      <c r="B17" s="109"/>
      <c r="C17" s="403"/>
      <c r="D17" s="40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3"/>
      <c r="P17" s="403"/>
      <c r="Q17" s="403"/>
      <c r="R17" s="403"/>
      <c r="S17" s="109"/>
      <c r="T17" s="109"/>
      <c r="U17" s="109"/>
      <c r="V17" s="109"/>
      <c r="W17" s="109"/>
      <c r="X17" s="109"/>
      <c r="Y17" s="109"/>
      <c r="Z17" s="109"/>
      <c r="AA17" s="402"/>
      <c r="AB17" s="402"/>
      <c r="AC17" s="402"/>
      <c r="AD17" s="402"/>
      <c r="AE17" s="402"/>
      <c r="AF17" s="402"/>
      <c r="AG17" s="402"/>
      <c r="AH17" s="402"/>
      <c r="AI17" s="402"/>
      <c r="AJ17" s="402"/>
      <c r="AK17" s="402"/>
      <c r="AL17" s="402"/>
      <c r="AM17" s="402"/>
      <c r="AN17" s="402"/>
      <c r="AO17" s="402"/>
      <c r="AP17" s="402"/>
      <c r="AQ17" s="402"/>
      <c r="AR17" s="402"/>
      <c r="AS17" s="402"/>
      <c r="AT17" s="402"/>
      <c r="AU17" s="402"/>
      <c r="AV17" s="402"/>
      <c r="AW17" s="402"/>
      <c r="AX17" s="402"/>
      <c r="AY17" s="402"/>
      <c r="AZ17" s="402"/>
      <c r="BA17" s="402"/>
      <c r="BB17" s="402"/>
      <c r="BC17" s="402"/>
      <c r="BD17" s="402"/>
      <c r="BE17" s="402"/>
      <c r="BF17" s="402"/>
      <c r="BG17" s="402"/>
      <c r="BH17" s="402"/>
      <c r="BI17" s="402"/>
      <c r="BJ17" s="402"/>
      <c r="BK17" s="402"/>
      <c r="BL17" s="402"/>
      <c r="BM17" s="402"/>
      <c r="BN17" s="402"/>
      <c r="BO17" s="402"/>
      <c r="BP17" s="402"/>
      <c r="BQ17" s="402"/>
      <c r="BR17" s="402"/>
      <c r="BS17" s="402"/>
      <c r="BT17" s="402"/>
      <c r="BU17" s="402"/>
      <c r="BV17" s="402"/>
      <c r="BW17" s="402"/>
      <c r="BX17" s="402"/>
      <c r="BY17" s="402"/>
      <c r="BZ17" s="402"/>
      <c r="CA17" s="402"/>
      <c r="CB17" s="402"/>
      <c r="CC17" s="402"/>
      <c r="CD17" s="402"/>
      <c r="CE17" s="402"/>
      <c r="CF17" s="402"/>
      <c r="CG17" s="402"/>
      <c r="CH17" s="402"/>
      <c r="CI17" s="402"/>
      <c r="CJ17" s="402"/>
      <c r="CK17" s="402"/>
      <c r="CL17" s="402"/>
      <c r="CM17" s="402"/>
      <c r="CN17" s="402"/>
      <c r="CO17" s="402"/>
      <c r="CP17" s="402"/>
      <c r="CQ17" s="402"/>
      <c r="CR17" s="402"/>
      <c r="CS17" s="402"/>
      <c r="CT17" s="402"/>
      <c r="CU17" s="402"/>
      <c r="CV17" s="402"/>
      <c r="CW17" s="402"/>
      <c r="CX17" s="402"/>
      <c r="CY17" s="402"/>
      <c r="CZ17" s="402"/>
      <c r="DA17" s="402"/>
      <c r="DB17" s="402"/>
      <c r="DC17" s="402"/>
      <c r="DD17" s="402"/>
      <c r="DE17" s="402"/>
      <c r="DF17" s="402"/>
      <c r="DG17" s="402"/>
      <c r="DH17" s="402"/>
      <c r="DI17" s="402"/>
      <c r="DJ17" s="402"/>
      <c r="DK17" s="402"/>
      <c r="DL17" s="402"/>
      <c r="DM17" s="402"/>
      <c r="DN17" s="402"/>
      <c r="DO17" s="402"/>
      <c r="DP17" s="402"/>
      <c r="DQ17" s="402"/>
      <c r="DR17" s="402"/>
      <c r="DS17" s="402"/>
      <c r="DT17" s="402"/>
      <c r="DU17" s="402"/>
      <c r="DV17" s="402"/>
      <c r="DW17" s="402"/>
      <c r="DX17" s="402"/>
      <c r="DY17" s="402"/>
      <c r="DZ17" s="402"/>
      <c r="EA17" s="402"/>
      <c r="EB17" s="402"/>
      <c r="EC17" s="402"/>
      <c r="ED17" s="402"/>
      <c r="EE17" s="402"/>
      <c r="EF17" s="402"/>
      <c r="EG17" s="402"/>
      <c r="EH17" s="402"/>
      <c r="EI17" s="402"/>
      <c r="EJ17" s="402"/>
      <c r="EK17" s="402"/>
      <c r="EL17" s="402"/>
      <c r="EM17" s="402"/>
      <c r="EN17" s="402"/>
      <c r="EO17" s="402"/>
      <c r="EP17" s="402"/>
      <c r="EQ17" s="402"/>
      <c r="ER17" s="402"/>
      <c r="ES17" s="402"/>
      <c r="ET17" s="402"/>
      <c r="EU17" s="402"/>
      <c r="EV17" s="402"/>
      <c r="EW17" s="402"/>
      <c r="EX17" s="402"/>
      <c r="EY17" s="402"/>
      <c r="EZ17" s="402"/>
      <c r="FA17" s="402"/>
      <c r="FB17" s="402"/>
      <c r="FC17" s="402"/>
      <c r="FD17" s="402"/>
      <c r="FE17" s="402"/>
      <c r="FF17" s="402"/>
      <c r="FG17" s="402"/>
      <c r="FH17" s="402"/>
      <c r="FI17" s="402"/>
      <c r="FJ17" s="402"/>
      <c r="FK17" s="402"/>
      <c r="FL17" s="402"/>
      <c r="FM17" s="402"/>
      <c r="FN17" s="402"/>
      <c r="FO17" s="402"/>
      <c r="FP17" s="402"/>
      <c r="FQ17" s="402"/>
      <c r="FR17" s="402"/>
      <c r="FS17" s="402"/>
      <c r="FT17" s="402"/>
      <c r="FU17" s="402"/>
      <c r="FV17" s="402"/>
      <c r="FW17" s="402"/>
      <c r="FX17" s="402"/>
      <c r="FY17" s="402"/>
      <c r="FZ17" s="402"/>
      <c r="GA17" s="402"/>
      <c r="GB17" s="402"/>
      <c r="GC17" s="402"/>
      <c r="GD17" s="402"/>
      <c r="GE17" s="402"/>
      <c r="GF17" s="402"/>
      <c r="GG17" s="402"/>
      <c r="GH17" s="402"/>
      <c r="GI17" s="402"/>
      <c r="GJ17" s="402"/>
      <c r="GK17" s="402"/>
      <c r="GL17" s="402"/>
      <c r="GM17" s="402"/>
      <c r="GN17" s="402"/>
      <c r="GO17" s="402"/>
      <c r="GP17" s="402"/>
      <c r="GQ17" s="402"/>
      <c r="GR17" s="402"/>
      <c r="GS17" s="402"/>
      <c r="GT17" s="402"/>
      <c r="GU17" s="402"/>
      <c r="GV17" s="402"/>
      <c r="GW17" s="402"/>
      <c r="GX17" s="402"/>
      <c r="GY17" s="402"/>
      <c r="GZ17" s="402"/>
      <c r="HA17" s="402"/>
      <c r="HB17" s="402"/>
      <c r="HC17" s="402"/>
      <c r="HD17" s="402"/>
      <c r="HE17" s="402"/>
      <c r="HF17" s="402"/>
      <c r="HG17" s="402"/>
      <c r="HH17" s="402"/>
      <c r="HI17" s="402"/>
      <c r="HJ17" s="402"/>
      <c r="HK17" s="402"/>
      <c r="HL17" s="402"/>
      <c r="HM17" s="402"/>
      <c r="HN17" s="402"/>
      <c r="HO17" s="402"/>
      <c r="HP17" s="402"/>
      <c r="HQ17" s="402"/>
      <c r="HR17" s="402"/>
      <c r="HS17" s="402"/>
      <c r="HT17" s="402"/>
      <c r="HU17" s="402"/>
      <c r="HV17" s="402"/>
      <c r="HW17" s="402"/>
      <c r="HX17" s="402"/>
      <c r="HY17" s="402"/>
      <c r="HZ17" s="402"/>
      <c r="IA17" s="402"/>
      <c r="IB17" s="402"/>
      <c r="IC17" s="402"/>
      <c r="ID17" s="402"/>
      <c r="IE17" s="402"/>
      <c r="IF17" s="402"/>
      <c r="IG17" s="402"/>
      <c r="IH17" s="402"/>
      <c r="II17" s="402"/>
      <c r="IJ17" s="402"/>
      <c r="IK17" s="402"/>
      <c r="IL17" s="402"/>
      <c r="IM17" s="402"/>
      <c r="IN17" s="402"/>
      <c r="IO17" s="402"/>
      <c r="IP17" s="402"/>
      <c r="IQ17" s="402"/>
      <c r="IR17" s="402"/>
    </row>
    <row r="18" spans="1:255" s="207" customFormat="1" ht="13.2">
      <c r="A18" s="333" t="s">
        <v>228</v>
      </c>
      <c r="C18" s="334">
        <f>C16*'Project Assumptions'!$N$38</f>
        <v>-856.50417067996966</v>
      </c>
      <c r="D18" s="334">
        <f>D16*'Project Assumptions'!$N$38</f>
        <v>-1946.0751254045824</v>
      </c>
      <c r="E18" s="334">
        <f>E16*'Project Assumptions'!$N$38</f>
        <v>-1492.6274422445556</v>
      </c>
      <c r="F18" s="334">
        <f>F16*'Project Assumptions'!$N$38</f>
        <v>-1070.0409712492062</v>
      </c>
      <c r="G18" s="334">
        <f>G16*'Project Assumptions'!$N$38</f>
        <v>-671.24816260900661</v>
      </c>
      <c r="H18" s="334">
        <f>H16*'Project Assumptions'!$N$38</f>
        <v>-191.52201570406027</v>
      </c>
      <c r="I18" s="334">
        <f>I16*'Project Assumptions'!$N$38</f>
        <v>156.70625514690872</v>
      </c>
      <c r="J18" s="334">
        <f>J16*'Project Assumptions'!$N$38</f>
        <v>289.50443181029385</v>
      </c>
      <c r="K18" s="334">
        <f>K16*'Project Assumptions'!$N$38</f>
        <v>427.07143005341192</v>
      </c>
      <c r="L18" s="334">
        <f>L16*'Project Assumptions'!$N$38</f>
        <v>580.32949421191495</v>
      </c>
      <c r="M18" s="334">
        <f>M16*'Project Assumptions'!$N$38</f>
        <v>735.26595603168573</v>
      </c>
      <c r="N18" s="334">
        <f>N16*'Project Assumptions'!$N$38</f>
        <v>907.1610052055363</v>
      </c>
      <c r="O18" s="334">
        <f>O16*'Project Assumptions'!$N$38</f>
        <v>1082.0675949378415</v>
      </c>
      <c r="P18" s="334">
        <f>P16*'Project Assumptions'!$N$38</f>
        <v>1275.3355317289358</v>
      </c>
      <c r="Q18" s="334">
        <f>Q16*'Project Assumptions'!$N$38</f>
        <v>1472.5241017040566</v>
      </c>
      <c r="R18" s="334">
        <f>R16*'Project Assumptions'!$N$38</f>
        <v>4803.7588191215073</v>
      </c>
    </row>
    <row r="19" spans="1:255" s="207" customFormat="1" ht="12" customHeight="1">
      <c r="A19" s="333"/>
      <c r="B19" s="109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109"/>
      <c r="T19" s="109"/>
      <c r="U19" s="109"/>
      <c r="V19" s="109"/>
      <c r="W19" s="109"/>
      <c r="X19" s="109"/>
      <c r="Y19" s="109"/>
      <c r="Z19" s="109"/>
      <c r="AA19" s="402"/>
      <c r="AB19" s="402"/>
      <c r="AC19" s="402"/>
      <c r="AD19" s="402"/>
      <c r="AE19" s="402"/>
      <c r="AF19" s="402"/>
      <c r="AG19" s="402"/>
      <c r="AH19" s="402"/>
      <c r="AI19" s="402"/>
      <c r="AJ19" s="402"/>
      <c r="AK19" s="402"/>
      <c r="AL19" s="402"/>
      <c r="AM19" s="402"/>
      <c r="AN19" s="402"/>
      <c r="AO19" s="402"/>
      <c r="AP19" s="402"/>
      <c r="AQ19" s="402"/>
      <c r="AR19" s="402"/>
      <c r="AS19" s="402"/>
      <c r="AT19" s="402"/>
      <c r="AU19" s="402"/>
      <c r="AV19" s="402"/>
      <c r="AW19" s="402"/>
      <c r="AX19" s="402"/>
      <c r="AY19" s="402"/>
      <c r="AZ19" s="402"/>
      <c r="BA19" s="402"/>
      <c r="BB19" s="402"/>
      <c r="BC19" s="402"/>
      <c r="BD19" s="402"/>
      <c r="BE19" s="402"/>
      <c r="BF19" s="402"/>
      <c r="BG19" s="402"/>
      <c r="BH19" s="402"/>
      <c r="BI19" s="402"/>
      <c r="BJ19" s="402"/>
      <c r="BK19" s="402"/>
      <c r="BL19" s="402"/>
      <c r="BM19" s="402"/>
      <c r="BN19" s="402"/>
      <c r="BO19" s="402"/>
      <c r="BP19" s="402"/>
      <c r="BQ19" s="402"/>
      <c r="BR19" s="402"/>
      <c r="BS19" s="402"/>
      <c r="BT19" s="402"/>
      <c r="BU19" s="402"/>
      <c r="BV19" s="402"/>
      <c r="BW19" s="402"/>
      <c r="BX19" s="402"/>
      <c r="BY19" s="402"/>
      <c r="BZ19" s="402"/>
      <c r="CA19" s="402"/>
      <c r="CB19" s="402"/>
      <c r="CC19" s="402"/>
      <c r="CD19" s="402"/>
      <c r="CE19" s="402"/>
      <c r="CF19" s="402"/>
      <c r="CG19" s="402"/>
      <c r="CH19" s="402"/>
      <c r="CI19" s="402"/>
      <c r="CJ19" s="402"/>
      <c r="CK19" s="402"/>
      <c r="CL19" s="402"/>
      <c r="CM19" s="402"/>
      <c r="CN19" s="402"/>
      <c r="CO19" s="402"/>
      <c r="CP19" s="402"/>
      <c r="CQ19" s="402"/>
      <c r="CR19" s="402"/>
      <c r="CS19" s="402"/>
      <c r="CT19" s="402"/>
      <c r="CU19" s="402"/>
      <c r="CV19" s="402"/>
      <c r="CW19" s="402"/>
      <c r="CX19" s="402"/>
      <c r="CY19" s="402"/>
      <c r="CZ19" s="402"/>
      <c r="DA19" s="402"/>
      <c r="DB19" s="402"/>
      <c r="DC19" s="402"/>
      <c r="DD19" s="402"/>
      <c r="DE19" s="402"/>
      <c r="DF19" s="402"/>
      <c r="DG19" s="402"/>
      <c r="DH19" s="402"/>
      <c r="DI19" s="402"/>
      <c r="DJ19" s="402"/>
      <c r="DK19" s="402"/>
      <c r="DL19" s="402"/>
      <c r="DM19" s="402"/>
      <c r="DN19" s="402"/>
      <c r="DO19" s="402"/>
      <c r="DP19" s="402"/>
      <c r="DQ19" s="402"/>
      <c r="DR19" s="402"/>
      <c r="DS19" s="402"/>
      <c r="DT19" s="402"/>
      <c r="DU19" s="402"/>
      <c r="DV19" s="402"/>
      <c r="DW19" s="402"/>
      <c r="DX19" s="402"/>
      <c r="DY19" s="402"/>
      <c r="DZ19" s="402"/>
      <c r="EA19" s="402"/>
      <c r="EB19" s="402"/>
      <c r="EC19" s="402"/>
      <c r="ED19" s="402"/>
      <c r="EE19" s="402"/>
      <c r="EF19" s="402"/>
      <c r="EG19" s="402"/>
      <c r="EH19" s="402"/>
      <c r="EI19" s="402"/>
      <c r="EJ19" s="402"/>
      <c r="EK19" s="402"/>
      <c r="EL19" s="402"/>
      <c r="EM19" s="402"/>
      <c r="EN19" s="402"/>
      <c r="EO19" s="402"/>
      <c r="EP19" s="402"/>
      <c r="EQ19" s="402"/>
      <c r="ER19" s="402"/>
      <c r="ES19" s="402"/>
      <c r="ET19" s="402"/>
      <c r="EU19" s="402"/>
      <c r="EV19" s="402"/>
      <c r="EW19" s="402"/>
      <c r="EX19" s="402"/>
      <c r="EY19" s="402"/>
      <c r="EZ19" s="402"/>
      <c r="FA19" s="402"/>
      <c r="FB19" s="402"/>
      <c r="FC19" s="402"/>
      <c r="FD19" s="402"/>
      <c r="FE19" s="402"/>
      <c r="FF19" s="402"/>
      <c r="FG19" s="402"/>
      <c r="FH19" s="402"/>
      <c r="FI19" s="402"/>
      <c r="FJ19" s="402"/>
      <c r="FK19" s="402"/>
      <c r="FL19" s="402"/>
      <c r="FM19" s="402"/>
      <c r="FN19" s="402"/>
      <c r="FO19" s="402"/>
      <c r="FP19" s="402"/>
      <c r="FQ19" s="402"/>
      <c r="FR19" s="402"/>
      <c r="FS19" s="402"/>
      <c r="FT19" s="402"/>
      <c r="FU19" s="402"/>
      <c r="FV19" s="402"/>
      <c r="FW19" s="402"/>
      <c r="FX19" s="402"/>
      <c r="FY19" s="402"/>
      <c r="FZ19" s="402"/>
      <c r="GA19" s="402"/>
      <c r="GB19" s="402"/>
      <c r="GC19" s="402"/>
      <c r="GD19" s="402"/>
      <c r="GE19" s="402"/>
      <c r="GF19" s="402"/>
      <c r="GG19" s="402"/>
      <c r="GH19" s="402"/>
      <c r="GI19" s="402"/>
      <c r="GJ19" s="402"/>
      <c r="GK19" s="402"/>
      <c r="GL19" s="402"/>
      <c r="GM19" s="402"/>
      <c r="GN19" s="402"/>
      <c r="GO19" s="402"/>
      <c r="GP19" s="402"/>
      <c r="GQ19" s="402"/>
      <c r="GR19" s="402"/>
      <c r="GS19" s="402"/>
      <c r="GT19" s="402"/>
      <c r="GU19" s="402"/>
      <c r="GV19" s="402"/>
      <c r="GW19" s="402"/>
      <c r="GX19" s="402"/>
      <c r="GY19" s="402"/>
      <c r="GZ19" s="402"/>
      <c r="HA19" s="402"/>
      <c r="HB19" s="402"/>
      <c r="HC19" s="402"/>
      <c r="HD19" s="402"/>
      <c r="HE19" s="402"/>
      <c r="HF19" s="402"/>
      <c r="HG19" s="402"/>
      <c r="HH19" s="402"/>
      <c r="HI19" s="402"/>
      <c r="HJ19" s="402"/>
      <c r="HK19" s="402"/>
      <c r="HL19" s="402"/>
      <c r="HM19" s="402"/>
      <c r="HN19" s="402"/>
      <c r="HO19" s="402"/>
      <c r="HP19" s="402"/>
      <c r="HQ19" s="402"/>
      <c r="HR19" s="402"/>
      <c r="HS19" s="402"/>
      <c r="HT19" s="402"/>
      <c r="HU19" s="402"/>
      <c r="HV19" s="402"/>
      <c r="HW19" s="402"/>
      <c r="HX19" s="402"/>
      <c r="HY19" s="402"/>
      <c r="HZ19" s="402"/>
      <c r="IA19" s="402"/>
      <c r="IB19" s="402"/>
      <c r="IC19" s="402"/>
      <c r="ID19" s="402"/>
      <c r="IE19" s="402"/>
      <c r="IF19" s="402"/>
      <c r="IG19" s="402"/>
      <c r="IH19" s="402"/>
      <c r="II19" s="402"/>
      <c r="IJ19" s="402"/>
      <c r="IK19" s="402"/>
      <c r="IL19" s="402"/>
      <c r="IM19" s="402"/>
      <c r="IN19" s="402"/>
      <c r="IO19" s="402"/>
      <c r="IP19" s="402"/>
      <c r="IQ19" s="402"/>
      <c r="IR19" s="402"/>
    </row>
    <row r="20" spans="1:255" s="207" customFormat="1" ht="12" customHeight="1">
      <c r="A20" s="333"/>
      <c r="B20" s="109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109"/>
      <c r="T20" s="109"/>
      <c r="U20" s="109"/>
      <c r="V20" s="109"/>
      <c r="W20" s="109"/>
      <c r="X20" s="109"/>
      <c r="Y20" s="109"/>
      <c r="Z20" s="109"/>
      <c r="AA20" s="402"/>
      <c r="AB20" s="402"/>
      <c r="AC20" s="402"/>
      <c r="AD20" s="402"/>
      <c r="AE20" s="402"/>
      <c r="AF20" s="402"/>
      <c r="AG20" s="402"/>
      <c r="AH20" s="402"/>
      <c r="AI20" s="402"/>
      <c r="AJ20" s="402"/>
      <c r="AK20" s="402"/>
      <c r="AL20" s="402"/>
      <c r="AM20" s="402"/>
      <c r="AN20" s="402"/>
      <c r="AO20" s="402"/>
      <c r="AP20" s="402"/>
      <c r="AQ20" s="402"/>
      <c r="AR20" s="402"/>
      <c r="AS20" s="402"/>
      <c r="AT20" s="402"/>
      <c r="AU20" s="402"/>
      <c r="AV20" s="402"/>
      <c r="AW20" s="402"/>
      <c r="AX20" s="402"/>
      <c r="AY20" s="402"/>
      <c r="AZ20" s="402"/>
      <c r="BA20" s="402"/>
      <c r="BB20" s="402"/>
      <c r="BC20" s="402"/>
      <c r="BD20" s="402"/>
      <c r="BE20" s="402"/>
      <c r="BF20" s="402"/>
      <c r="BG20" s="402"/>
      <c r="BH20" s="402"/>
      <c r="BI20" s="402"/>
      <c r="BJ20" s="402"/>
      <c r="BK20" s="402"/>
      <c r="BL20" s="402"/>
      <c r="BM20" s="402"/>
      <c r="BN20" s="402"/>
      <c r="BO20" s="402"/>
      <c r="BP20" s="402"/>
      <c r="BQ20" s="402"/>
      <c r="BR20" s="402"/>
      <c r="BS20" s="402"/>
      <c r="BT20" s="402"/>
      <c r="BU20" s="402"/>
      <c r="BV20" s="402"/>
      <c r="BW20" s="402"/>
      <c r="BX20" s="402"/>
      <c r="BY20" s="402"/>
      <c r="BZ20" s="402"/>
      <c r="CA20" s="402"/>
      <c r="CB20" s="402"/>
      <c r="CC20" s="402"/>
      <c r="CD20" s="402"/>
      <c r="CE20" s="402"/>
      <c r="CF20" s="402"/>
      <c r="CG20" s="402"/>
      <c r="CH20" s="402"/>
      <c r="CI20" s="402"/>
      <c r="CJ20" s="402"/>
      <c r="CK20" s="402"/>
      <c r="CL20" s="402"/>
      <c r="CM20" s="402"/>
      <c r="CN20" s="402"/>
      <c r="CO20" s="402"/>
      <c r="CP20" s="402"/>
      <c r="CQ20" s="402"/>
      <c r="CR20" s="402"/>
      <c r="CS20" s="402"/>
      <c r="CT20" s="402"/>
      <c r="CU20" s="402"/>
      <c r="CV20" s="402"/>
      <c r="CW20" s="402"/>
      <c r="CX20" s="402"/>
      <c r="CY20" s="402"/>
      <c r="CZ20" s="402"/>
      <c r="DA20" s="402"/>
      <c r="DB20" s="402"/>
      <c r="DC20" s="402"/>
      <c r="DD20" s="402"/>
      <c r="DE20" s="402"/>
      <c r="DF20" s="402"/>
      <c r="DG20" s="402"/>
      <c r="DH20" s="402"/>
      <c r="DI20" s="402"/>
      <c r="DJ20" s="402"/>
      <c r="DK20" s="402"/>
      <c r="DL20" s="402"/>
      <c r="DM20" s="402"/>
      <c r="DN20" s="402"/>
      <c r="DO20" s="402"/>
      <c r="DP20" s="402"/>
      <c r="DQ20" s="402"/>
      <c r="DR20" s="402"/>
      <c r="DS20" s="402"/>
      <c r="DT20" s="402"/>
      <c r="DU20" s="402"/>
      <c r="DV20" s="402"/>
      <c r="DW20" s="402"/>
      <c r="DX20" s="402"/>
      <c r="DY20" s="402"/>
      <c r="DZ20" s="402"/>
      <c r="EA20" s="402"/>
      <c r="EB20" s="402"/>
      <c r="EC20" s="402"/>
      <c r="ED20" s="402"/>
      <c r="EE20" s="402"/>
      <c r="EF20" s="402"/>
      <c r="EG20" s="402"/>
      <c r="EH20" s="402"/>
      <c r="EI20" s="402"/>
      <c r="EJ20" s="402"/>
      <c r="EK20" s="402"/>
      <c r="EL20" s="402"/>
      <c r="EM20" s="402"/>
      <c r="EN20" s="402"/>
      <c r="EO20" s="402"/>
      <c r="EP20" s="402"/>
      <c r="EQ20" s="402"/>
      <c r="ER20" s="402"/>
      <c r="ES20" s="402"/>
      <c r="ET20" s="402"/>
      <c r="EU20" s="402"/>
      <c r="EV20" s="402"/>
      <c r="EW20" s="402"/>
      <c r="EX20" s="402"/>
      <c r="EY20" s="402"/>
      <c r="EZ20" s="402"/>
      <c r="FA20" s="402"/>
      <c r="FB20" s="402"/>
      <c r="FC20" s="402"/>
      <c r="FD20" s="402"/>
      <c r="FE20" s="402"/>
      <c r="FF20" s="402"/>
      <c r="FG20" s="402"/>
      <c r="FH20" s="402"/>
      <c r="FI20" s="402"/>
      <c r="FJ20" s="402"/>
      <c r="FK20" s="402"/>
      <c r="FL20" s="402"/>
      <c r="FM20" s="402"/>
      <c r="FN20" s="402"/>
      <c r="FO20" s="402"/>
      <c r="FP20" s="402"/>
      <c r="FQ20" s="402"/>
      <c r="FR20" s="402"/>
      <c r="FS20" s="402"/>
      <c r="FT20" s="402"/>
      <c r="FU20" s="402"/>
      <c r="FV20" s="402"/>
      <c r="FW20" s="402"/>
      <c r="FX20" s="402"/>
      <c r="FY20" s="402"/>
      <c r="FZ20" s="402"/>
      <c r="GA20" s="402"/>
      <c r="GB20" s="402"/>
      <c r="GC20" s="402"/>
      <c r="GD20" s="402"/>
      <c r="GE20" s="402"/>
      <c r="GF20" s="402"/>
      <c r="GG20" s="402"/>
      <c r="GH20" s="402"/>
      <c r="GI20" s="402"/>
      <c r="GJ20" s="402"/>
      <c r="GK20" s="402"/>
      <c r="GL20" s="402"/>
      <c r="GM20" s="402"/>
      <c r="GN20" s="402"/>
      <c r="GO20" s="402"/>
      <c r="GP20" s="402"/>
      <c r="GQ20" s="402"/>
      <c r="GR20" s="402"/>
      <c r="GS20" s="402"/>
      <c r="GT20" s="402"/>
      <c r="GU20" s="402"/>
      <c r="GV20" s="402"/>
      <c r="GW20" s="402"/>
      <c r="GX20" s="402"/>
      <c r="GY20" s="402"/>
      <c r="GZ20" s="402"/>
      <c r="HA20" s="402"/>
      <c r="HB20" s="402"/>
      <c r="HC20" s="402"/>
      <c r="HD20" s="402"/>
      <c r="HE20" s="402"/>
      <c r="HF20" s="402"/>
      <c r="HG20" s="402"/>
      <c r="HH20" s="402"/>
      <c r="HI20" s="402"/>
      <c r="HJ20" s="402"/>
      <c r="HK20" s="402"/>
      <c r="HL20" s="402"/>
      <c r="HM20" s="402"/>
      <c r="HN20" s="402"/>
      <c r="HO20" s="402"/>
      <c r="HP20" s="402"/>
      <c r="HQ20" s="402"/>
      <c r="HR20" s="402"/>
      <c r="HS20" s="402"/>
      <c r="HT20" s="402"/>
      <c r="HU20" s="402"/>
      <c r="HV20" s="402"/>
      <c r="HW20" s="402"/>
      <c r="HX20" s="402"/>
      <c r="HY20" s="402"/>
      <c r="HZ20" s="402"/>
      <c r="IA20" s="402"/>
      <c r="IB20" s="402"/>
      <c r="IC20" s="402"/>
      <c r="ID20" s="402"/>
      <c r="IE20" s="402"/>
      <c r="IF20" s="402"/>
      <c r="IG20" s="402"/>
      <c r="IH20" s="402"/>
      <c r="II20" s="402"/>
      <c r="IJ20" s="402"/>
      <c r="IK20" s="402"/>
      <c r="IL20" s="402"/>
      <c r="IM20" s="402"/>
      <c r="IN20" s="402"/>
      <c r="IO20" s="402"/>
      <c r="IP20" s="402"/>
      <c r="IQ20" s="402"/>
      <c r="IR20" s="402"/>
    </row>
    <row r="21" spans="1:255" s="207" customFormat="1" ht="12" customHeight="1">
      <c r="A21" s="398" t="s">
        <v>229</v>
      </c>
      <c r="B21" s="109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109"/>
      <c r="T21" s="109"/>
      <c r="U21" s="109"/>
      <c r="V21" s="109"/>
      <c r="W21" s="109"/>
      <c r="X21" s="109"/>
      <c r="Y21" s="109"/>
      <c r="Z21" s="109"/>
      <c r="AA21" s="402"/>
      <c r="AB21" s="402"/>
      <c r="AC21" s="402"/>
      <c r="AD21" s="402"/>
      <c r="AE21" s="402"/>
      <c r="AF21" s="402"/>
      <c r="AG21" s="402"/>
      <c r="AH21" s="402"/>
      <c r="AI21" s="402"/>
      <c r="AJ21" s="402"/>
      <c r="AK21" s="402"/>
      <c r="AL21" s="402"/>
      <c r="AM21" s="402"/>
      <c r="AN21" s="402"/>
      <c r="AO21" s="402"/>
      <c r="AP21" s="402"/>
      <c r="AQ21" s="402"/>
      <c r="AR21" s="402"/>
      <c r="AS21" s="402"/>
      <c r="AT21" s="402"/>
      <c r="AU21" s="402"/>
      <c r="AV21" s="402"/>
      <c r="AW21" s="402"/>
      <c r="AX21" s="402"/>
      <c r="AY21" s="402"/>
      <c r="AZ21" s="402"/>
      <c r="BA21" s="402"/>
      <c r="BB21" s="402"/>
      <c r="BC21" s="402"/>
      <c r="BD21" s="402"/>
      <c r="BE21" s="402"/>
      <c r="BF21" s="402"/>
      <c r="BG21" s="402"/>
      <c r="BH21" s="402"/>
      <c r="BI21" s="402"/>
      <c r="BJ21" s="402"/>
      <c r="BK21" s="402"/>
      <c r="BL21" s="402"/>
      <c r="BM21" s="402"/>
      <c r="BN21" s="402"/>
      <c r="BO21" s="402"/>
      <c r="BP21" s="402"/>
      <c r="BQ21" s="402"/>
      <c r="BR21" s="402"/>
      <c r="BS21" s="402"/>
      <c r="BT21" s="402"/>
      <c r="BU21" s="402"/>
      <c r="BV21" s="402"/>
      <c r="BW21" s="402"/>
      <c r="BX21" s="402"/>
      <c r="BY21" s="402"/>
      <c r="BZ21" s="402"/>
      <c r="CA21" s="402"/>
      <c r="CB21" s="402"/>
      <c r="CC21" s="402"/>
      <c r="CD21" s="402"/>
      <c r="CE21" s="402"/>
      <c r="CF21" s="402"/>
      <c r="CG21" s="402"/>
      <c r="CH21" s="402"/>
      <c r="CI21" s="402"/>
      <c r="CJ21" s="402"/>
      <c r="CK21" s="402"/>
      <c r="CL21" s="402"/>
      <c r="CM21" s="402"/>
      <c r="CN21" s="402"/>
      <c r="CO21" s="402"/>
      <c r="CP21" s="402"/>
      <c r="CQ21" s="402"/>
      <c r="CR21" s="402"/>
      <c r="CS21" s="402"/>
      <c r="CT21" s="402"/>
      <c r="CU21" s="402"/>
      <c r="CV21" s="402"/>
      <c r="CW21" s="402"/>
      <c r="CX21" s="402"/>
      <c r="CY21" s="402"/>
      <c r="CZ21" s="402"/>
      <c r="DA21" s="402"/>
      <c r="DB21" s="402"/>
      <c r="DC21" s="402"/>
      <c r="DD21" s="402"/>
      <c r="DE21" s="402"/>
      <c r="DF21" s="402"/>
      <c r="DG21" s="402"/>
      <c r="DH21" s="402"/>
      <c r="DI21" s="402"/>
      <c r="DJ21" s="402"/>
      <c r="DK21" s="402"/>
      <c r="DL21" s="402"/>
      <c r="DM21" s="402"/>
      <c r="DN21" s="402"/>
      <c r="DO21" s="402"/>
      <c r="DP21" s="402"/>
      <c r="DQ21" s="402"/>
      <c r="DR21" s="402"/>
      <c r="DS21" s="402"/>
      <c r="DT21" s="402"/>
      <c r="DU21" s="402"/>
      <c r="DV21" s="402"/>
      <c r="DW21" s="402"/>
      <c r="DX21" s="402"/>
      <c r="DY21" s="402"/>
      <c r="DZ21" s="402"/>
      <c r="EA21" s="402"/>
      <c r="EB21" s="402"/>
      <c r="EC21" s="402"/>
      <c r="ED21" s="402"/>
      <c r="EE21" s="402"/>
      <c r="EF21" s="402"/>
      <c r="EG21" s="402"/>
      <c r="EH21" s="402"/>
      <c r="EI21" s="402"/>
      <c r="EJ21" s="402"/>
      <c r="EK21" s="402"/>
      <c r="EL21" s="402"/>
      <c r="EM21" s="402"/>
      <c r="EN21" s="402"/>
      <c r="EO21" s="402"/>
      <c r="EP21" s="402"/>
      <c r="EQ21" s="402"/>
      <c r="ER21" s="402"/>
      <c r="ES21" s="402"/>
      <c r="ET21" s="402"/>
      <c r="EU21" s="402"/>
      <c r="EV21" s="402"/>
      <c r="EW21" s="402"/>
      <c r="EX21" s="402"/>
      <c r="EY21" s="402"/>
      <c r="EZ21" s="402"/>
      <c r="FA21" s="402"/>
      <c r="FB21" s="402"/>
      <c r="FC21" s="402"/>
      <c r="FD21" s="402"/>
      <c r="FE21" s="402"/>
      <c r="FF21" s="402"/>
      <c r="FG21" s="402"/>
      <c r="FH21" s="402"/>
      <c r="FI21" s="402"/>
      <c r="FJ21" s="402"/>
      <c r="FK21" s="402"/>
      <c r="FL21" s="402"/>
      <c r="FM21" s="402"/>
      <c r="FN21" s="402"/>
      <c r="FO21" s="402"/>
      <c r="FP21" s="402"/>
      <c r="FQ21" s="402"/>
      <c r="FR21" s="402"/>
      <c r="FS21" s="402"/>
      <c r="FT21" s="402"/>
      <c r="FU21" s="402"/>
      <c r="FV21" s="402"/>
      <c r="FW21" s="402"/>
      <c r="FX21" s="402"/>
      <c r="FY21" s="402"/>
      <c r="FZ21" s="402"/>
      <c r="GA21" s="402"/>
      <c r="GB21" s="402"/>
      <c r="GC21" s="402"/>
      <c r="GD21" s="402"/>
      <c r="GE21" s="402"/>
      <c r="GF21" s="402"/>
      <c r="GG21" s="402"/>
      <c r="GH21" s="402"/>
      <c r="GI21" s="402"/>
      <c r="GJ21" s="402"/>
      <c r="GK21" s="402"/>
      <c r="GL21" s="402"/>
      <c r="GM21" s="402"/>
      <c r="GN21" s="402"/>
      <c r="GO21" s="402"/>
      <c r="GP21" s="402"/>
      <c r="GQ21" s="402"/>
      <c r="GR21" s="402"/>
      <c r="GS21" s="402"/>
      <c r="GT21" s="402"/>
      <c r="GU21" s="402"/>
      <c r="GV21" s="402"/>
      <c r="GW21" s="402"/>
      <c r="GX21" s="402"/>
      <c r="GY21" s="402"/>
      <c r="GZ21" s="402"/>
      <c r="HA21" s="402"/>
      <c r="HB21" s="402"/>
      <c r="HC21" s="402"/>
      <c r="HD21" s="402"/>
      <c r="HE21" s="402"/>
      <c r="HF21" s="402"/>
      <c r="HG21" s="402"/>
      <c r="HH21" s="402"/>
      <c r="HI21" s="402"/>
      <c r="HJ21" s="402"/>
      <c r="HK21" s="402"/>
      <c r="HL21" s="402"/>
      <c r="HM21" s="402"/>
      <c r="HN21" s="402"/>
      <c r="HO21" s="402"/>
      <c r="HP21" s="402"/>
      <c r="HQ21" s="402"/>
      <c r="HR21" s="402"/>
      <c r="HS21" s="402"/>
      <c r="HT21" s="402"/>
      <c r="HU21" s="402"/>
      <c r="HV21" s="402"/>
      <c r="HW21" s="402"/>
      <c r="HX21" s="402"/>
      <c r="HY21" s="402"/>
      <c r="HZ21" s="402"/>
      <c r="IA21" s="402"/>
      <c r="IB21" s="402"/>
      <c r="IC21" s="402"/>
      <c r="ID21" s="402"/>
      <c r="IE21" s="402"/>
      <c r="IF21" s="402"/>
      <c r="IG21" s="402"/>
      <c r="IH21" s="402"/>
      <c r="II21" s="402"/>
      <c r="IJ21" s="402"/>
      <c r="IK21" s="402"/>
      <c r="IL21" s="402"/>
      <c r="IM21" s="402"/>
      <c r="IN21" s="402"/>
      <c r="IO21" s="402"/>
      <c r="IP21" s="402"/>
      <c r="IQ21" s="402"/>
      <c r="IR21" s="402"/>
    </row>
    <row r="22" spans="1:255" s="207" customFormat="1" ht="13.2">
      <c r="A22" s="333" t="s">
        <v>228</v>
      </c>
      <c r="C22" s="334">
        <f>C18</f>
        <v>-856.50417067996966</v>
      </c>
      <c r="D22" s="334">
        <f t="shared" ref="D22:R22" si="5">D18</f>
        <v>-1946.0751254045824</v>
      </c>
      <c r="E22" s="334">
        <f t="shared" si="5"/>
        <v>-1492.6274422445556</v>
      </c>
      <c r="F22" s="334">
        <f t="shared" si="5"/>
        <v>-1070.0409712492062</v>
      </c>
      <c r="G22" s="334">
        <f t="shared" si="5"/>
        <v>-671.24816260900661</v>
      </c>
      <c r="H22" s="334">
        <f t="shared" si="5"/>
        <v>-191.52201570406027</v>
      </c>
      <c r="I22" s="334">
        <f t="shared" si="5"/>
        <v>156.70625514690872</v>
      </c>
      <c r="J22" s="334">
        <f t="shared" si="5"/>
        <v>289.50443181029385</v>
      </c>
      <c r="K22" s="334">
        <f t="shared" si="5"/>
        <v>427.07143005341192</v>
      </c>
      <c r="L22" s="334">
        <f t="shared" si="5"/>
        <v>580.32949421191495</v>
      </c>
      <c r="M22" s="334">
        <f t="shared" si="5"/>
        <v>735.26595603168573</v>
      </c>
      <c r="N22" s="334">
        <f t="shared" si="5"/>
        <v>907.1610052055363</v>
      </c>
      <c r="O22" s="334">
        <f t="shared" si="5"/>
        <v>1082.0675949378415</v>
      </c>
      <c r="P22" s="334">
        <f t="shared" si="5"/>
        <v>1275.3355317289358</v>
      </c>
      <c r="Q22" s="334">
        <f t="shared" si="5"/>
        <v>1472.5241017040566</v>
      </c>
      <c r="R22" s="334">
        <f t="shared" si="5"/>
        <v>4803.7588191215073</v>
      </c>
    </row>
    <row r="23" spans="1:255" s="222" customFormat="1" ht="15">
      <c r="A23" s="333" t="s">
        <v>224</v>
      </c>
      <c r="B23" s="109"/>
      <c r="C23" s="401">
        <f>C15</f>
        <v>-156.20136851306435</v>
      </c>
      <c r="D23" s="401">
        <f t="shared" ref="D23:R23" si="6">D15</f>
        <v>-354.90731770296333</v>
      </c>
      <c r="E23" s="401">
        <f t="shared" si="6"/>
        <v>-272.21169159475181</v>
      </c>
      <c r="F23" s="401">
        <f t="shared" si="6"/>
        <v>-195.1442500758431</v>
      </c>
      <c r="G23" s="401">
        <f t="shared" si="6"/>
        <v>-122.41607828735683</v>
      </c>
      <c r="H23" s="401">
        <f t="shared" si="6"/>
        <v>-34.928027180071787</v>
      </c>
      <c r="I23" s="401">
        <f t="shared" si="6"/>
        <v>28.57864835505934</v>
      </c>
      <c r="J23" s="401">
        <f t="shared" si="6"/>
        <v>52.797160816466963</v>
      </c>
      <c r="K23" s="401">
        <f t="shared" si="6"/>
        <v>77.885367182993065</v>
      </c>
      <c r="L23" s="401">
        <f t="shared" si="6"/>
        <v>105.83516611767445</v>
      </c>
      <c r="M23" s="401">
        <f t="shared" si="6"/>
        <v>134.09105581124967</v>
      </c>
      <c r="N23" s="401">
        <f t="shared" si="6"/>
        <v>165.43969699797017</v>
      </c>
      <c r="O23" s="401">
        <f t="shared" si="6"/>
        <v>197.33755530781303</v>
      </c>
      <c r="P23" s="401">
        <f t="shared" si="6"/>
        <v>232.58398754934998</v>
      </c>
      <c r="Q23" s="401">
        <f t="shared" si="6"/>
        <v>268.54542888219873</v>
      </c>
      <c r="R23" s="401">
        <f t="shared" si="6"/>
        <v>876.06543813766098</v>
      </c>
      <c r="S23" s="401"/>
      <c r="T23" s="401"/>
      <c r="U23" s="401"/>
      <c r="V23" s="401"/>
      <c r="W23" s="401"/>
      <c r="X23" s="401"/>
      <c r="Y23" s="401"/>
      <c r="Z23" s="401"/>
      <c r="AA23" s="401"/>
      <c r="AB23" s="109"/>
      <c r="AC23" s="109"/>
      <c r="AD23" s="402"/>
      <c r="AE23" s="402"/>
      <c r="AF23" s="402"/>
      <c r="AG23" s="402"/>
      <c r="AH23" s="402"/>
      <c r="AI23" s="402"/>
      <c r="AJ23" s="402"/>
      <c r="AK23" s="402"/>
      <c r="AL23" s="402"/>
      <c r="AM23" s="402"/>
      <c r="AN23" s="402"/>
      <c r="AO23" s="402"/>
      <c r="AP23" s="402"/>
      <c r="AQ23" s="402"/>
      <c r="AR23" s="402"/>
      <c r="AS23" s="402"/>
      <c r="AT23" s="402"/>
      <c r="AU23" s="402"/>
      <c r="AV23" s="402"/>
      <c r="AW23" s="402"/>
      <c r="AX23" s="402"/>
      <c r="AY23" s="402"/>
      <c r="AZ23" s="402"/>
      <c r="BA23" s="402"/>
      <c r="BB23" s="402"/>
      <c r="BC23" s="402"/>
      <c r="BD23" s="402"/>
      <c r="BE23" s="402"/>
      <c r="BF23" s="402"/>
      <c r="BG23" s="402"/>
      <c r="BH23" s="402"/>
      <c r="BI23" s="402"/>
      <c r="BJ23" s="402"/>
      <c r="BK23" s="402"/>
      <c r="BL23" s="402"/>
      <c r="BM23" s="402"/>
      <c r="BN23" s="402"/>
      <c r="BO23" s="402"/>
      <c r="BP23" s="402"/>
      <c r="BQ23" s="402"/>
      <c r="BR23" s="402"/>
      <c r="BS23" s="402"/>
      <c r="BT23" s="402"/>
      <c r="BU23" s="402"/>
      <c r="BV23" s="402"/>
      <c r="BW23" s="402"/>
      <c r="BX23" s="402"/>
      <c r="BY23" s="402"/>
      <c r="BZ23" s="402"/>
      <c r="CA23" s="402"/>
      <c r="CB23" s="402"/>
      <c r="CC23" s="402"/>
      <c r="CD23" s="402"/>
      <c r="CE23" s="402"/>
      <c r="CF23" s="402"/>
      <c r="CG23" s="402"/>
      <c r="CH23" s="402"/>
      <c r="CI23" s="402"/>
      <c r="CJ23" s="402"/>
      <c r="CK23" s="402"/>
      <c r="CL23" s="402"/>
      <c r="CM23" s="402"/>
      <c r="CN23" s="402"/>
      <c r="CO23" s="402"/>
      <c r="CP23" s="402"/>
      <c r="CQ23" s="402"/>
      <c r="CR23" s="402"/>
      <c r="CS23" s="402"/>
      <c r="CT23" s="402"/>
      <c r="CU23" s="402"/>
      <c r="CV23" s="402"/>
      <c r="CW23" s="402"/>
      <c r="CX23" s="402"/>
      <c r="CY23" s="402"/>
      <c r="CZ23" s="402"/>
      <c r="DA23" s="402"/>
      <c r="DB23" s="402"/>
      <c r="DC23" s="402"/>
      <c r="DD23" s="402"/>
      <c r="DE23" s="402"/>
      <c r="DF23" s="402"/>
      <c r="DG23" s="402"/>
      <c r="DH23" s="402"/>
      <c r="DI23" s="402"/>
      <c r="DJ23" s="402"/>
      <c r="DK23" s="402"/>
      <c r="DL23" s="402"/>
      <c r="DM23" s="402"/>
      <c r="DN23" s="402"/>
      <c r="DO23" s="402"/>
      <c r="DP23" s="402"/>
      <c r="DQ23" s="402"/>
      <c r="DR23" s="402"/>
      <c r="DS23" s="402"/>
      <c r="DT23" s="402"/>
      <c r="DU23" s="402"/>
      <c r="DV23" s="402"/>
      <c r="DW23" s="402"/>
      <c r="DX23" s="402"/>
      <c r="DY23" s="402"/>
      <c r="DZ23" s="402"/>
      <c r="EA23" s="402"/>
      <c r="EB23" s="402"/>
      <c r="EC23" s="402"/>
      <c r="ED23" s="402"/>
      <c r="EE23" s="402"/>
      <c r="EF23" s="402"/>
      <c r="EG23" s="402"/>
      <c r="EH23" s="402"/>
      <c r="EI23" s="402"/>
      <c r="EJ23" s="402"/>
      <c r="EK23" s="402"/>
      <c r="EL23" s="402"/>
      <c r="EM23" s="402"/>
      <c r="EN23" s="402"/>
      <c r="EO23" s="402"/>
      <c r="EP23" s="402"/>
      <c r="EQ23" s="402"/>
      <c r="ER23" s="402"/>
      <c r="ES23" s="402"/>
      <c r="ET23" s="402"/>
      <c r="EU23" s="402"/>
      <c r="EV23" s="402"/>
      <c r="EW23" s="402"/>
      <c r="EX23" s="402"/>
      <c r="EY23" s="402"/>
      <c r="EZ23" s="402"/>
      <c r="FA23" s="402"/>
      <c r="FB23" s="402"/>
      <c r="FC23" s="402"/>
      <c r="FD23" s="402"/>
      <c r="FE23" s="402"/>
      <c r="FF23" s="402"/>
      <c r="FG23" s="402"/>
      <c r="FH23" s="402"/>
      <c r="FI23" s="402"/>
      <c r="FJ23" s="402"/>
      <c r="FK23" s="402"/>
      <c r="FL23" s="402"/>
      <c r="FM23" s="402"/>
      <c r="FN23" s="402"/>
      <c r="FO23" s="402"/>
      <c r="FP23" s="402"/>
      <c r="FQ23" s="402"/>
      <c r="FR23" s="402"/>
      <c r="FS23" s="402"/>
      <c r="FT23" s="402"/>
      <c r="FU23" s="402"/>
      <c r="FV23" s="402"/>
      <c r="FW23" s="402"/>
      <c r="FX23" s="402"/>
      <c r="FY23" s="402"/>
      <c r="FZ23" s="402"/>
      <c r="GA23" s="402"/>
      <c r="GB23" s="402"/>
      <c r="GC23" s="402"/>
      <c r="GD23" s="402"/>
      <c r="GE23" s="402"/>
      <c r="GF23" s="402"/>
      <c r="GG23" s="402"/>
      <c r="GH23" s="402"/>
      <c r="GI23" s="402"/>
      <c r="GJ23" s="402"/>
      <c r="GK23" s="402"/>
      <c r="GL23" s="402"/>
      <c r="GM23" s="402"/>
      <c r="GN23" s="402"/>
      <c r="GO23" s="402"/>
      <c r="GP23" s="402"/>
      <c r="GQ23" s="402"/>
      <c r="GR23" s="402"/>
      <c r="GS23" s="402"/>
      <c r="GT23" s="402"/>
      <c r="GU23" s="402"/>
      <c r="GV23" s="402"/>
      <c r="GW23" s="402"/>
      <c r="GX23" s="402"/>
      <c r="GY23" s="402"/>
      <c r="GZ23" s="402"/>
      <c r="HA23" s="402"/>
      <c r="HB23" s="402"/>
      <c r="HC23" s="402"/>
      <c r="HD23" s="402"/>
      <c r="HE23" s="402"/>
      <c r="HF23" s="402"/>
      <c r="HG23" s="402"/>
      <c r="HH23" s="402"/>
      <c r="HI23" s="402"/>
      <c r="HJ23" s="402"/>
      <c r="HK23" s="402"/>
      <c r="HL23" s="402"/>
      <c r="HM23" s="402"/>
      <c r="HN23" s="402"/>
      <c r="HO23" s="402"/>
      <c r="HP23" s="402"/>
      <c r="HQ23" s="402"/>
      <c r="HR23" s="402"/>
      <c r="HS23" s="402"/>
      <c r="HT23" s="402"/>
      <c r="HU23" s="402"/>
      <c r="HV23" s="402"/>
      <c r="HW23" s="402"/>
      <c r="HX23" s="402"/>
      <c r="HY23" s="402"/>
      <c r="HZ23" s="402"/>
      <c r="IA23" s="402"/>
      <c r="IB23" s="402"/>
      <c r="IC23" s="402"/>
      <c r="ID23" s="402"/>
      <c r="IE23" s="402"/>
      <c r="IF23" s="402"/>
      <c r="IG23" s="402"/>
      <c r="IH23" s="402"/>
      <c r="II23" s="402"/>
      <c r="IJ23" s="402"/>
      <c r="IK23" s="402"/>
      <c r="IL23" s="402"/>
      <c r="IM23" s="402"/>
      <c r="IN23" s="402"/>
      <c r="IO23" s="402"/>
      <c r="IP23" s="402"/>
      <c r="IQ23" s="402"/>
      <c r="IR23" s="402"/>
      <c r="IS23" s="402"/>
      <c r="IT23" s="402"/>
      <c r="IU23" s="402"/>
    </row>
    <row r="24" spans="1:255" s="334" customFormat="1" ht="13.2">
      <c r="A24" s="333" t="s">
        <v>231</v>
      </c>
      <c r="C24" s="334">
        <f t="shared" ref="C24:R24" si="7">C15+C22</f>
        <v>-1012.705539193034</v>
      </c>
      <c r="D24" s="334">
        <f t="shared" si="7"/>
        <v>-2300.9824431075458</v>
      </c>
      <c r="E24" s="334">
        <f t="shared" si="7"/>
        <v>-1764.8391338393074</v>
      </c>
      <c r="F24" s="334">
        <f t="shared" si="7"/>
        <v>-1265.1852213250493</v>
      </c>
      <c r="G24" s="334">
        <f t="shared" si="7"/>
        <v>-793.66424089636348</v>
      </c>
      <c r="H24" s="334">
        <f t="shared" si="7"/>
        <v>-226.45004288413205</v>
      </c>
      <c r="I24" s="334">
        <f t="shared" si="7"/>
        <v>185.28490350196805</v>
      </c>
      <c r="J24" s="334">
        <f t="shared" si="7"/>
        <v>342.30159262676079</v>
      </c>
      <c r="K24" s="334">
        <f t="shared" si="7"/>
        <v>504.95679723640501</v>
      </c>
      <c r="L24" s="334">
        <f t="shared" si="7"/>
        <v>686.16466032958942</v>
      </c>
      <c r="M24" s="334">
        <f t="shared" si="7"/>
        <v>869.35701184293544</v>
      </c>
      <c r="N24" s="334">
        <f t="shared" si="7"/>
        <v>1072.6007022035064</v>
      </c>
      <c r="O24" s="334">
        <f t="shared" si="7"/>
        <v>1279.4051502456546</v>
      </c>
      <c r="P24" s="334">
        <f t="shared" si="7"/>
        <v>1507.9195192782859</v>
      </c>
      <c r="Q24" s="334">
        <f t="shared" si="7"/>
        <v>1741.0695305862555</v>
      </c>
      <c r="R24" s="334">
        <f t="shared" si="7"/>
        <v>5679.824257259168</v>
      </c>
    </row>
    <row r="25" spans="1:255" s="334" customFormat="1" ht="13.2"/>
    <row r="26" spans="1:255" s="334" customFormat="1" ht="13.2">
      <c r="A26" s="333" t="s">
        <v>230</v>
      </c>
      <c r="C26" s="334">
        <f>IF(C3&gt;'Project Assumptions'!$I$15,0,IF(B26-B27+IF(C24&lt;0,-1*C24,0)&gt;0,B26-B27+IF(C24&lt;0,-1*C24,0),0))</f>
        <v>1012.705539193034</v>
      </c>
      <c r="D26" s="334">
        <f>IF(D3&gt;'Project Assumptions'!$I$15,0,IF(C26-C27+IF(D24&lt;0,-1*D24,0)&gt;0,C26-C27+IF(D24&lt;0,-1*D24,0),0))</f>
        <v>3313.6879823005797</v>
      </c>
      <c r="E26" s="334">
        <f>IF(E3&gt;'Project Assumptions'!$I$15,0,IF(D26-D27+IF(E24&lt;0,-1*E24,0)&gt;0,D26-D27+IF(E24&lt;0,-1*E24,0),0))</f>
        <v>5078.5271161398869</v>
      </c>
      <c r="F26" s="334">
        <f>IF(F3&gt;'Project Assumptions'!$I$15,0,IF(E26-E27+IF(F24&lt;0,-1*F24,0)&gt;0,E26-E27+IF(F24&lt;0,-1*F24,0),0))</f>
        <v>6343.7123374649364</v>
      </c>
      <c r="G26" s="334">
        <f>IF(G3&gt;'Project Assumptions'!$I$15,0,IF(F26-F27+IF(G24&lt;0,-1*G24,0)&gt;0,F26-F27+IF(G24&lt;0,-1*G24,0),0))</f>
        <v>7137.3765783612998</v>
      </c>
      <c r="H26" s="334">
        <f>IF(H3&gt;'Project Assumptions'!$I$15,0,IF(G26-G27+IF(H24&lt;0,-1*H24,0)&gt;0,G26-G27+IF(H24&lt;0,-1*H24,0),0))</f>
        <v>7363.8266212454319</v>
      </c>
      <c r="I26" s="334">
        <f>IF(I3&gt;'Project Assumptions'!$I$15,0,IF(H26-H27+IF(I24&lt;0,-1*I24,0)&gt;0,H26-H27+IF(I24&lt;0,-1*I24,0),0))</f>
        <v>7363.8266212454319</v>
      </c>
      <c r="J26" s="334">
        <f>IF(J3&gt;'Project Assumptions'!$I$15,0,IF(I26-I27+IF(J24&lt;0,-1*J24,0)&gt;0,I26-I27+IF(J24&lt;0,-1*J24,0),0))</f>
        <v>7178.5417177434638</v>
      </c>
      <c r="K26" s="334">
        <f>IF(K3&gt;'Project Assumptions'!$I$15,0,IF(J26-J27+IF(K24&lt;0,-1*K24,0)&gt;0,J26-J27+IF(K24&lt;0,-1*K24,0),0))</f>
        <v>6836.240125116703</v>
      </c>
      <c r="L26" s="334">
        <f>IF(L3&gt;'Project Assumptions'!$I$15,0,IF(K26-K27+IF(L24&lt;0,-1*L24,0)&gt;0,K26-K27+IF(L24&lt;0,-1*L24,0),0))</f>
        <v>6331.2833278802982</v>
      </c>
      <c r="M26" s="334">
        <f>IF(M3&gt;'Project Assumptions'!$I$15,0,IF(L26-L27+IF(M24&lt;0,-1*M24,0)&gt;0,L26-L27+IF(M24&lt;0,-1*M24,0),0))</f>
        <v>5645.1186675507088</v>
      </c>
      <c r="N26" s="334">
        <f>IF(N3&gt;'Project Assumptions'!$I$15,0,IF(M26-M27+IF(N24&lt;0,-1*N24,0)&gt;0,M26-M27+IF(N24&lt;0,-1*N24,0),0))</f>
        <v>4775.7616557077736</v>
      </c>
      <c r="O26" s="334">
        <f>IF(O3&gt;'Project Assumptions'!$I$15,0,IF(N26-N27+IF(O24&lt;0,-1*O24,0)&gt;0,N26-N27+IF(O24&lt;0,-1*O24,0),0))</f>
        <v>3703.1609535042671</v>
      </c>
      <c r="P26" s="334">
        <f>IF(P3&gt;'Project Assumptions'!$I$15,0,IF(O26-O27+IF(P24&lt;0,-1*P24,0)&gt;0,O26-O27+IF(P24&lt;0,-1*P24,0),0))</f>
        <v>2423.7558032586126</v>
      </c>
      <c r="Q26" s="334">
        <f>IF(Q3&gt;'Project Assumptions'!$I$15,0,IF(P26-P27+IF(Q24&lt;0,-1*Q24,0)&gt;0,P26-P27+IF(Q24&lt;0,-1*Q24,0),0))</f>
        <v>915.8362839803267</v>
      </c>
      <c r="R26" s="334">
        <f>IF(R3&gt;'Project Assumptions'!$I$15,0,IF(Q26-Q27+IF(R24&lt;0,-1*R24,0)&gt;0,Q26-Q27+IF(R24&lt;0,-1*R24,0),0))</f>
        <v>0</v>
      </c>
    </row>
    <row r="27" spans="1:255" s="334" customFormat="1" ht="13.2">
      <c r="A27" s="333" t="s">
        <v>52</v>
      </c>
      <c r="C27" s="334">
        <f>IF('Project Assumptions'!$C$75="No",0,IF(C3&lt;='Project Assumptions'!$C$76,IF(C24&lt;0,0,IF(C26&gt;C24,C24,C26)),0))</f>
        <v>0</v>
      </c>
      <c r="D27" s="334">
        <f>IF('Project Assumptions'!$C$75="No",0,IF(D3&lt;='Project Assumptions'!$C$76,IF(D24&lt;0,0,IF(D26&gt;D24,D24,D26)),0))</f>
        <v>0</v>
      </c>
      <c r="E27" s="334">
        <f>IF('Project Assumptions'!$C$75="No",0,IF(E3&lt;='Project Assumptions'!$C$76,IF(E24&lt;0,0,IF(E26&gt;E24,E24,E26)),0))</f>
        <v>0</v>
      </c>
      <c r="F27" s="334">
        <f>IF('Project Assumptions'!$C$75="No",0,IF(F3&lt;='Project Assumptions'!$C$76,IF(F24&lt;0,0,IF(F26&gt;F24,F24,F26)),0))</f>
        <v>0</v>
      </c>
      <c r="G27" s="334">
        <f>IF('Project Assumptions'!$C$75="No",0,IF(G3&lt;='Project Assumptions'!$C$76,IF(G24&lt;0,0,IF(G26&gt;G24,G24,G26)),0))</f>
        <v>0</v>
      </c>
      <c r="H27" s="334">
        <f>IF('Project Assumptions'!$C$75="No",0,IF(H3&lt;='Project Assumptions'!$C$76,IF(H24&lt;0,0,IF(H26&gt;H24,H24,H26)),0))</f>
        <v>0</v>
      </c>
      <c r="I27" s="334">
        <f>IF('Project Assumptions'!$C$75="No",0,IF(I3&lt;='Project Assumptions'!$C$76,IF(I24&lt;0,0,IF(I26&gt;I24,I24,I26)),0))</f>
        <v>185.28490350196805</v>
      </c>
      <c r="J27" s="334">
        <f>IF('Project Assumptions'!$C$75="No",0,IF(J3&lt;='Project Assumptions'!$C$76,IF(J24&lt;0,0,IF(J26&gt;J24,J24,J26)),0))</f>
        <v>342.30159262676079</v>
      </c>
      <c r="K27" s="334">
        <f>IF('Project Assumptions'!$C$75="No",0,IF(K3&lt;='Project Assumptions'!$C$76,IF(K24&lt;0,0,IF(K26&gt;K24,K24,K26)),0))</f>
        <v>504.95679723640501</v>
      </c>
      <c r="L27" s="334">
        <f>IF('Project Assumptions'!$C$75="No",0,IF(L3&lt;='Project Assumptions'!$C$76,IF(L24&lt;0,0,IF(L26&gt;L24,L24,L26)),0))</f>
        <v>686.16466032958942</v>
      </c>
      <c r="M27" s="334">
        <f>IF('Project Assumptions'!$C$75="No",0,IF(M3&lt;='Project Assumptions'!$C$76,IF(M24&lt;0,0,IF(M26&gt;M24,M24,M26)),0))</f>
        <v>869.35701184293544</v>
      </c>
      <c r="N27" s="334">
        <f>IF('Project Assumptions'!$C$75="No",0,IF(N3&lt;='Project Assumptions'!$C$76,IF(N24&lt;0,0,IF(N26&gt;N24,N24,N26)),0))</f>
        <v>1072.6007022035064</v>
      </c>
      <c r="O27" s="334">
        <f>IF('Project Assumptions'!$C$75="No",0,IF(O3&lt;='Project Assumptions'!$C$76,IF(O24&lt;0,0,IF(O26&gt;O24,O24,O26)),0))</f>
        <v>1279.4051502456546</v>
      </c>
      <c r="P27" s="334">
        <f>IF('Project Assumptions'!$C$75="No",0,IF(P3&lt;='Project Assumptions'!$C$76,IF(P24&lt;0,0,IF(P26&gt;P24,P24,P26)),0))</f>
        <v>1507.9195192782859</v>
      </c>
      <c r="Q27" s="334">
        <f>IF('Project Assumptions'!$C$75="No",0,IF(Q3&lt;='Project Assumptions'!$C$76,IF(Q24&lt;0,0,IF(Q26&gt;Q24,Q24,Q26)),0))</f>
        <v>915.8362839803267</v>
      </c>
      <c r="R27" s="334">
        <f>IF('Project Assumptions'!$C$75="No",0,IF(R3&lt;='Project Assumptions'!$C$76,IF(R24&lt;0,0,IF(R26&gt;R24,R24,R26)),0))</f>
        <v>0</v>
      </c>
    </row>
    <row r="28" spans="1:255" s="334" customFormat="1" ht="13.2"/>
    <row r="29" spans="1:255" s="334" customFormat="1" ht="13.2">
      <c r="A29" s="333" t="s">
        <v>118</v>
      </c>
      <c r="C29" s="334">
        <f>IF(AND('Project Assumptions'!$C$75="No",C24&lt;0),C24,IF(AND('Project Assumptions'!$C$75="No",C24&gt;0),C24,IF(C24&lt;0,0,(C24-C27))))</f>
        <v>0</v>
      </c>
      <c r="D29" s="334">
        <f>IF(AND('Project Assumptions'!$C$75="No",D24&lt;0),D24,IF(AND('Project Assumptions'!$C$75="No",D24&gt;0),D24,IF(D24&lt;0,0,(D24-D27))))</f>
        <v>0</v>
      </c>
      <c r="E29" s="334">
        <f>IF(AND('Project Assumptions'!$C$75="No",E24&lt;0),E24,IF(AND('Project Assumptions'!$C$75="No",E24&gt;0),E24,IF(E24&lt;0,0,(E24-E27))))</f>
        <v>0</v>
      </c>
      <c r="F29" s="334">
        <f>IF(AND('Project Assumptions'!$C$75="No",F24&lt;0),F24,IF(AND('Project Assumptions'!$C$75="No",F24&gt;0),F24,IF(F24&lt;0,0,(F24-F27))))</f>
        <v>0</v>
      </c>
      <c r="G29" s="334">
        <f>IF(AND('Project Assumptions'!$C$75="No",G24&lt;0),G24,IF(AND('Project Assumptions'!$C$75="No",G24&gt;0),G24,IF(G24&lt;0,0,(G24-G27))))</f>
        <v>0</v>
      </c>
      <c r="H29" s="334">
        <f>IF(AND('Project Assumptions'!$C$75="No",H24&lt;0),H24,IF(AND('Project Assumptions'!$C$75="No",H24&gt;0),H24,IF(H24&lt;0,0,(H24-H27))))</f>
        <v>0</v>
      </c>
      <c r="I29" s="334">
        <f>IF(AND('Project Assumptions'!$C$75="No",I24&lt;0),I24,IF(AND('Project Assumptions'!$C$75="No",I24&gt;0),I24,IF(I24&lt;0,0,(I24-I27))))</f>
        <v>0</v>
      </c>
      <c r="J29" s="334">
        <f>IF(AND('Project Assumptions'!$C$75="No",J24&lt;0),J24,IF(AND('Project Assumptions'!$C$75="No",J24&gt;0),J24,IF(J24&lt;0,0,(J24-J27))))</f>
        <v>0</v>
      </c>
      <c r="K29" s="334">
        <f>IF(AND('Project Assumptions'!$C$75="No",K24&lt;0),K24,IF(AND('Project Assumptions'!$C$75="No",K24&gt;0),K24,IF(K24&lt;0,0,(K24-K27))))</f>
        <v>0</v>
      </c>
      <c r="L29" s="334">
        <f>IF(AND('Project Assumptions'!$C$75="No",L24&lt;0),L24,IF(AND('Project Assumptions'!$C$75="No",L24&gt;0),L24,IF(L24&lt;0,0,(L24-L27))))</f>
        <v>0</v>
      </c>
      <c r="M29" s="334">
        <f>IF(AND('Project Assumptions'!$C$75="No",M24&lt;0),M24,IF(AND('Project Assumptions'!$C$75="No",M24&gt;0),M24,IF(M24&lt;0,0,(M24-M27))))</f>
        <v>0</v>
      </c>
      <c r="N29" s="334">
        <f>IF(AND('Project Assumptions'!$C$75="No",N24&lt;0),N24,IF(AND('Project Assumptions'!$C$75="No",N24&gt;0),N24,IF(N24&lt;0,0,(N24-N27))))</f>
        <v>0</v>
      </c>
      <c r="O29" s="334">
        <f>IF(AND('Project Assumptions'!$C$75="No",O24&lt;0),O24,IF(AND('Project Assumptions'!$C$75="No",O24&gt;0),O24,IF(O24&lt;0,0,(O24-O27))))</f>
        <v>0</v>
      </c>
      <c r="P29" s="334">
        <f>IF(AND('Project Assumptions'!$C$75="No",P24&lt;0),P24,IF(AND('Project Assumptions'!$C$75="No",P24&gt;0),P24,IF(P24&lt;0,0,(P24-P27))))</f>
        <v>0</v>
      </c>
      <c r="Q29" s="334">
        <f>IF(AND('Project Assumptions'!$C$75="No",Q24&lt;0),Q24,IF(AND('Project Assumptions'!$C$75="No",Q24&gt;0),Q24,IF(Q24&lt;0,0,(Q24-Q27))))</f>
        <v>825.2332466059288</v>
      </c>
      <c r="R29" s="334">
        <f>IF(AND('Project Assumptions'!$C$75="No",R24&lt;0),R24,IF(AND('Project Assumptions'!$C$75="No",R24&gt;0),R24,IF(R24&lt;0,0,(R24-R27))))</f>
        <v>5679.824257259168</v>
      </c>
    </row>
    <row r="30" spans="1:255" s="334" customFormat="1" ht="13.2">
      <c r="A30" s="333"/>
    </row>
    <row r="31" spans="1:255" s="334" customFormat="1" ht="12" customHeight="1"/>
    <row r="32" spans="1:255" s="334" customFormat="1" ht="12" customHeight="1">
      <c r="A32" s="398"/>
    </row>
    <row r="33" spans="1:255" s="334" customFormat="1" ht="13.2">
      <c r="A33" s="333"/>
    </row>
    <row r="34" spans="1:255" s="222" customFormat="1" ht="12" customHeight="1">
      <c r="A34" s="333"/>
      <c r="B34" s="109"/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  <c r="N34" s="401"/>
      <c r="O34" s="401"/>
      <c r="P34" s="401"/>
      <c r="Q34" s="401"/>
      <c r="R34" s="401"/>
      <c r="S34" s="401"/>
      <c r="T34" s="401"/>
      <c r="U34" s="401"/>
      <c r="V34" s="401"/>
      <c r="W34" s="401"/>
      <c r="X34" s="401"/>
      <c r="Y34" s="401"/>
      <c r="Z34" s="401"/>
      <c r="AA34" s="401"/>
      <c r="AB34" s="109"/>
      <c r="AC34" s="109"/>
      <c r="AD34" s="402"/>
      <c r="AE34" s="402"/>
      <c r="AF34" s="402"/>
      <c r="AG34" s="402"/>
      <c r="AH34" s="402"/>
      <c r="AI34" s="402"/>
      <c r="AJ34" s="402"/>
      <c r="AK34" s="402"/>
      <c r="AL34" s="402"/>
      <c r="AM34" s="402"/>
      <c r="AN34" s="402"/>
      <c r="AO34" s="402"/>
      <c r="AP34" s="402"/>
      <c r="AQ34" s="402"/>
      <c r="AR34" s="402"/>
      <c r="AS34" s="402"/>
      <c r="AT34" s="402"/>
      <c r="AU34" s="402"/>
      <c r="AV34" s="402"/>
      <c r="AW34" s="402"/>
      <c r="AX34" s="402"/>
      <c r="AY34" s="402"/>
      <c r="AZ34" s="402"/>
      <c r="BA34" s="402"/>
      <c r="BB34" s="402"/>
      <c r="BC34" s="402"/>
      <c r="BD34" s="402"/>
      <c r="BE34" s="402"/>
      <c r="BF34" s="402"/>
      <c r="BG34" s="402"/>
      <c r="BH34" s="402"/>
      <c r="BI34" s="402"/>
      <c r="BJ34" s="402"/>
      <c r="BK34" s="402"/>
      <c r="BL34" s="402"/>
      <c r="BM34" s="402"/>
      <c r="BN34" s="402"/>
      <c r="BO34" s="402"/>
      <c r="BP34" s="402"/>
      <c r="BQ34" s="402"/>
      <c r="BR34" s="402"/>
      <c r="BS34" s="402"/>
      <c r="BT34" s="402"/>
      <c r="BU34" s="402"/>
      <c r="BV34" s="402"/>
      <c r="BW34" s="402"/>
      <c r="BX34" s="402"/>
      <c r="BY34" s="402"/>
      <c r="BZ34" s="402"/>
      <c r="CA34" s="402"/>
      <c r="CB34" s="402"/>
      <c r="CC34" s="402"/>
      <c r="CD34" s="402"/>
      <c r="CE34" s="402"/>
      <c r="CF34" s="402"/>
      <c r="CG34" s="402"/>
      <c r="CH34" s="402"/>
      <c r="CI34" s="402"/>
      <c r="CJ34" s="402"/>
      <c r="CK34" s="402"/>
      <c r="CL34" s="402"/>
      <c r="CM34" s="402"/>
      <c r="CN34" s="402"/>
      <c r="CO34" s="402"/>
      <c r="CP34" s="402"/>
      <c r="CQ34" s="402"/>
      <c r="CR34" s="402"/>
      <c r="CS34" s="402"/>
      <c r="CT34" s="402"/>
      <c r="CU34" s="402"/>
      <c r="CV34" s="402"/>
      <c r="CW34" s="402"/>
      <c r="CX34" s="402"/>
      <c r="CY34" s="402"/>
      <c r="CZ34" s="402"/>
      <c r="DA34" s="402"/>
      <c r="DB34" s="402"/>
      <c r="DC34" s="402"/>
      <c r="DD34" s="402"/>
      <c r="DE34" s="402"/>
      <c r="DF34" s="402"/>
      <c r="DG34" s="402"/>
      <c r="DH34" s="402"/>
      <c r="DI34" s="402"/>
      <c r="DJ34" s="402"/>
      <c r="DK34" s="402"/>
      <c r="DL34" s="402"/>
      <c r="DM34" s="402"/>
      <c r="DN34" s="402"/>
      <c r="DO34" s="402"/>
      <c r="DP34" s="402"/>
      <c r="DQ34" s="402"/>
      <c r="DR34" s="402"/>
      <c r="DS34" s="402"/>
      <c r="DT34" s="402"/>
      <c r="DU34" s="402"/>
      <c r="DV34" s="402"/>
      <c r="DW34" s="402"/>
      <c r="DX34" s="402"/>
      <c r="DY34" s="402"/>
      <c r="DZ34" s="402"/>
      <c r="EA34" s="402"/>
      <c r="EB34" s="402"/>
      <c r="EC34" s="402"/>
      <c r="ED34" s="402"/>
      <c r="EE34" s="402"/>
      <c r="EF34" s="402"/>
      <c r="EG34" s="402"/>
      <c r="EH34" s="402"/>
      <c r="EI34" s="402"/>
      <c r="EJ34" s="402"/>
      <c r="EK34" s="402"/>
      <c r="EL34" s="402"/>
      <c r="EM34" s="402"/>
      <c r="EN34" s="402"/>
      <c r="EO34" s="402"/>
      <c r="EP34" s="402"/>
      <c r="EQ34" s="402"/>
      <c r="ER34" s="402"/>
      <c r="ES34" s="402"/>
      <c r="ET34" s="402"/>
      <c r="EU34" s="402"/>
      <c r="EV34" s="402"/>
      <c r="EW34" s="402"/>
      <c r="EX34" s="402"/>
      <c r="EY34" s="402"/>
      <c r="EZ34" s="402"/>
      <c r="FA34" s="402"/>
      <c r="FB34" s="402"/>
      <c r="FC34" s="402"/>
      <c r="FD34" s="402"/>
      <c r="FE34" s="402"/>
      <c r="FF34" s="402"/>
      <c r="FG34" s="402"/>
      <c r="FH34" s="402"/>
      <c r="FI34" s="402"/>
      <c r="FJ34" s="402"/>
      <c r="FK34" s="402"/>
      <c r="FL34" s="402"/>
      <c r="FM34" s="402"/>
      <c r="FN34" s="402"/>
      <c r="FO34" s="402"/>
      <c r="FP34" s="402"/>
      <c r="FQ34" s="402"/>
      <c r="FR34" s="402"/>
      <c r="FS34" s="402"/>
      <c r="FT34" s="402"/>
      <c r="FU34" s="402"/>
      <c r="FV34" s="402"/>
      <c r="FW34" s="402"/>
      <c r="FX34" s="402"/>
      <c r="FY34" s="402"/>
      <c r="FZ34" s="402"/>
      <c r="GA34" s="402"/>
      <c r="GB34" s="402"/>
      <c r="GC34" s="402"/>
      <c r="GD34" s="402"/>
      <c r="GE34" s="402"/>
      <c r="GF34" s="402"/>
      <c r="GG34" s="402"/>
      <c r="GH34" s="402"/>
      <c r="GI34" s="402"/>
      <c r="GJ34" s="402"/>
      <c r="GK34" s="402"/>
      <c r="GL34" s="402"/>
      <c r="GM34" s="402"/>
      <c r="GN34" s="402"/>
      <c r="GO34" s="402"/>
      <c r="GP34" s="402"/>
      <c r="GQ34" s="402"/>
      <c r="GR34" s="402"/>
      <c r="GS34" s="402"/>
      <c r="GT34" s="402"/>
      <c r="GU34" s="402"/>
      <c r="GV34" s="402"/>
      <c r="GW34" s="402"/>
      <c r="GX34" s="402"/>
      <c r="GY34" s="402"/>
      <c r="GZ34" s="402"/>
      <c r="HA34" s="402"/>
      <c r="HB34" s="402"/>
      <c r="HC34" s="402"/>
      <c r="HD34" s="402"/>
      <c r="HE34" s="402"/>
      <c r="HF34" s="402"/>
      <c r="HG34" s="402"/>
      <c r="HH34" s="402"/>
      <c r="HI34" s="402"/>
      <c r="HJ34" s="402"/>
      <c r="HK34" s="402"/>
      <c r="HL34" s="402"/>
      <c r="HM34" s="402"/>
      <c r="HN34" s="402"/>
      <c r="HO34" s="402"/>
      <c r="HP34" s="402"/>
      <c r="HQ34" s="402"/>
      <c r="HR34" s="402"/>
      <c r="HS34" s="402"/>
      <c r="HT34" s="402"/>
      <c r="HU34" s="402"/>
      <c r="HV34" s="402"/>
      <c r="HW34" s="402"/>
      <c r="HX34" s="402"/>
      <c r="HY34" s="402"/>
      <c r="HZ34" s="402"/>
      <c r="IA34" s="402"/>
      <c r="IB34" s="402"/>
      <c r="IC34" s="402"/>
      <c r="ID34" s="402"/>
      <c r="IE34" s="402"/>
      <c r="IF34" s="402"/>
      <c r="IG34" s="402"/>
      <c r="IH34" s="402"/>
      <c r="II34" s="402"/>
      <c r="IJ34" s="402"/>
      <c r="IK34" s="402"/>
      <c r="IL34" s="402"/>
      <c r="IM34" s="402"/>
      <c r="IN34" s="402"/>
      <c r="IO34" s="402"/>
      <c r="IP34" s="402"/>
      <c r="IQ34" s="402"/>
      <c r="IR34" s="402"/>
      <c r="IS34" s="402"/>
      <c r="IT34" s="402"/>
      <c r="IU34" s="402"/>
    </row>
    <row r="35" spans="1:255" s="334" customFormat="1" ht="12" customHeight="1">
      <c r="A35" s="333"/>
    </row>
    <row r="37" spans="1:255">
      <c r="C37" s="102"/>
    </row>
    <row r="44" spans="1:255" s="30" customFormat="1" ht="12" customHeight="1">
      <c r="A44" s="14"/>
      <c r="B44" s="24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24"/>
      <c r="AC44" s="24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  <c r="CC44" s="99"/>
      <c r="CD44" s="99"/>
      <c r="CE44" s="99"/>
      <c r="CF44" s="99"/>
      <c r="CG44" s="99"/>
      <c r="CH44" s="99"/>
      <c r="CI44" s="99"/>
      <c r="CJ44" s="99"/>
      <c r="CK44" s="99"/>
      <c r="CL44" s="99"/>
      <c r="CM44" s="99"/>
      <c r="CN44" s="99"/>
      <c r="CO44" s="99"/>
      <c r="CP44" s="99"/>
      <c r="CQ44" s="99"/>
      <c r="CR44" s="99"/>
      <c r="CS44" s="99"/>
      <c r="CT44" s="99"/>
      <c r="CU44" s="99"/>
      <c r="CV44" s="99"/>
      <c r="CW44" s="99"/>
      <c r="CX44" s="99"/>
      <c r="CY44" s="99"/>
      <c r="CZ44" s="99"/>
      <c r="DA44" s="99"/>
      <c r="DB44" s="99"/>
      <c r="DC44" s="99"/>
      <c r="DD44" s="99"/>
      <c r="DE44" s="99"/>
      <c r="DF44" s="99"/>
      <c r="DG44" s="99"/>
      <c r="DH44" s="99"/>
      <c r="DI44" s="99"/>
      <c r="DJ44" s="99"/>
      <c r="DK44" s="99"/>
      <c r="DL44" s="99"/>
      <c r="DM44" s="99"/>
      <c r="DN44" s="99"/>
      <c r="DO44" s="99"/>
      <c r="DP44" s="99"/>
      <c r="DQ44" s="99"/>
      <c r="DR44" s="99"/>
      <c r="DS44" s="99"/>
      <c r="DT44" s="99"/>
      <c r="DU44" s="99"/>
      <c r="DV44" s="99"/>
      <c r="DW44" s="99"/>
      <c r="DX44" s="99"/>
      <c r="DY44" s="99"/>
      <c r="DZ44" s="99"/>
      <c r="EA44" s="99"/>
      <c r="EB44" s="99"/>
      <c r="EC44" s="99"/>
      <c r="ED44" s="99"/>
      <c r="EE44" s="99"/>
      <c r="EF44" s="99"/>
      <c r="EG44" s="99"/>
      <c r="EH44" s="99"/>
      <c r="EI44" s="99"/>
      <c r="EJ44" s="99"/>
      <c r="EK44" s="99"/>
      <c r="EL44" s="99"/>
      <c r="EM44" s="99"/>
      <c r="EN44" s="99"/>
      <c r="EO44" s="99"/>
      <c r="EP44" s="99"/>
      <c r="EQ44" s="99"/>
      <c r="ER44" s="99"/>
      <c r="ES44" s="99"/>
      <c r="ET44" s="99"/>
      <c r="EU44" s="99"/>
      <c r="EV44" s="99"/>
      <c r="EW44" s="99"/>
      <c r="EX44" s="99"/>
      <c r="EY44" s="99"/>
      <c r="EZ44" s="99"/>
      <c r="FA44" s="99"/>
      <c r="FB44" s="99"/>
      <c r="FC44" s="99"/>
      <c r="FD44" s="99"/>
      <c r="FE44" s="99"/>
      <c r="FF44" s="99"/>
      <c r="FG44" s="99"/>
      <c r="FH44" s="99"/>
      <c r="FI44" s="99"/>
      <c r="FJ44" s="99"/>
      <c r="FK44" s="99"/>
      <c r="FL44" s="99"/>
      <c r="FM44" s="99"/>
      <c r="FN44" s="99"/>
      <c r="FO44" s="99"/>
      <c r="FP44" s="99"/>
      <c r="FQ44" s="99"/>
      <c r="FR44" s="99"/>
      <c r="FS44" s="99"/>
      <c r="FT44" s="99"/>
      <c r="FU44" s="99"/>
      <c r="FV44" s="99"/>
      <c r="FW44" s="99"/>
      <c r="FX44" s="99"/>
      <c r="FY44" s="99"/>
      <c r="FZ44" s="99"/>
      <c r="GA44" s="99"/>
      <c r="GB44" s="99"/>
      <c r="GC44" s="99"/>
      <c r="GD44" s="99"/>
      <c r="GE44" s="99"/>
      <c r="GF44" s="99"/>
      <c r="GG44" s="99"/>
      <c r="GH44" s="99"/>
      <c r="GI44" s="99"/>
      <c r="GJ44" s="99"/>
      <c r="GK44" s="99"/>
      <c r="GL44" s="99"/>
      <c r="GM44" s="99"/>
      <c r="GN44" s="99"/>
      <c r="GO44" s="99"/>
      <c r="GP44" s="99"/>
      <c r="GQ44" s="99"/>
      <c r="GR44" s="99"/>
      <c r="GS44" s="99"/>
      <c r="GT44" s="99"/>
      <c r="GU44" s="99"/>
      <c r="GV44" s="99"/>
      <c r="GW44" s="99"/>
      <c r="GX44" s="99"/>
      <c r="GY44" s="99"/>
      <c r="GZ44" s="99"/>
      <c r="HA44" s="99"/>
      <c r="HB44" s="99"/>
      <c r="HC44" s="99"/>
      <c r="HD44" s="99"/>
      <c r="HE44" s="99"/>
      <c r="HF44" s="99"/>
      <c r="HG44" s="99"/>
      <c r="HH44" s="99"/>
      <c r="HI44" s="99"/>
      <c r="HJ44" s="99"/>
      <c r="HK44" s="99"/>
      <c r="HL44" s="99"/>
      <c r="HM44" s="99"/>
      <c r="HN44" s="99"/>
      <c r="HO44" s="99"/>
      <c r="HP44" s="99"/>
      <c r="HQ44" s="99"/>
      <c r="HR44" s="99"/>
      <c r="HS44" s="99"/>
      <c r="HT44" s="99"/>
      <c r="HU44" s="99"/>
      <c r="HV44" s="99"/>
      <c r="HW44" s="99"/>
      <c r="HX44" s="99"/>
      <c r="HY44" s="99"/>
      <c r="HZ44" s="99"/>
      <c r="IA44" s="99"/>
      <c r="IB44" s="99"/>
      <c r="IC44" s="99"/>
      <c r="ID44" s="99"/>
      <c r="IE44" s="99"/>
      <c r="IF44" s="99"/>
      <c r="IG44" s="99"/>
      <c r="IH44" s="99"/>
      <c r="II44" s="99"/>
      <c r="IJ44" s="99"/>
      <c r="IK44" s="99"/>
      <c r="IL44" s="99"/>
      <c r="IM44" s="99"/>
      <c r="IN44" s="99"/>
      <c r="IO44" s="99"/>
      <c r="IP44" s="99"/>
      <c r="IQ44" s="99"/>
      <c r="IR44" s="99"/>
      <c r="IS44" s="99"/>
      <c r="IT44" s="99"/>
      <c r="IU44" s="99"/>
    </row>
    <row r="45" spans="1:255" s="30" customFormat="1" ht="12" customHeight="1">
      <c r="A45" s="14"/>
      <c r="B45" s="24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24"/>
      <c r="AC45" s="24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  <c r="CC45" s="99"/>
      <c r="CD45" s="99"/>
      <c r="CE45" s="99"/>
      <c r="CF45" s="99"/>
      <c r="CG45" s="99"/>
      <c r="CH45" s="99"/>
      <c r="CI45" s="99"/>
      <c r="CJ45" s="99"/>
      <c r="CK45" s="99"/>
      <c r="CL45" s="99"/>
      <c r="CM45" s="99"/>
      <c r="CN45" s="99"/>
      <c r="CO45" s="99"/>
      <c r="CP45" s="99"/>
      <c r="CQ45" s="99"/>
      <c r="CR45" s="99"/>
      <c r="CS45" s="99"/>
      <c r="CT45" s="99"/>
      <c r="CU45" s="99"/>
      <c r="CV45" s="99"/>
      <c r="CW45" s="99"/>
      <c r="CX45" s="99"/>
      <c r="CY45" s="99"/>
      <c r="CZ45" s="99"/>
      <c r="DA45" s="99"/>
      <c r="DB45" s="99"/>
      <c r="DC45" s="99"/>
      <c r="DD45" s="99"/>
      <c r="DE45" s="99"/>
      <c r="DF45" s="99"/>
      <c r="DG45" s="99"/>
      <c r="DH45" s="99"/>
      <c r="DI45" s="99"/>
      <c r="DJ45" s="99"/>
      <c r="DK45" s="99"/>
      <c r="DL45" s="99"/>
      <c r="DM45" s="99"/>
      <c r="DN45" s="99"/>
      <c r="DO45" s="99"/>
      <c r="DP45" s="99"/>
      <c r="DQ45" s="99"/>
      <c r="DR45" s="99"/>
      <c r="DS45" s="99"/>
      <c r="DT45" s="99"/>
      <c r="DU45" s="99"/>
      <c r="DV45" s="99"/>
      <c r="DW45" s="99"/>
      <c r="DX45" s="99"/>
      <c r="DY45" s="99"/>
      <c r="DZ45" s="99"/>
      <c r="EA45" s="99"/>
      <c r="EB45" s="99"/>
      <c r="EC45" s="99"/>
      <c r="ED45" s="99"/>
      <c r="EE45" s="99"/>
      <c r="EF45" s="99"/>
      <c r="EG45" s="99"/>
      <c r="EH45" s="99"/>
      <c r="EI45" s="99"/>
      <c r="EJ45" s="99"/>
      <c r="EK45" s="99"/>
      <c r="EL45" s="99"/>
      <c r="EM45" s="99"/>
      <c r="EN45" s="99"/>
      <c r="EO45" s="99"/>
      <c r="EP45" s="99"/>
      <c r="EQ45" s="99"/>
      <c r="ER45" s="99"/>
      <c r="ES45" s="99"/>
      <c r="ET45" s="99"/>
      <c r="EU45" s="99"/>
      <c r="EV45" s="99"/>
      <c r="EW45" s="99"/>
      <c r="EX45" s="99"/>
      <c r="EY45" s="99"/>
      <c r="EZ45" s="99"/>
      <c r="FA45" s="99"/>
      <c r="FB45" s="99"/>
      <c r="FC45" s="99"/>
      <c r="FD45" s="99"/>
      <c r="FE45" s="99"/>
      <c r="FF45" s="99"/>
      <c r="FG45" s="99"/>
      <c r="FH45" s="99"/>
      <c r="FI45" s="99"/>
      <c r="FJ45" s="99"/>
      <c r="FK45" s="99"/>
      <c r="FL45" s="99"/>
      <c r="FM45" s="99"/>
      <c r="FN45" s="99"/>
      <c r="FO45" s="99"/>
      <c r="FP45" s="99"/>
      <c r="FQ45" s="99"/>
      <c r="FR45" s="99"/>
      <c r="FS45" s="99"/>
      <c r="FT45" s="99"/>
      <c r="FU45" s="99"/>
      <c r="FV45" s="99"/>
      <c r="FW45" s="99"/>
      <c r="FX45" s="99"/>
      <c r="FY45" s="99"/>
      <c r="FZ45" s="99"/>
      <c r="GA45" s="99"/>
      <c r="GB45" s="99"/>
      <c r="GC45" s="99"/>
      <c r="GD45" s="99"/>
      <c r="GE45" s="99"/>
      <c r="GF45" s="99"/>
      <c r="GG45" s="99"/>
      <c r="GH45" s="99"/>
      <c r="GI45" s="99"/>
      <c r="GJ45" s="99"/>
      <c r="GK45" s="99"/>
      <c r="GL45" s="99"/>
      <c r="GM45" s="99"/>
      <c r="GN45" s="99"/>
      <c r="GO45" s="99"/>
      <c r="GP45" s="99"/>
      <c r="GQ45" s="99"/>
      <c r="GR45" s="99"/>
      <c r="GS45" s="99"/>
      <c r="GT45" s="99"/>
      <c r="GU45" s="99"/>
      <c r="GV45" s="99"/>
      <c r="GW45" s="99"/>
      <c r="GX45" s="99"/>
      <c r="GY45" s="99"/>
      <c r="GZ45" s="99"/>
      <c r="HA45" s="99"/>
      <c r="HB45" s="99"/>
      <c r="HC45" s="99"/>
      <c r="HD45" s="99"/>
      <c r="HE45" s="99"/>
      <c r="HF45" s="99"/>
      <c r="HG45" s="99"/>
      <c r="HH45" s="99"/>
      <c r="HI45" s="99"/>
      <c r="HJ45" s="99"/>
      <c r="HK45" s="99"/>
      <c r="HL45" s="99"/>
      <c r="HM45" s="99"/>
      <c r="HN45" s="99"/>
      <c r="HO45" s="99"/>
      <c r="HP45" s="99"/>
      <c r="HQ45" s="99"/>
      <c r="HR45" s="99"/>
      <c r="HS45" s="99"/>
      <c r="HT45" s="99"/>
      <c r="HU45" s="99"/>
      <c r="HV45" s="99"/>
      <c r="HW45" s="99"/>
      <c r="HX45" s="99"/>
      <c r="HY45" s="99"/>
      <c r="HZ45" s="99"/>
      <c r="IA45" s="99"/>
      <c r="IB45" s="99"/>
      <c r="IC45" s="99"/>
      <c r="ID45" s="99"/>
      <c r="IE45" s="99"/>
      <c r="IF45" s="99"/>
      <c r="IG45" s="99"/>
      <c r="IH45" s="99"/>
      <c r="II45" s="99"/>
      <c r="IJ45" s="99"/>
      <c r="IK45" s="99"/>
      <c r="IL45" s="99"/>
      <c r="IM45" s="99"/>
      <c r="IN45" s="99"/>
      <c r="IO45" s="99"/>
      <c r="IP45" s="99"/>
      <c r="IQ45" s="99"/>
      <c r="IR45" s="99"/>
      <c r="IS45" s="99"/>
      <c r="IT45" s="99"/>
      <c r="IU45" s="99"/>
    </row>
    <row r="46" spans="1:255" ht="12" customHeight="1">
      <c r="A46" s="199"/>
      <c r="B46" s="24"/>
      <c r="AB46" s="24"/>
      <c r="AC46" s="24"/>
    </row>
    <row r="47" spans="1:255" ht="12" customHeight="1">
      <c r="A47" s="14"/>
      <c r="B47" s="21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94"/>
      <c r="AC47" s="94"/>
    </row>
    <row r="48" spans="1:255" ht="12" customHeight="1">
      <c r="A48" s="14"/>
      <c r="B48" s="21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29"/>
      <c r="AC48" s="29"/>
    </row>
    <row r="49" spans="1:29" s="30" customFormat="1" ht="12" customHeight="1">
      <c r="B49" s="3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2"/>
      <c r="AC49" s="32"/>
    </row>
    <row r="50" spans="1:29" ht="12" customHeight="1">
      <c r="A50" s="14"/>
      <c r="B50" s="24"/>
      <c r="AB50" s="24"/>
      <c r="AC50" s="24"/>
    </row>
    <row r="51" spans="1:29" s="30" customFormat="1" ht="12" customHeight="1">
      <c r="A51" s="14"/>
      <c r="B51" s="3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2"/>
      <c r="AC51" s="32"/>
    </row>
    <row r="52" spans="1:29" ht="12" customHeight="1">
      <c r="A52" s="14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spans="1:29" s="30" customFormat="1" ht="12" customHeight="1">
      <c r="A53" s="14"/>
      <c r="B53" s="59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59"/>
      <c r="AC53" s="59"/>
    </row>
    <row r="54" spans="1:29" ht="12" customHeight="1">
      <c r="A54" s="14"/>
      <c r="B54" s="37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7"/>
      <c r="AC54" s="37"/>
    </row>
    <row r="55" spans="1:29" s="30" customFormat="1" ht="12" customHeight="1">
      <c r="A55" s="14"/>
      <c r="B55" s="32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32"/>
      <c r="AC55" s="32"/>
    </row>
    <row r="56" spans="1:29" ht="12" customHeight="1">
      <c r="A56" s="14"/>
      <c r="B56" s="38"/>
      <c r="AB56" s="24"/>
      <c r="AC56" s="24"/>
    </row>
    <row r="57" spans="1:29" s="30" customFormat="1" ht="12" customHeight="1">
      <c r="A57" s="14"/>
      <c r="B57" s="3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2"/>
      <c r="AC57" s="32"/>
    </row>
    <row r="58" spans="1:29" s="99" customFormat="1" ht="12" customHeight="1">
      <c r="A58" s="1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 spans="1:29" ht="12" customHeight="1">
      <c r="B59" s="37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7"/>
      <c r="AC59" s="37"/>
    </row>
    <row r="60" spans="1:29" ht="12" customHeight="1">
      <c r="A60" s="110"/>
      <c r="B60" s="2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94"/>
      <c r="AC60" s="94"/>
    </row>
    <row r="61" spans="1:29">
      <c r="AB61" s="24"/>
      <c r="AC61" s="24"/>
    </row>
    <row r="62" spans="1:29" ht="13.2">
      <c r="A62" s="109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 spans="1:29" ht="13.2">
      <c r="A63" s="109"/>
      <c r="B63" s="188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7" spans="1:255" s="30" customFormat="1" ht="12" customHeight="1">
      <c r="A67" s="14"/>
      <c r="B67" s="24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24"/>
      <c r="AC67" s="24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99"/>
      <c r="BD67" s="99"/>
      <c r="BE67" s="99"/>
      <c r="BF67" s="99"/>
      <c r="BG67" s="99"/>
      <c r="BH67" s="99"/>
      <c r="BI67" s="99"/>
      <c r="BJ67" s="99"/>
      <c r="BK67" s="99"/>
      <c r="BL67" s="99"/>
      <c r="BM67" s="99"/>
      <c r="BN67" s="99"/>
      <c r="BO67" s="99"/>
      <c r="BP67" s="99"/>
      <c r="BQ67" s="99"/>
      <c r="BR67" s="99"/>
      <c r="BS67" s="99"/>
      <c r="BT67" s="99"/>
      <c r="BU67" s="99"/>
      <c r="BV67" s="99"/>
      <c r="BW67" s="99"/>
      <c r="BX67" s="99"/>
      <c r="BY67" s="99"/>
      <c r="BZ67" s="99"/>
      <c r="CA67" s="99"/>
      <c r="CB67" s="99"/>
      <c r="CC67" s="99"/>
      <c r="CD67" s="99"/>
      <c r="CE67" s="99"/>
      <c r="CF67" s="99"/>
      <c r="CG67" s="99"/>
      <c r="CH67" s="99"/>
      <c r="CI67" s="99"/>
      <c r="CJ67" s="99"/>
      <c r="CK67" s="99"/>
      <c r="CL67" s="99"/>
      <c r="CM67" s="99"/>
      <c r="CN67" s="99"/>
      <c r="CO67" s="99"/>
      <c r="CP67" s="99"/>
      <c r="CQ67" s="99"/>
      <c r="CR67" s="99"/>
      <c r="CS67" s="99"/>
      <c r="CT67" s="99"/>
      <c r="CU67" s="99"/>
      <c r="CV67" s="99"/>
      <c r="CW67" s="99"/>
      <c r="CX67" s="99"/>
      <c r="CY67" s="99"/>
      <c r="CZ67" s="99"/>
      <c r="DA67" s="99"/>
      <c r="DB67" s="99"/>
      <c r="DC67" s="99"/>
      <c r="DD67" s="99"/>
      <c r="DE67" s="99"/>
      <c r="DF67" s="99"/>
      <c r="DG67" s="99"/>
      <c r="DH67" s="99"/>
      <c r="DI67" s="99"/>
      <c r="DJ67" s="99"/>
      <c r="DK67" s="99"/>
      <c r="DL67" s="99"/>
      <c r="DM67" s="99"/>
      <c r="DN67" s="99"/>
      <c r="DO67" s="99"/>
      <c r="DP67" s="99"/>
      <c r="DQ67" s="99"/>
      <c r="DR67" s="99"/>
      <c r="DS67" s="99"/>
      <c r="DT67" s="99"/>
      <c r="DU67" s="99"/>
      <c r="DV67" s="99"/>
      <c r="DW67" s="99"/>
      <c r="DX67" s="99"/>
      <c r="DY67" s="99"/>
      <c r="DZ67" s="99"/>
      <c r="EA67" s="99"/>
      <c r="EB67" s="99"/>
      <c r="EC67" s="99"/>
      <c r="ED67" s="99"/>
      <c r="EE67" s="99"/>
      <c r="EF67" s="99"/>
      <c r="EG67" s="99"/>
      <c r="EH67" s="99"/>
      <c r="EI67" s="99"/>
      <c r="EJ67" s="99"/>
      <c r="EK67" s="99"/>
      <c r="EL67" s="99"/>
      <c r="EM67" s="99"/>
      <c r="EN67" s="99"/>
      <c r="EO67" s="99"/>
      <c r="EP67" s="99"/>
      <c r="EQ67" s="99"/>
      <c r="ER67" s="99"/>
      <c r="ES67" s="99"/>
      <c r="ET67" s="99"/>
      <c r="EU67" s="99"/>
      <c r="EV67" s="99"/>
      <c r="EW67" s="99"/>
      <c r="EX67" s="99"/>
      <c r="EY67" s="99"/>
      <c r="EZ67" s="99"/>
      <c r="FA67" s="99"/>
      <c r="FB67" s="99"/>
      <c r="FC67" s="99"/>
      <c r="FD67" s="99"/>
      <c r="FE67" s="99"/>
      <c r="FF67" s="99"/>
      <c r="FG67" s="99"/>
      <c r="FH67" s="99"/>
      <c r="FI67" s="99"/>
      <c r="FJ67" s="99"/>
      <c r="FK67" s="99"/>
      <c r="FL67" s="99"/>
      <c r="FM67" s="99"/>
      <c r="FN67" s="99"/>
      <c r="FO67" s="99"/>
      <c r="FP67" s="99"/>
      <c r="FQ67" s="99"/>
      <c r="FR67" s="99"/>
      <c r="FS67" s="99"/>
      <c r="FT67" s="99"/>
      <c r="FU67" s="99"/>
      <c r="FV67" s="99"/>
      <c r="FW67" s="99"/>
      <c r="FX67" s="99"/>
      <c r="FY67" s="99"/>
      <c r="FZ67" s="99"/>
      <c r="GA67" s="99"/>
      <c r="GB67" s="99"/>
      <c r="GC67" s="99"/>
      <c r="GD67" s="99"/>
      <c r="GE67" s="99"/>
      <c r="GF67" s="99"/>
      <c r="GG67" s="99"/>
      <c r="GH67" s="99"/>
      <c r="GI67" s="99"/>
      <c r="GJ67" s="99"/>
      <c r="GK67" s="99"/>
      <c r="GL67" s="99"/>
      <c r="GM67" s="99"/>
      <c r="GN67" s="99"/>
      <c r="GO67" s="99"/>
      <c r="GP67" s="99"/>
      <c r="GQ67" s="99"/>
      <c r="GR67" s="99"/>
      <c r="GS67" s="99"/>
      <c r="GT67" s="99"/>
      <c r="GU67" s="99"/>
      <c r="GV67" s="99"/>
      <c r="GW67" s="99"/>
      <c r="GX67" s="99"/>
      <c r="GY67" s="99"/>
      <c r="GZ67" s="99"/>
      <c r="HA67" s="99"/>
      <c r="HB67" s="99"/>
      <c r="HC67" s="99"/>
      <c r="HD67" s="99"/>
      <c r="HE67" s="99"/>
      <c r="HF67" s="99"/>
      <c r="HG67" s="99"/>
      <c r="HH67" s="99"/>
      <c r="HI67" s="99"/>
      <c r="HJ67" s="99"/>
      <c r="HK67" s="99"/>
      <c r="HL67" s="99"/>
      <c r="HM67" s="99"/>
      <c r="HN67" s="99"/>
      <c r="HO67" s="99"/>
      <c r="HP67" s="99"/>
      <c r="HQ67" s="99"/>
      <c r="HR67" s="99"/>
      <c r="HS67" s="99"/>
      <c r="HT67" s="99"/>
      <c r="HU67" s="99"/>
      <c r="HV67" s="99"/>
      <c r="HW67" s="99"/>
      <c r="HX67" s="99"/>
      <c r="HY67" s="99"/>
      <c r="HZ67" s="99"/>
      <c r="IA67" s="99"/>
      <c r="IB67" s="99"/>
      <c r="IC67" s="99"/>
      <c r="ID67" s="99"/>
      <c r="IE67" s="99"/>
      <c r="IF67" s="99"/>
      <c r="IG67" s="99"/>
      <c r="IH67" s="99"/>
      <c r="II67" s="99"/>
      <c r="IJ67" s="99"/>
      <c r="IK67" s="99"/>
      <c r="IL67" s="99"/>
      <c r="IM67" s="99"/>
      <c r="IN67" s="99"/>
      <c r="IO67" s="99"/>
      <c r="IP67" s="99"/>
      <c r="IQ67" s="99"/>
      <c r="IR67" s="99"/>
      <c r="IS67" s="99"/>
      <c r="IT67" s="99"/>
      <c r="IU67" s="99"/>
    </row>
  </sheetData>
  <customSheetViews>
    <customSheetView guid="{9D7575BF-255B-11D2-8267-00A0D1027254}" showRuler="0" topLeftCell="G18">
      <selection activeCell="J37" sqref="J37"/>
      <colBreaks count="1" manualBreakCount="1">
        <brk id="15" max="36" man="1"/>
      </colBreaks>
      <pageMargins left="0.75" right="0.75" top="1" bottom="1" header="0.5" footer="0.5"/>
      <pageSetup scale="80" orientation="landscape" r:id="rId1"/>
      <headerFooter alignWithMargins="0">
        <oddFooter>&amp;L&amp;D   &amp;T&amp;RO:\Naes\GenSvcs\TVA\TVA Model\&amp;F
&amp;A &amp;P</oddFooter>
      </headerFooter>
    </customSheetView>
    <customSheetView guid="{773475A7-2559-11D2-A5F6-0060080AEB13}" showPageBreaks="1" printArea="1" showRuler="0">
      <colBreaks count="1" manualBreakCount="1">
        <brk id="16" max="36" man="1"/>
      </colBreaks>
      <pageMargins left="0.41" right="0.38" top="1" bottom="1" header="0.5" footer="0.5"/>
      <pageSetup scale="80" pageOrder="overThenDown" orientation="landscape" r:id="rId2"/>
      <headerFooter alignWithMargins="0">
        <oddFooter>&amp;L&amp;D   &amp;T&amp;RO:\Naes\GenSvcs\Tva\Tva Models\&amp;F
&amp;A   &amp;P</oddFooter>
      </headerFooter>
    </customSheetView>
    <customSheetView guid="{14FB3146-3CEF-11D2-B9CE-0060080D6A65}" showRuler="0" topLeftCell="G18">
      <selection activeCell="J37" sqref="J37"/>
      <colBreaks count="1" manualBreakCount="1">
        <brk id="15" max="36" man="1"/>
      </colBreaks>
      <pageMargins left="0.75" right="0.75" top="1" bottom="1" header="0.5" footer="0.5"/>
      <pageSetup scale="80" orientation="landscape" r:id="rId3"/>
      <headerFooter alignWithMargins="0">
        <oddFooter>&amp;L&amp;D   &amp;T&amp;RO:\Naes\GenSvcs\TVA\TVA Model\&amp;F
&amp;A &amp;P</oddFooter>
      </headerFooter>
    </customSheetView>
  </customSheetViews>
  <printOptions horizontalCentered="1" verticalCentered="1"/>
  <pageMargins left="0.26" right="0.31" top="1" bottom="1" header="0.5" footer="0.5"/>
  <pageSetup scale="62" fitToWidth="2" orientation="landscape" r:id="rId4"/>
  <headerFooter alignWithMargins="0">
    <oddFooter>&amp;L&amp;D   &amp;T&amp;R&amp;A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IV109"/>
  <sheetViews>
    <sheetView showZeros="0" zoomScaleNormal="75" workbookViewId="0"/>
  </sheetViews>
  <sheetFormatPr defaultColWidth="9.33203125" defaultRowHeight="13.2"/>
  <cols>
    <col min="1" max="1" width="31.5546875" style="15" customWidth="1"/>
    <col min="2" max="19" width="9.33203125" style="15" customWidth="1"/>
    <col min="20" max="28" width="9.33203125" customWidth="1"/>
    <col min="29" max="16384" width="9.33203125" style="15"/>
  </cols>
  <sheetData>
    <row r="1" spans="1:31" s="39" customFormat="1" ht="24.6">
      <c r="A1" s="438" t="str">
        <f>'Project Assumptions'!$A$2</f>
        <v>PROJECT DOYLE</v>
      </c>
      <c r="C1" s="4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/>
      <c r="U1"/>
      <c r="V1"/>
      <c r="W1"/>
      <c r="X1"/>
      <c r="Y1"/>
      <c r="Z1"/>
      <c r="AA1"/>
      <c r="AB1"/>
    </row>
    <row r="2" spans="1:31" s="39" customFormat="1" ht="17.399999999999999">
      <c r="A2" s="439" t="s">
        <v>27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/>
      <c r="U2"/>
      <c r="V2"/>
      <c r="W2"/>
      <c r="X2"/>
      <c r="Y2"/>
      <c r="Z2"/>
      <c r="AA2"/>
      <c r="AB2"/>
    </row>
    <row r="3" spans="1:31" ht="15.6" customHeight="1"/>
    <row r="4" spans="1:31">
      <c r="D4" s="5">
        <v>1</v>
      </c>
      <c r="E4" s="5">
        <f t="shared" ref="E4:S4" si="0">D4+1</f>
        <v>2</v>
      </c>
      <c r="F4" s="1">
        <f t="shared" si="0"/>
        <v>3</v>
      </c>
      <c r="G4" s="1">
        <f t="shared" si="0"/>
        <v>4</v>
      </c>
      <c r="H4" s="1">
        <f t="shared" si="0"/>
        <v>5</v>
      </c>
      <c r="I4" s="185">
        <f t="shared" si="0"/>
        <v>6</v>
      </c>
      <c r="J4" s="1">
        <f t="shared" si="0"/>
        <v>7</v>
      </c>
      <c r="K4" s="3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3">
        <f t="shared" si="0"/>
        <v>14</v>
      </c>
      <c r="R4" s="1">
        <f t="shared" si="0"/>
        <v>15</v>
      </c>
      <c r="S4" s="1">
        <f t="shared" si="0"/>
        <v>16</v>
      </c>
    </row>
    <row r="5" spans="1:31" ht="12" customHeight="1">
      <c r="A5" s="95" t="s">
        <v>151</v>
      </c>
      <c r="C5" s="43"/>
      <c r="D5" s="60">
        <f>YEAR('Project Assumptions'!I16)</f>
        <v>2000</v>
      </c>
      <c r="E5" s="60">
        <f t="shared" ref="E5:S5" si="1">D5+1</f>
        <v>2001</v>
      </c>
      <c r="F5" s="60">
        <f t="shared" si="1"/>
        <v>2002</v>
      </c>
      <c r="G5" s="60">
        <f t="shared" si="1"/>
        <v>2003</v>
      </c>
      <c r="H5" s="60">
        <f t="shared" si="1"/>
        <v>2004</v>
      </c>
      <c r="I5" s="60">
        <f t="shared" si="1"/>
        <v>2005</v>
      </c>
      <c r="J5" s="60">
        <f t="shared" si="1"/>
        <v>2006</v>
      </c>
      <c r="K5" s="60">
        <f t="shared" si="1"/>
        <v>2007</v>
      </c>
      <c r="L5" s="60">
        <f t="shared" si="1"/>
        <v>2008</v>
      </c>
      <c r="M5" s="60">
        <f t="shared" si="1"/>
        <v>2009</v>
      </c>
      <c r="N5" s="60">
        <f t="shared" si="1"/>
        <v>2010</v>
      </c>
      <c r="O5" s="60">
        <f t="shared" si="1"/>
        <v>2011</v>
      </c>
      <c r="P5" s="60">
        <f t="shared" si="1"/>
        <v>2012</v>
      </c>
      <c r="Q5" s="60">
        <f t="shared" si="1"/>
        <v>2013</v>
      </c>
      <c r="R5" s="60">
        <f t="shared" si="1"/>
        <v>2014</v>
      </c>
      <c r="S5" s="60">
        <f t="shared" si="1"/>
        <v>2015</v>
      </c>
      <c r="AC5" s="43"/>
      <c r="AD5" s="43"/>
    </row>
    <row r="6" spans="1:31" ht="12" customHeight="1">
      <c r="B6" s="16" t="s">
        <v>0</v>
      </c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AE6" s="46"/>
    </row>
    <row r="7" spans="1:31" ht="12" customHeight="1">
      <c r="A7" s="14" t="s">
        <v>152</v>
      </c>
      <c r="B7" s="47">
        <v>15</v>
      </c>
      <c r="C7" s="20"/>
      <c r="D7" s="139">
        <f>IF(D4&gt;$B$7+1,0,IF($B$7=15,VLOOKUP(D4,$A$69:$B$84,2),VLOOKUP(D4,$A$89:$B$109,2)))</f>
        <v>0.05</v>
      </c>
      <c r="E7" s="139">
        <f t="shared" ref="E7:S7" si="2">IF(E4&gt;$B$7+1,0,IF($B$7=15,VLOOKUP(E4,$A$69:$B$84,2),VLOOKUP(E4,$A$89:$B$109,2)))</f>
        <v>9.5000000000000001E-2</v>
      </c>
      <c r="F7" s="139">
        <f t="shared" si="2"/>
        <v>8.5500000000000007E-2</v>
      </c>
      <c r="G7" s="139">
        <f t="shared" si="2"/>
        <v>7.6999999999999999E-2</v>
      </c>
      <c r="H7" s="139">
        <f t="shared" si="2"/>
        <v>6.93E-2</v>
      </c>
      <c r="I7" s="139">
        <f t="shared" si="2"/>
        <v>6.2300000000000001E-2</v>
      </c>
      <c r="J7" s="139">
        <f t="shared" si="2"/>
        <v>5.8999999999999997E-2</v>
      </c>
      <c r="K7" s="139">
        <f t="shared" si="2"/>
        <v>5.8999999999999997E-2</v>
      </c>
      <c r="L7" s="139">
        <f t="shared" si="2"/>
        <v>5.91E-2</v>
      </c>
      <c r="M7" s="139">
        <f t="shared" si="2"/>
        <v>5.8999999999999997E-2</v>
      </c>
      <c r="N7" s="139">
        <f t="shared" si="2"/>
        <v>5.91E-2</v>
      </c>
      <c r="O7" s="139">
        <f t="shared" si="2"/>
        <v>5.8999999999999997E-2</v>
      </c>
      <c r="P7" s="139">
        <f t="shared" si="2"/>
        <v>5.91E-2</v>
      </c>
      <c r="Q7" s="139">
        <f t="shared" si="2"/>
        <v>5.8999999999999997E-2</v>
      </c>
      <c r="R7" s="139">
        <f t="shared" si="2"/>
        <v>5.91E-2</v>
      </c>
      <c r="S7" s="139">
        <f t="shared" si="2"/>
        <v>2.9499999999999998E-2</v>
      </c>
      <c r="AC7" s="48"/>
      <c r="AD7" s="48"/>
      <c r="AE7" s="49"/>
    </row>
    <row r="8" spans="1:31" ht="12" customHeight="1">
      <c r="A8" s="14" t="s">
        <v>153</v>
      </c>
      <c r="B8" s="47">
        <v>5</v>
      </c>
      <c r="C8" s="50"/>
      <c r="D8" s="139">
        <v>0.1</v>
      </c>
      <c r="E8" s="139">
        <f>IF(E$4&lt;=$B8,(1/$B8),IF(E$4=$B8+1,(1/$B8)-$D8,0))</f>
        <v>0.2</v>
      </c>
      <c r="F8" s="139">
        <f t="shared" ref="F8:S8" si="3">IF(F4&lt;=$B$8,(1/$B$8),IF(F4=$B$8+1,(1/$B$8)-$D$8,0))</f>
        <v>0.2</v>
      </c>
      <c r="G8" s="139">
        <f t="shared" si="3"/>
        <v>0.2</v>
      </c>
      <c r="H8" s="139">
        <f t="shared" si="3"/>
        <v>0.2</v>
      </c>
      <c r="I8" s="139">
        <f t="shared" si="3"/>
        <v>0.1</v>
      </c>
      <c r="J8" s="139">
        <f t="shared" si="3"/>
        <v>0</v>
      </c>
      <c r="K8" s="139">
        <f t="shared" si="3"/>
        <v>0</v>
      </c>
      <c r="L8" s="139">
        <f t="shared" si="3"/>
        <v>0</v>
      </c>
      <c r="M8" s="139">
        <f t="shared" si="3"/>
        <v>0</v>
      </c>
      <c r="N8" s="139">
        <f t="shared" si="3"/>
        <v>0</v>
      </c>
      <c r="O8" s="139">
        <f t="shared" si="3"/>
        <v>0</v>
      </c>
      <c r="P8" s="139">
        <f t="shared" si="3"/>
        <v>0</v>
      </c>
      <c r="Q8" s="139">
        <f t="shared" si="3"/>
        <v>0</v>
      </c>
      <c r="R8" s="139">
        <f t="shared" si="3"/>
        <v>0</v>
      </c>
      <c r="S8" s="139">
        <f t="shared" si="3"/>
        <v>0</v>
      </c>
      <c r="AC8" s="48"/>
      <c r="AD8" s="48"/>
      <c r="AE8" s="49"/>
    </row>
    <row r="9" spans="1:31" ht="12" customHeight="1">
      <c r="A9" s="14" t="s">
        <v>54</v>
      </c>
      <c r="B9" s="50">
        <f>MAX('Project Assumptions'!$I$42, 'Project Assumptions'!$F$42,'Project Assumptions'!$G$42)</f>
        <v>15</v>
      </c>
      <c r="C9" s="51"/>
      <c r="D9" s="139">
        <v>3.3300000000000003E-2</v>
      </c>
      <c r="E9" s="139">
        <f>IF(E$4&lt;=$B$9,(1/$B$9),IF(E$4=$B$9+1,(1/$B$9)-$D$9,0))</f>
        <v>6.6666666666666666E-2</v>
      </c>
      <c r="F9" s="139">
        <f t="shared" ref="F9:S9" si="4">IF(F$4&lt;=$B$9,(1/$B$9),IF(F$4=$B$9+1,(1/$B$9)-$D$9,0))</f>
        <v>6.6666666666666666E-2</v>
      </c>
      <c r="G9" s="139">
        <f t="shared" si="4"/>
        <v>6.6666666666666666E-2</v>
      </c>
      <c r="H9" s="139">
        <f t="shared" si="4"/>
        <v>6.6666666666666666E-2</v>
      </c>
      <c r="I9" s="139">
        <f t="shared" si="4"/>
        <v>6.6666666666666666E-2</v>
      </c>
      <c r="J9" s="139">
        <f t="shared" si="4"/>
        <v>6.6666666666666666E-2</v>
      </c>
      <c r="K9" s="139">
        <f t="shared" si="4"/>
        <v>6.6666666666666666E-2</v>
      </c>
      <c r="L9" s="139">
        <f t="shared" si="4"/>
        <v>6.6666666666666666E-2</v>
      </c>
      <c r="M9" s="139">
        <f t="shared" si="4"/>
        <v>6.6666666666666666E-2</v>
      </c>
      <c r="N9" s="139">
        <f t="shared" si="4"/>
        <v>6.6666666666666666E-2</v>
      </c>
      <c r="O9" s="139">
        <f t="shared" si="4"/>
        <v>6.6666666666666666E-2</v>
      </c>
      <c r="P9" s="139">
        <f t="shared" si="4"/>
        <v>6.6666666666666666E-2</v>
      </c>
      <c r="Q9" s="139">
        <f t="shared" si="4"/>
        <v>6.6666666666666666E-2</v>
      </c>
      <c r="R9" s="139">
        <f t="shared" si="4"/>
        <v>6.6666666666666666E-2</v>
      </c>
      <c r="S9" s="139">
        <f t="shared" si="4"/>
        <v>3.3366666666666663E-2</v>
      </c>
      <c r="AC9" s="48"/>
      <c r="AD9" s="48"/>
      <c r="AE9" s="49"/>
    </row>
    <row r="10" spans="1:31" ht="12" customHeight="1">
      <c r="B10" s="50"/>
      <c r="D10" s="45"/>
    </row>
    <row r="11" spans="1:31" ht="12" customHeight="1">
      <c r="A11" s="14" t="s">
        <v>154</v>
      </c>
      <c r="B11" s="52">
        <f>SUM('Project Assumptions'!C18:C20)+'Project Assumptions'!C42</f>
        <v>113330.31563071515</v>
      </c>
      <c r="C11" s="20"/>
      <c r="D11" s="52">
        <f t="shared" ref="D11:S11" si="5">$B$11*D7</f>
        <v>5666.5157815357579</v>
      </c>
      <c r="E11" s="52">
        <f t="shared" si="5"/>
        <v>10766.37998491794</v>
      </c>
      <c r="F11" s="52">
        <f t="shared" si="5"/>
        <v>9689.7419864261465</v>
      </c>
      <c r="G11" s="52">
        <f t="shared" si="5"/>
        <v>8726.4343035650672</v>
      </c>
      <c r="H11" s="52">
        <f t="shared" si="5"/>
        <v>7853.7908732085598</v>
      </c>
      <c r="I11" s="52">
        <f t="shared" si="5"/>
        <v>7060.478663793554</v>
      </c>
      <c r="J11" s="52">
        <f t="shared" si="5"/>
        <v>6686.4886222121931</v>
      </c>
      <c r="K11" s="52">
        <f t="shared" si="5"/>
        <v>6686.4886222121931</v>
      </c>
      <c r="L11" s="52">
        <f t="shared" si="5"/>
        <v>6697.8216537752651</v>
      </c>
      <c r="M11" s="52">
        <f t="shared" si="5"/>
        <v>6686.4886222121931</v>
      </c>
      <c r="N11" s="52">
        <f t="shared" si="5"/>
        <v>6697.8216537752651</v>
      </c>
      <c r="O11" s="52">
        <f t="shared" si="5"/>
        <v>6686.4886222121931</v>
      </c>
      <c r="P11" s="52">
        <f t="shared" si="5"/>
        <v>6697.8216537752651</v>
      </c>
      <c r="Q11" s="52">
        <f t="shared" si="5"/>
        <v>6686.4886222121931</v>
      </c>
      <c r="R11" s="52">
        <f t="shared" si="5"/>
        <v>6697.8216537752651</v>
      </c>
      <c r="S11" s="52">
        <f t="shared" si="5"/>
        <v>3343.2443111060966</v>
      </c>
      <c r="AC11" s="20"/>
      <c r="AD11" s="20"/>
      <c r="AE11" s="20"/>
    </row>
    <row r="12" spans="1:31" ht="12" customHeight="1">
      <c r="A12" s="14" t="s">
        <v>155</v>
      </c>
      <c r="B12" s="31">
        <f>SUM('Project Assumptions'!C27:C33)</f>
        <v>3035.0240000000003</v>
      </c>
      <c r="C12" s="20"/>
      <c r="D12" s="31">
        <f t="shared" ref="D12:S12" si="6">$B$12*D8</f>
        <v>303.50240000000002</v>
      </c>
      <c r="E12" s="31">
        <f t="shared" si="6"/>
        <v>607.00480000000005</v>
      </c>
      <c r="F12" s="31">
        <f t="shared" si="6"/>
        <v>607.00480000000005</v>
      </c>
      <c r="G12" s="31">
        <f t="shared" si="6"/>
        <v>607.00480000000005</v>
      </c>
      <c r="H12" s="31">
        <f t="shared" si="6"/>
        <v>607.00480000000005</v>
      </c>
      <c r="I12" s="31">
        <f t="shared" si="6"/>
        <v>303.50240000000002</v>
      </c>
      <c r="J12" s="31">
        <f t="shared" si="6"/>
        <v>0</v>
      </c>
      <c r="K12" s="31">
        <f t="shared" si="6"/>
        <v>0</v>
      </c>
      <c r="L12" s="31">
        <f t="shared" si="6"/>
        <v>0</v>
      </c>
      <c r="M12" s="31">
        <f t="shared" si="6"/>
        <v>0</v>
      </c>
      <c r="N12" s="31">
        <f t="shared" si="6"/>
        <v>0</v>
      </c>
      <c r="O12" s="31">
        <f t="shared" si="6"/>
        <v>0</v>
      </c>
      <c r="P12" s="31">
        <f t="shared" si="6"/>
        <v>0</v>
      </c>
      <c r="Q12" s="31">
        <f t="shared" si="6"/>
        <v>0</v>
      </c>
      <c r="R12" s="31">
        <f t="shared" si="6"/>
        <v>0</v>
      </c>
      <c r="S12" s="31">
        <f t="shared" si="6"/>
        <v>0</v>
      </c>
      <c r="AC12" s="20"/>
      <c r="AD12" s="20"/>
      <c r="AE12" s="53"/>
    </row>
    <row r="13" spans="1:31" ht="12" customHeight="1">
      <c r="A13" s="14" t="s">
        <v>156</v>
      </c>
      <c r="B13" s="265">
        <f>'Project Assumptions'!C38</f>
        <v>0</v>
      </c>
      <c r="C13" s="20"/>
      <c r="D13" s="265">
        <f t="shared" ref="D13:S13" si="7">$B$13*D9</f>
        <v>0</v>
      </c>
      <c r="E13" s="265">
        <f t="shared" si="7"/>
        <v>0</v>
      </c>
      <c r="F13" s="265">
        <f t="shared" si="7"/>
        <v>0</v>
      </c>
      <c r="G13" s="265">
        <f t="shared" si="7"/>
        <v>0</v>
      </c>
      <c r="H13" s="265">
        <f t="shared" si="7"/>
        <v>0</v>
      </c>
      <c r="I13" s="265">
        <f t="shared" si="7"/>
        <v>0</v>
      </c>
      <c r="J13" s="265">
        <f t="shared" si="7"/>
        <v>0</v>
      </c>
      <c r="K13" s="265">
        <f t="shared" si="7"/>
        <v>0</v>
      </c>
      <c r="L13" s="265">
        <f t="shared" si="7"/>
        <v>0</v>
      </c>
      <c r="M13" s="265">
        <f t="shared" si="7"/>
        <v>0</v>
      </c>
      <c r="N13" s="265">
        <f t="shared" si="7"/>
        <v>0</v>
      </c>
      <c r="O13" s="265">
        <f t="shared" si="7"/>
        <v>0</v>
      </c>
      <c r="P13" s="265">
        <f t="shared" si="7"/>
        <v>0</v>
      </c>
      <c r="Q13" s="265">
        <f t="shared" si="7"/>
        <v>0</v>
      </c>
      <c r="R13" s="265">
        <f t="shared" si="7"/>
        <v>0</v>
      </c>
      <c r="S13" s="265">
        <f t="shared" si="7"/>
        <v>0</v>
      </c>
      <c r="AC13" s="20"/>
      <c r="AD13" s="20"/>
      <c r="AE13" s="53"/>
    </row>
    <row r="14" spans="1:31" ht="12" customHeight="1">
      <c r="A14" s="14" t="s">
        <v>157</v>
      </c>
      <c r="B14" s="52">
        <f>SUM(B11:B13)</f>
        <v>116365.33963071516</v>
      </c>
      <c r="C14" s="20"/>
      <c r="D14" s="52">
        <f t="shared" ref="D14:S14" si="8">SUM(D11:D13)</f>
        <v>5970.0181815357582</v>
      </c>
      <c r="E14" s="52">
        <f t="shared" si="8"/>
        <v>11373.38478491794</v>
      </c>
      <c r="F14" s="52">
        <f t="shared" si="8"/>
        <v>10296.746786426147</v>
      </c>
      <c r="G14" s="52">
        <f t="shared" si="8"/>
        <v>9333.4391035650679</v>
      </c>
      <c r="H14" s="52">
        <f t="shared" si="8"/>
        <v>8460.7956732085604</v>
      </c>
      <c r="I14" s="52">
        <f t="shared" si="8"/>
        <v>7363.9810637935543</v>
      </c>
      <c r="J14" s="52">
        <f t="shared" si="8"/>
        <v>6686.4886222121931</v>
      </c>
      <c r="K14" s="52">
        <f t="shared" si="8"/>
        <v>6686.4886222121931</v>
      </c>
      <c r="L14" s="52">
        <f t="shared" si="8"/>
        <v>6697.8216537752651</v>
      </c>
      <c r="M14" s="52">
        <f t="shared" si="8"/>
        <v>6686.4886222121931</v>
      </c>
      <c r="N14" s="52">
        <f t="shared" si="8"/>
        <v>6697.8216537752651</v>
      </c>
      <c r="O14" s="52">
        <f t="shared" si="8"/>
        <v>6686.4886222121931</v>
      </c>
      <c r="P14" s="52">
        <f t="shared" si="8"/>
        <v>6697.8216537752651</v>
      </c>
      <c r="Q14" s="52">
        <f t="shared" si="8"/>
        <v>6686.4886222121931</v>
      </c>
      <c r="R14" s="52">
        <f t="shared" si="8"/>
        <v>6697.8216537752651</v>
      </c>
      <c r="S14" s="52">
        <f t="shared" si="8"/>
        <v>3343.2443111060966</v>
      </c>
      <c r="AC14" s="20"/>
      <c r="AD14" s="20"/>
      <c r="AE14" s="20"/>
    </row>
    <row r="15" spans="1:31" ht="12" customHeight="1">
      <c r="A15" s="14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AC15" s="20"/>
      <c r="AD15" s="20"/>
      <c r="AE15" s="53"/>
    </row>
    <row r="16" spans="1:31" ht="12" customHeight="1">
      <c r="A16" s="95" t="s">
        <v>158</v>
      </c>
      <c r="AE16" s="46"/>
    </row>
    <row r="17" spans="1:31" ht="12" customHeight="1">
      <c r="A17" s="95"/>
      <c r="B17" s="16" t="s">
        <v>0</v>
      </c>
      <c r="AE17" s="46"/>
    </row>
    <row r="18" spans="1:31" ht="12" customHeight="1">
      <c r="A18" s="14" t="s">
        <v>152</v>
      </c>
      <c r="B18" s="47">
        <f>B7</f>
        <v>15</v>
      </c>
      <c r="C18" s="48"/>
      <c r="D18" s="139">
        <f>IF(D4&gt;$B$18+1,0,IF($B$18=15,VLOOKUP(D4,$A$69:$B$84,2),VLOOKUP(D4,$A$89:$B$109,2)))</f>
        <v>0.05</v>
      </c>
      <c r="E18" s="139">
        <f t="shared" ref="E18:S18" si="9">IF(E4&gt;$B$18+1,0,IF($B$18=15,VLOOKUP(E4,$A$69:$B$84,2),VLOOKUP(E4,$A$89:$B$109,2)))</f>
        <v>9.5000000000000001E-2</v>
      </c>
      <c r="F18" s="139">
        <f t="shared" si="9"/>
        <v>8.5500000000000007E-2</v>
      </c>
      <c r="G18" s="139">
        <f t="shared" si="9"/>
        <v>7.6999999999999999E-2</v>
      </c>
      <c r="H18" s="139">
        <f t="shared" si="9"/>
        <v>6.93E-2</v>
      </c>
      <c r="I18" s="139">
        <f t="shared" si="9"/>
        <v>6.2300000000000001E-2</v>
      </c>
      <c r="J18" s="139">
        <f t="shared" si="9"/>
        <v>5.8999999999999997E-2</v>
      </c>
      <c r="K18" s="139">
        <f t="shared" si="9"/>
        <v>5.8999999999999997E-2</v>
      </c>
      <c r="L18" s="139">
        <f t="shared" si="9"/>
        <v>5.91E-2</v>
      </c>
      <c r="M18" s="139">
        <f t="shared" si="9"/>
        <v>5.8999999999999997E-2</v>
      </c>
      <c r="N18" s="139">
        <f t="shared" si="9"/>
        <v>5.91E-2</v>
      </c>
      <c r="O18" s="139">
        <f t="shared" si="9"/>
        <v>5.8999999999999997E-2</v>
      </c>
      <c r="P18" s="139">
        <f t="shared" si="9"/>
        <v>5.91E-2</v>
      </c>
      <c r="Q18" s="139">
        <f t="shared" si="9"/>
        <v>5.8999999999999997E-2</v>
      </c>
      <c r="R18" s="139">
        <f t="shared" si="9"/>
        <v>5.91E-2</v>
      </c>
      <c r="S18" s="139">
        <f t="shared" si="9"/>
        <v>2.9499999999999998E-2</v>
      </c>
      <c r="AC18" s="48"/>
      <c r="AD18" s="48"/>
      <c r="AE18" s="49"/>
    </row>
    <row r="19" spans="1:31" ht="12" customHeight="1">
      <c r="A19" s="14" t="s">
        <v>153</v>
      </c>
      <c r="B19" s="47">
        <v>5</v>
      </c>
      <c r="D19" s="139">
        <v>0.1</v>
      </c>
      <c r="E19" s="139">
        <f t="shared" ref="E19:S19" si="10">IF(E$4&lt;=$B19,(1/$B19),IF(E$4=$B19+1,(1/$B19)-$D19,0))</f>
        <v>0.2</v>
      </c>
      <c r="F19" s="139">
        <f t="shared" si="10"/>
        <v>0.2</v>
      </c>
      <c r="G19" s="139">
        <f t="shared" si="10"/>
        <v>0.2</v>
      </c>
      <c r="H19" s="139">
        <f t="shared" si="10"/>
        <v>0.2</v>
      </c>
      <c r="I19" s="139">
        <f t="shared" si="10"/>
        <v>0.1</v>
      </c>
      <c r="J19" s="139">
        <f t="shared" si="10"/>
        <v>0</v>
      </c>
      <c r="K19" s="139">
        <f t="shared" si="10"/>
        <v>0</v>
      </c>
      <c r="L19" s="139">
        <f t="shared" si="10"/>
        <v>0</v>
      </c>
      <c r="M19" s="139">
        <f t="shared" si="10"/>
        <v>0</v>
      </c>
      <c r="N19" s="139">
        <f t="shared" si="10"/>
        <v>0</v>
      </c>
      <c r="O19" s="139">
        <f t="shared" si="10"/>
        <v>0</v>
      </c>
      <c r="P19" s="139">
        <f t="shared" si="10"/>
        <v>0</v>
      </c>
      <c r="Q19" s="139">
        <f t="shared" si="10"/>
        <v>0</v>
      </c>
      <c r="R19" s="139">
        <f t="shared" si="10"/>
        <v>0</v>
      </c>
      <c r="S19" s="139">
        <f t="shared" si="10"/>
        <v>0</v>
      </c>
      <c r="AC19" s="48"/>
      <c r="AD19" s="48"/>
      <c r="AE19" s="49"/>
    </row>
    <row r="20" spans="1:31" ht="12" customHeight="1">
      <c r="A20" s="14" t="s">
        <v>54</v>
      </c>
      <c r="B20" s="50">
        <f>MAX('Project Assumptions'!$I$42, 'Project Assumptions'!$F$42,'Project Assumptions'!$G$42)</f>
        <v>15</v>
      </c>
      <c r="D20" s="139">
        <v>3.3300000000000003E-2</v>
      </c>
      <c r="E20" s="139">
        <f>IF(E$4&lt;=$B$20,(1/$B$20),IF(E$4=$B$20+1,(1/$B$20)-$D$20,0))</f>
        <v>6.6666666666666666E-2</v>
      </c>
      <c r="F20" s="139">
        <f t="shared" ref="F20:S20" si="11">IF(F$4&lt;=$B$20,(1/$B$20),IF(F$4=$B$20+1,(1/$B$20)-$D$20,0))</f>
        <v>6.6666666666666666E-2</v>
      </c>
      <c r="G20" s="139">
        <f t="shared" si="11"/>
        <v>6.6666666666666666E-2</v>
      </c>
      <c r="H20" s="139">
        <f t="shared" si="11"/>
        <v>6.6666666666666666E-2</v>
      </c>
      <c r="I20" s="139">
        <f t="shared" si="11"/>
        <v>6.6666666666666666E-2</v>
      </c>
      <c r="J20" s="139">
        <f t="shared" si="11"/>
        <v>6.6666666666666666E-2</v>
      </c>
      <c r="K20" s="139">
        <f t="shared" si="11"/>
        <v>6.6666666666666666E-2</v>
      </c>
      <c r="L20" s="139">
        <f t="shared" si="11"/>
        <v>6.6666666666666666E-2</v>
      </c>
      <c r="M20" s="139">
        <f t="shared" si="11"/>
        <v>6.6666666666666666E-2</v>
      </c>
      <c r="N20" s="139">
        <f t="shared" si="11"/>
        <v>6.6666666666666666E-2</v>
      </c>
      <c r="O20" s="139">
        <f t="shared" si="11"/>
        <v>6.6666666666666666E-2</v>
      </c>
      <c r="P20" s="139">
        <f t="shared" si="11"/>
        <v>6.6666666666666666E-2</v>
      </c>
      <c r="Q20" s="139">
        <f t="shared" si="11"/>
        <v>6.6666666666666666E-2</v>
      </c>
      <c r="R20" s="139">
        <f t="shared" si="11"/>
        <v>6.6666666666666666E-2</v>
      </c>
      <c r="S20" s="139">
        <f t="shared" si="11"/>
        <v>3.3366666666666663E-2</v>
      </c>
      <c r="AC20" s="48"/>
      <c r="AD20" s="48"/>
      <c r="AE20" s="49"/>
    </row>
    <row r="21" spans="1:31" ht="12" customHeight="1">
      <c r="A21" s="14"/>
      <c r="B21" s="47"/>
      <c r="D21" s="266"/>
      <c r="E21" s="266"/>
      <c r="F21" s="266"/>
      <c r="G21" s="266"/>
      <c r="H21" s="266"/>
      <c r="I21" s="266"/>
      <c r="J21" s="266"/>
      <c r="K21" s="266"/>
      <c r="L21" s="266"/>
      <c r="M21" s="266"/>
      <c r="N21" s="266"/>
      <c r="O21" s="266"/>
      <c r="P21" s="266"/>
      <c r="Q21" s="266"/>
      <c r="R21" s="266"/>
      <c r="S21" s="266"/>
      <c r="AC21" s="48"/>
      <c r="AD21" s="48"/>
      <c r="AE21" s="49"/>
    </row>
    <row r="22" spans="1:31" ht="12" customHeight="1">
      <c r="B22" s="16"/>
    </row>
    <row r="23" spans="1:31" s="30" customFormat="1" ht="12" customHeight="1">
      <c r="A23" s="14" t="s">
        <v>154</v>
      </c>
      <c r="B23" s="52">
        <f>B11</f>
        <v>113330.31563071515</v>
      </c>
      <c r="D23" s="52">
        <f t="shared" ref="D23:S23" si="12">$B$23*D18</f>
        <v>5666.5157815357579</v>
      </c>
      <c r="E23" s="52">
        <f t="shared" si="12"/>
        <v>10766.37998491794</v>
      </c>
      <c r="F23" s="52">
        <f t="shared" si="12"/>
        <v>9689.7419864261465</v>
      </c>
      <c r="G23" s="52">
        <f t="shared" si="12"/>
        <v>8726.4343035650672</v>
      </c>
      <c r="H23" s="52">
        <f t="shared" si="12"/>
        <v>7853.7908732085598</v>
      </c>
      <c r="I23" s="52">
        <f t="shared" si="12"/>
        <v>7060.478663793554</v>
      </c>
      <c r="J23" s="52">
        <f t="shared" si="12"/>
        <v>6686.4886222121931</v>
      </c>
      <c r="K23" s="52">
        <f t="shared" si="12"/>
        <v>6686.4886222121931</v>
      </c>
      <c r="L23" s="52">
        <f t="shared" si="12"/>
        <v>6697.8216537752651</v>
      </c>
      <c r="M23" s="52">
        <f t="shared" si="12"/>
        <v>6686.4886222121931</v>
      </c>
      <c r="N23" s="52">
        <f t="shared" si="12"/>
        <v>6697.8216537752651</v>
      </c>
      <c r="O23" s="52">
        <f t="shared" si="12"/>
        <v>6686.4886222121931</v>
      </c>
      <c r="P23" s="52">
        <f t="shared" si="12"/>
        <v>6697.8216537752651</v>
      </c>
      <c r="Q23" s="52">
        <f t="shared" si="12"/>
        <v>6686.4886222121931</v>
      </c>
      <c r="R23" s="52">
        <f t="shared" si="12"/>
        <v>6697.8216537752651</v>
      </c>
      <c r="S23" s="52">
        <f t="shared" si="12"/>
        <v>3343.2443111060966</v>
      </c>
      <c r="T23"/>
      <c r="U23"/>
      <c r="V23"/>
      <c r="W23"/>
      <c r="X23"/>
      <c r="Y23"/>
      <c r="Z23"/>
      <c r="AA23"/>
      <c r="AB23"/>
      <c r="AC23" s="31"/>
      <c r="AD23" s="31"/>
      <c r="AE23" s="31"/>
    </row>
    <row r="24" spans="1:31" ht="12" customHeight="1">
      <c r="A24" s="14" t="s">
        <v>155</v>
      </c>
      <c r="B24" s="31">
        <f>B12</f>
        <v>3035.0240000000003</v>
      </c>
      <c r="D24" s="31">
        <f t="shared" ref="D24:S24" si="13">$B24*D19</f>
        <v>303.50240000000002</v>
      </c>
      <c r="E24" s="31">
        <f t="shared" si="13"/>
        <v>607.00480000000005</v>
      </c>
      <c r="F24" s="31">
        <f t="shared" si="13"/>
        <v>607.00480000000005</v>
      </c>
      <c r="G24" s="31">
        <f t="shared" si="13"/>
        <v>607.00480000000005</v>
      </c>
      <c r="H24" s="31">
        <f t="shared" si="13"/>
        <v>607.00480000000005</v>
      </c>
      <c r="I24" s="31">
        <f t="shared" si="13"/>
        <v>303.50240000000002</v>
      </c>
      <c r="J24" s="31">
        <f t="shared" si="13"/>
        <v>0</v>
      </c>
      <c r="K24" s="31">
        <f t="shared" si="13"/>
        <v>0</v>
      </c>
      <c r="L24" s="31">
        <f t="shared" si="13"/>
        <v>0</v>
      </c>
      <c r="M24" s="31">
        <f t="shared" si="13"/>
        <v>0</v>
      </c>
      <c r="N24" s="31">
        <f t="shared" si="13"/>
        <v>0</v>
      </c>
      <c r="O24" s="31">
        <f t="shared" si="13"/>
        <v>0</v>
      </c>
      <c r="P24" s="31">
        <f t="shared" si="13"/>
        <v>0</v>
      </c>
      <c r="Q24" s="31">
        <f t="shared" si="13"/>
        <v>0</v>
      </c>
      <c r="R24" s="31">
        <f t="shared" si="13"/>
        <v>0</v>
      </c>
      <c r="S24" s="31">
        <f t="shared" si="13"/>
        <v>0</v>
      </c>
      <c r="AC24" s="20"/>
      <c r="AD24" s="20"/>
      <c r="AE24" s="53"/>
    </row>
    <row r="25" spans="1:31" ht="12" customHeight="1">
      <c r="A25" s="14" t="s">
        <v>156</v>
      </c>
      <c r="B25" s="141">
        <f>B13</f>
        <v>0</v>
      </c>
      <c r="D25" s="141">
        <f t="shared" ref="D25:S25" si="14">$B25*D20</f>
        <v>0</v>
      </c>
      <c r="E25" s="141">
        <f t="shared" si="14"/>
        <v>0</v>
      </c>
      <c r="F25" s="141">
        <f t="shared" si="14"/>
        <v>0</v>
      </c>
      <c r="G25" s="141">
        <f t="shared" si="14"/>
        <v>0</v>
      </c>
      <c r="H25" s="141">
        <f t="shared" si="14"/>
        <v>0</v>
      </c>
      <c r="I25" s="141">
        <f t="shared" si="14"/>
        <v>0</v>
      </c>
      <c r="J25" s="141">
        <f t="shared" si="14"/>
        <v>0</v>
      </c>
      <c r="K25" s="141">
        <f t="shared" si="14"/>
        <v>0</v>
      </c>
      <c r="L25" s="141">
        <f t="shared" si="14"/>
        <v>0</v>
      </c>
      <c r="M25" s="141">
        <f t="shared" si="14"/>
        <v>0</v>
      </c>
      <c r="N25" s="141">
        <f t="shared" si="14"/>
        <v>0</v>
      </c>
      <c r="O25" s="141">
        <f t="shared" si="14"/>
        <v>0</v>
      </c>
      <c r="P25" s="141">
        <f t="shared" si="14"/>
        <v>0</v>
      </c>
      <c r="Q25" s="141">
        <f t="shared" si="14"/>
        <v>0</v>
      </c>
      <c r="R25" s="141">
        <f t="shared" si="14"/>
        <v>0</v>
      </c>
      <c r="S25" s="141">
        <f t="shared" si="14"/>
        <v>0</v>
      </c>
      <c r="AC25" s="20"/>
      <c r="AD25" s="20"/>
      <c r="AE25" s="53"/>
    </row>
    <row r="26" spans="1:31" ht="12" customHeight="1">
      <c r="A26" s="14" t="s">
        <v>157</v>
      </c>
      <c r="B26" s="52"/>
      <c r="D26" s="52">
        <f t="shared" ref="D26:S26" si="15">SUM(D23:D25)</f>
        <v>5970.0181815357582</v>
      </c>
      <c r="E26" s="52">
        <f t="shared" si="15"/>
        <v>11373.38478491794</v>
      </c>
      <c r="F26" s="52">
        <f t="shared" si="15"/>
        <v>10296.746786426147</v>
      </c>
      <c r="G26" s="52">
        <f t="shared" si="15"/>
        <v>9333.4391035650679</v>
      </c>
      <c r="H26" s="52">
        <f t="shared" si="15"/>
        <v>8460.7956732085604</v>
      </c>
      <c r="I26" s="52">
        <f t="shared" si="15"/>
        <v>7363.9810637935543</v>
      </c>
      <c r="J26" s="52">
        <f t="shared" si="15"/>
        <v>6686.4886222121931</v>
      </c>
      <c r="K26" s="52">
        <f t="shared" si="15"/>
        <v>6686.4886222121931</v>
      </c>
      <c r="L26" s="52">
        <f t="shared" si="15"/>
        <v>6697.8216537752651</v>
      </c>
      <c r="M26" s="52">
        <f t="shared" si="15"/>
        <v>6686.4886222121931</v>
      </c>
      <c r="N26" s="52">
        <f t="shared" si="15"/>
        <v>6697.8216537752651</v>
      </c>
      <c r="O26" s="52">
        <f t="shared" si="15"/>
        <v>6686.4886222121931</v>
      </c>
      <c r="P26" s="52">
        <f t="shared" si="15"/>
        <v>6697.8216537752651</v>
      </c>
      <c r="Q26" s="52">
        <f t="shared" si="15"/>
        <v>6686.4886222121931</v>
      </c>
      <c r="R26" s="52">
        <f t="shared" si="15"/>
        <v>6697.8216537752651</v>
      </c>
      <c r="S26" s="52">
        <f t="shared" si="15"/>
        <v>3343.2443111060966</v>
      </c>
      <c r="AC26" s="20"/>
      <c r="AD26" s="20"/>
      <c r="AE26" s="53"/>
    </row>
    <row r="27" spans="1:31" ht="12" customHeight="1"/>
    <row r="28" spans="1:31" ht="12" customHeight="1">
      <c r="A28" s="95" t="s">
        <v>159</v>
      </c>
      <c r="AE28" s="46"/>
    </row>
    <row r="29" spans="1:31" ht="12" customHeight="1">
      <c r="A29" s="95"/>
      <c r="B29" s="16" t="s">
        <v>0</v>
      </c>
      <c r="C29" s="115" t="s">
        <v>21</v>
      </c>
      <c r="D29" s="15">
        <v>1</v>
      </c>
      <c r="E29" s="15">
        <f>D29+1</f>
        <v>2</v>
      </c>
      <c r="F29" s="15">
        <f t="shared" ref="F29:S29" si="16">E29+1</f>
        <v>3</v>
      </c>
      <c r="G29" s="15">
        <f t="shared" si="16"/>
        <v>4</v>
      </c>
      <c r="H29" s="15">
        <f t="shared" si="16"/>
        <v>5</v>
      </c>
      <c r="I29" s="15">
        <f t="shared" si="16"/>
        <v>6</v>
      </c>
      <c r="J29" s="15">
        <f>I29+1</f>
        <v>7</v>
      </c>
      <c r="K29" s="15">
        <f t="shared" si="16"/>
        <v>8</v>
      </c>
      <c r="L29" s="15">
        <f t="shared" si="16"/>
        <v>9</v>
      </c>
      <c r="M29" s="15">
        <f t="shared" si="16"/>
        <v>10</v>
      </c>
      <c r="N29" s="15">
        <f t="shared" si="16"/>
        <v>11</v>
      </c>
      <c r="O29" s="15">
        <f t="shared" si="16"/>
        <v>12</v>
      </c>
      <c r="P29" s="15">
        <f t="shared" si="16"/>
        <v>13</v>
      </c>
      <c r="Q29" s="15">
        <f t="shared" si="16"/>
        <v>14</v>
      </c>
      <c r="R29" s="15">
        <f t="shared" si="16"/>
        <v>15</v>
      </c>
      <c r="S29" s="15">
        <f t="shared" si="16"/>
        <v>16</v>
      </c>
      <c r="AE29" s="46"/>
    </row>
    <row r="30" spans="1:31" ht="12" customHeight="1">
      <c r="A30" s="14" t="s">
        <v>160</v>
      </c>
      <c r="B30" s="47">
        <f>'Project Assumptions'!$N$56</f>
        <v>15</v>
      </c>
      <c r="C30" s="54"/>
      <c r="D30" s="139">
        <f>1/$B$30*0.5</f>
        <v>3.3333333333333333E-2</v>
      </c>
      <c r="E30" s="139">
        <f>IF(E29&lt;=$B$30,1/$B$30,IF(E29=$B$30+1,1/$B$30*0.5,0))</f>
        <v>6.6666666666666666E-2</v>
      </c>
      <c r="F30" s="139">
        <f t="shared" ref="F30:S30" si="17">IF(F29&lt;=$B$30,1/$B$30,IF(F29=$B$30+1,1/$B$30*0.5,0))</f>
        <v>6.6666666666666666E-2</v>
      </c>
      <c r="G30" s="139">
        <f t="shared" si="17"/>
        <v>6.6666666666666666E-2</v>
      </c>
      <c r="H30" s="139">
        <f t="shared" si="17"/>
        <v>6.6666666666666666E-2</v>
      </c>
      <c r="I30" s="139">
        <f t="shared" si="17"/>
        <v>6.6666666666666666E-2</v>
      </c>
      <c r="J30" s="139">
        <f t="shared" si="17"/>
        <v>6.6666666666666666E-2</v>
      </c>
      <c r="K30" s="139">
        <f t="shared" si="17"/>
        <v>6.6666666666666666E-2</v>
      </c>
      <c r="L30" s="139">
        <f t="shared" si="17"/>
        <v>6.6666666666666666E-2</v>
      </c>
      <c r="M30" s="139">
        <f t="shared" si="17"/>
        <v>6.6666666666666666E-2</v>
      </c>
      <c r="N30" s="139">
        <f t="shared" si="17"/>
        <v>6.6666666666666666E-2</v>
      </c>
      <c r="O30" s="139">
        <f t="shared" si="17"/>
        <v>6.6666666666666666E-2</v>
      </c>
      <c r="P30" s="139">
        <f t="shared" si="17"/>
        <v>6.6666666666666666E-2</v>
      </c>
      <c r="Q30" s="139">
        <f t="shared" si="17"/>
        <v>6.6666666666666666E-2</v>
      </c>
      <c r="R30" s="139">
        <f t="shared" si="17"/>
        <v>6.6666666666666666E-2</v>
      </c>
      <c r="S30" s="139">
        <f t="shared" si="17"/>
        <v>3.3333333333333333E-2</v>
      </c>
      <c r="AC30" s="266"/>
      <c r="AD30" s="48"/>
      <c r="AE30" s="49"/>
    </row>
    <row r="31" spans="1:31" ht="12" customHeight="1">
      <c r="A31" s="14" t="s">
        <v>153</v>
      </c>
      <c r="B31" s="47">
        <v>5</v>
      </c>
      <c r="D31" s="139">
        <v>0.1</v>
      </c>
      <c r="E31" s="139">
        <f>IF(E29&lt;=$B$31,(1/$B31),IF(E29=$B$31+1,(1/$B31)-$D$31,0))</f>
        <v>0.2</v>
      </c>
      <c r="F31" s="139">
        <f>IF(F29&lt;=$B$31,(1/$B31),IF(F29=$B$31+1,(1/$B31)-$D$31,0))</f>
        <v>0.2</v>
      </c>
      <c r="G31" s="139">
        <f>IF(G29&lt;=$B$31,(1/$B31),IF(G29=$B$31+1,(1/$B31)-$D$31,0))</f>
        <v>0.2</v>
      </c>
      <c r="H31" s="139">
        <f>IF(H29&lt;=$B$31,(1/$B31),IF(H29=$B$31+1,(1/$B31)-$D$31,0))</f>
        <v>0.2</v>
      </c>
      <c r="I31" s="139">
        <f>IF(I29&lt;=$B$31,(1/$B31),IF(I29=$B$31+1,(1/$B31)-$D$31,0))</f>
        <v>0.1</v>
      </c>
      <c r="J31" s="139">
        <f t="shared" ref="J31:S31" si="18">IF(J29&lt;=$B$31,(1/$B31),IF(J29=$B$31+1,(1/$B31)-$D$31,0))</f>
        <v>0</v>
      </c>
      <c r="K31" s="139">
        <f t="shared" si="18"/>
        <v>0</v>
      </c>
      <c r="L31" s="139">
        <f t="shared" si="18"/>
        <v>0</v>
      </c>
      <c r="M31" s="139">
        <f t="shared" si="18"/>
        <v>0</v>
      </c>
      <c r="N31" s="139">
        <f t="shared" si="18"/>
        <v>0</v>
      </c>
      <c r="O31" s="139">
        <f t="shared" si="18"/>
        <v>0</v>
      </c>
      <c r="P31" s="139">
        <f t="shared" si="18"/>
        <v>0</v>
      </c>
      <c r="Q31" s="139">
        <f t="shared" si="18"/>
        <v>0</v>
      </c>
      <c r="R31" s="139">
        <f t="shared" si="18"/>
        <v>0</v>
      </c>
      <c r="S31" s="139">
        <f t="shared" si="18"/>
        <v>0</v>
      </c>
      <c r="AD31" s="48"/>
      <c r="AE31" s="49"/>
    </row>
    <row r="32" spans="1:31" ht="12" customHeight="1">
      <c r="A32" s="14" t="s">
        <v>54</v>
      </c>
      <c r="B32" s="50">
        <f>+B9</f>
        <v>15</v>
      </c>
      <c r="D32" s="139">
        <f>((1-$C$30)/$B$32)*0.5</f>
        <v>3.3333333333333333E-2</v>
      </c>
      <c r="E32" s="139">
        <f>IF(E29&lt;=$B$32,(1/$B32),IF(E29=$B$32+1,(1/$B32)-$D$32,0))</f>
        <v>6.6666666666666666E-2</v>
      </c>
      <c r="F32" s="139">
        <f>IF(F29&lt;=$B$32,(1/$B32),IF(F29=$B$32+1,(1/$B32)-$D$32,0))</f>
        <v>6.6666666666666666E-2</v>
      </c>
      <c r="G32" s="139">
        <f>IF(G29&lt;=$B$32,(1/$B32),IF(G29=$B$32+1,(1/$B32)-$D$32,0))</f>
        <v>6.6666666666666666E-2</v>
      </c>
      <c r="H32" s="139">
        <f>IF(H29&lt;=$B$32,(1/$B32),IF(H29=$B$32+1,(1/$B32)-$D$32,0))</f>
        <v>6.6666666666666666E-2</v>
      </c>
      <c r="I32" s="139">
        <f>IF(I29&lt;=$B$32,(1/$B32),IF(I29=$B$32+1,(1/$B32)-$D$32,0))</f>
        <v>6.6666666666666666E-2</v>
      </c>
      <c r="J32" s="139">
        <f t="shared" ref="J32:S32" si="19">IF(J29&lt;=$B$32,(1/$B32),IF(J29=$B$32+1,(1/$B32)-$D$32,0))</f>
        <v>6.6666666666666666E-2</v>
      </c>
      <c r="K32" s="139">
        <f t="shared" si="19"/>
        <v>6.6666666666666666E-2</v>
      </c>
      <c r="L32" s="139">
        <f t="shared" si="19"/>
        <v>6.6666666666666666E-2</v>
      </c>
      <c r="M32" s="139">
        <f t="shared" si="19"/>
        <v>6.6666666666666666E-2</v>
      </c>
      <c r="N32" s="139">
        <f t="shared" si="19"/>
        <v>6.6666666666666666E-2</v>
      </c>
      <c r="O32" s="139">
        <f t="shared" si="19"/>
        <v>6.6666666666666666E-2</v>
      </c>
      <c r="P32" s="139">
        <f t="shared" si="19"/>
        <v>6.6666666666666666E-2</v>
      </c>
      <c r="Q32" s="139">
        <f t="shared" si="19"/>
        <v>6.6666666666666666E-2</v>
      </c>
      <c r="R32" s="139">
        <f t="shared" si="19"/>
        <v>6.6666666666666666E-2</v>
      </c>
      <c r="S32" s="139">
        <f t="shared" si="19"/>
        <v>3.3333333333333333E-2</v>
      </c>
      <c r="AD32" s="48"/>
      <c r="AE32" s="49"/>
    </row>
    <row r="33" spans="1:31" ht="12" customHeight="1">
      <c r="B33" s="16"/>
    </row>
    <row r="34" spans="1:31" ht="12" customHeight="1">
      <c r="A34" s="14" t="s">
        <v>161</v>
      </c>
      <c r="B34" s="52">
        <f>B11</f>
        <v>113330.31563071515</v>
      </c>
      <c r="D34" s="52">
        <f>D30*($B34-(($B$34/$B$37)*'Project Assumptions'!$N$57))</f>
        <v>3453.0378062665395</v>
      </c>
      <c r="E34" s="52">
        <f>E30*($B34-(($B$34/$B$37)*'Project Assumptions'!$N$57))</f>
        <v>6906.075612533079</v>
      </c>
      <c r="F34" s="52">
        <f>F30*($B34-(($B$34/$B$37)*'Project Assumptions'!$N$57))</f>
        <v>6906.075612533079</v>
      </c>
      <c r="G34" s="52">
        <f>G30*($B34-(($B$34/$B$37)*'Project Assumptions'!$N$57))</f>
        <v>6906.075612533079</v>
      </c>
      <c r="H34" s="52">
        <f>H30*($B34-(($B$34/$B$37)*'Project Assumptions'!$N$57))</f>
        <v>6906.075612533079</v>
      </c>
      <c r="I34" s="52">
        <f>I30*($B34-(($B$34/$B$37)*'Project Assumptions'!$N$57))</f>
        <v>6906.075612533079</v>
      </c>
      <c r="J34" s="52">
        <f>J30*($B34-(($B$34/$B$37)*'Project Assumptions'!$N$57))</f>
        <v>6906.075612533079</v>
      </c>
      <c r="K34" s="52">
        <f>K30*($B34-(($B$34/$B$37)*'Project Assumptions'!$N$57))</f>
        <v>6906.075612533079</v>
      </c>
      <c r="L34" s="52">
        <f>L30*($B34-(($B$34/$B$37)*'Project Assumptions'!$N$57))</f>
        <v>6906.075612533079</v>
      </c>
      <c r="M34" s="52">
        <f>M30*($B34-(($B$34/$B$37)*'Project Assumptions'!$N$57))</f>
        <v>6906.075612533079</v>
      </c>
      <c r="N34" s="52">
        <f>N30*($B34-(($B$34/$B$37)*'Project Assumptions'!$N$57))</f>
        <v>6906.075612533079</v>
      </c>
      <c r="O34" s="52">
        <f>O30*($B34-(($B$34/$B$37)*'Project Assumptions'!$N$57))</f>
        <v>6906.075612533079</v>
      </c>
      <c r="P34" s="52">
        <f>P30*($B34-(($B$34/$B$37)*'Project Assumptions'!$N$57))</f>
        <v>6906.075612533079</v>
      </c>
      <c r="Q34" s="52">
        <f>Q30*($B34-(($B$34/$B$37)*'Project Assumptions'!$N$57))</f>
        <v>6906.075612533079</v>
      </c>
      <c r="R34" s="52">
        <f>R30*($B34-(($B$34/$B$37)*'Project Assumptions'!$N$57))</f>
        <v>6906.075612533079</v>
      </c>
      <c r="S34" s="52">
        <f>S30*($B34-(($B$34/$B$37)*'Project Assumptions'!$N$57))</f>
        <v>3453.0378062665395</v>
      </c>
      <c r="AC34" s="20"/>
      <c r="AD34" s="20"/>
      <c r="AE34" s="20"/>
    </row>
    <row r="35" spans="1:31" ht="12" customHeight="1">
      <c r="A35" s="14" t="s">
        <v>155</v>
      </c>
      <c r="B35" s="31">
        <f>B12</f>
        <v>3035.0240000000003</v>
      </c>
      <c r="D35" s="31">
        <f>D31*($B35-(($B$35/$B$37)*'Project Assumptions'!$N$57))</f>
        <v>277.4205442718972</v>
      </c>
      <c r="E35" s="31">
        <f>E31*($B35-(($B$35/$B$37)*'Project Assumptions'!$N$57))</f>
        <v>554.8410885437944</v>
      </c>
      <c r="F35" s="31">
        <f>F31*($B35-(($B$35/$B$37)*'Project Assumptions'!$N$57))</f>
        <v>554.8410885437944</v>
      </c>
      <c r="G35" s="31">
        <f>G31*($B35-(($B$35/$B$37)*'Project Assumptions'!$N$57))</f>
        <v>554.8410885437944</v>
      </c>
      <c r="H35" s="31">
        <f>H31*($B35-(($B$35/$B$37)*'Project Assumptions'!$N$57))</f>
        <v>554.8410885437944</v>
      </c>
      <c r="I35" s="31">
        <f>I31*($B35-(($B$35/$B$37)*'Project Assumptions'!$N$57))</f>
        <v>277.4205442718972</v>
      </c>
      <c r="J35" s="31">
        <f>J31*($B35-(($B$35/$B$37)*'Project Assumptions'!$N$57))</f>
        <v>0</v>
      </c>
      <c r="K35" s="31">
        <f>K31*($B35-(($B$35/$B$37)*'Project Assumptions'!$N$57))</f>
        <v>0</v>
      </c>
      <c r="L35" s="31">
        <f>L31*($B35-(($B$35/$B$37)*'Project Assumptions'!$N$57))</f>
        <v>0</v>
      </c>
      <c r="M35" s="31">
        <f>M31*($B35-(($B$35/$B$37)*'Project Assumptions'!$N$57))</f>
        <v>0</v>
      </c>
      <c r="N35" s="31">
        <f>N31*($B35-(($B$35/$B$37)*'Project Assumptions'!$N$57))</f>
        <v>0</v>
      </c>
      <c r="O35" s="31">
        <f>O31*($B35-(($B$35/$B$37)*'Project Assumptions'!$N$57))</f>
        <v>0</v>
      </c>
      <c r="P35" s="31">
        <f>P31*($B35-(($B$35/$B$37)*'Project Assumptions'!$N$57))</f>
        <v>0</v>
      </c>
      <c r="Q35" s="31">
        <f>Q31*($B35-(($B$35/$B$37)*'Project Assumptions'!$N$57))</f>
        <v>0</v>
      </c>
      <c r="R35" s="31">
        <f>R31*($B35-(($B$35/$B$37)*'Project Assumptions'!$N$57))</f>
        <v>0</v>
      </c>
      <c r="S35" s="31">
        <f>S31*($B35-(($B$35/$B$37)*'Project Assumptions'!$N$57))</f>
        <v>0</v>
      </c>
      <c r="AC35" s="20"/>
      <c r="AD35" s="20"/>
      <c r="AE35" s="53"/>
    </row>
    <row r="36" spans="1:31" ht="12" customHeight="1">
      <c r="A36" s="14" t="s">
        <v>156</v>
      </c>
      <c r="B36" s="141">
        <f>B13</f>
        <v>0</v>
      </c>
      <c r="D36" s="141">
        <f>D32*($B36-(($B$36/$B$37)*'Project Assumptions'!$N$57))</f>
        <v>0</v>
      </c>
      <c r="E36" s="141">
        <f>E32*($B36-(($B$36/$B$37)*'Project Assumptions'!$N$57))</f>
        <v>0</v>
      </c>
      <c r="F36" s="141">
        <f>F32*($B36-(($B$36/$B$37)*'Project Assumptions'!$N$57))</f>
        <v>0</v>
      </c>
      <c r="G36" s="141">
        <f>G32*($B36-(($B$36/$B$37)*'Project Assumptions'!$N$57))</f>
        <v>0</v>
      </c>
      <c r="H36" s="141">
        <f>H32*($B36-(($B$36/$B$37)*'Project Assumptions'!$N$57))</f>
        <v>0</v>
      </c>
      <c r="I36" s="141">
        <f>I32*($B36-(($B$36/$B$37)*'Project Assumptions'!$N$57))</f>
        <v>0</v>
      </c>
      <c r="J36" s="141">
        <f>J32*($B36-(($B$36/$B$37)*'Project Assumptions'!$N$57))</f>
        <v>0</v>
      </c>
      <c r="K36" s="141">
        <f>K32*($B36-(($B$36/$B$37)*'Project Assumptions'!$N$57))</f>
        <v>0</v>
      </c>
      <c r="L36" s="141">
        <f>L32*($B36-(($B$36/$B$37)*'Project Assumptions'!$N$57))</f>
        <v>0</v>
      </c>
      <c r="M36" s="141">
        <f>M32*($B36-(($B$36/$B$37)*'Project Assumptions'!$N$57))</f>
        <v>0</v>
      </c>
      <c r="N36" s="141">
        <f>N32*($B36-(($B$36/$B$37)*'Project Assumptions'!$N$57))</f>
        <v>0</v>
      </c>
      <c r="O36" s="141">
        <f>O32*($B36-(($B$36/$B$37)*'Project Assumptions'!$N$57))</f>
        <v>0</v>
      </c>
      <c r="P36" s="141">
        <f>P32*($B36-(($B$36/$B$37)*'Project Assumptions'!$N$57))</f>
        <v>0</v>
      </c>
      <c r="Q36" s="141">
        <f>Q32*($B36-(($B$36/$B$37)*'Project Assumptions'!$N$57))</f>
        <v>0</v>
      </c>
      <c r="R36" s="141">
        <f>R32*($B36-(($B$36/$B$37)*'Project Assumptions'!$N$57))</f>
        <v>0</v>
      </c>
      <c r="S36" s="141">
        <f>S32*($B36-(($B$36/$B$37)*'Project Assumptions'!$N$57))</f>
        <v>0</v>
      </c>
      <c r="AC36" s="20"/>
      <c r="AD36" s="20"/>
      <c r="AE36" s="53"/>
    </row>
    <row r="37" spans="1:31" ht="12" customHeight="1">
      <c r="A37" s="14" t="s">
        <v>162</v>
      </c>
      <c r="B37" s="52">
        <f>SUM(B34:B36)</f>
        <v>116365.33963071516</v>
      </c>
      <c r="D37" s="52">
        <f t="shared" ref="D37:S37" si="20">SUM(D34:D36)</f>
        <v>3730.4583505384367</v>
      </c>
      <c r="E37" s="52">
        <f t="shared" si="20"/>
        <v>7460.9167010768733</v>
      </c>
      <c r="F37" s="52">
        <f t="shared" si="20"/>
        <v>7460.9167010768733</v>
      </c>
      <c r="G37" s="52">
        <f t="shared" si="20"/>
        <v>7460.9167010768733</v>
      </c>
      <c r="H37" s="52">
        <f t="shared" si="20"/>
        <v>7460.9167010768733</v>
      </c>
      <c r="I37" s="52">
        <f t="shared" si="20"/>
        <v>7183.4961568049766</v>
      </c>
      <c r="J37" s="52">
        <f t="shared" si="20"/>
        <v>6906.075612533079</v>
      </c>
      <c r="K37" s="52">
        <f t="shared" si="20"/>
        <v>6906.075612533079</v>
      </c>
      <c r="L37" s="52">
        <f t="shared" si="20"/>
        <v>6906.075612533079</v>
      </c>
      <c r="M37" s="52">
        <f t="shared" si="20"/>
        <v>6906.075612533079</v>
      </c>
      <c r="N37" s="52">
        <f t="shared" si="20"/>
        <v>6906.075612533079</v>
      </c>
      <c r="O37" s="52">
        <f t="shared" si="20"/>
        <v>6906.075612533079</v>
      </c>
      <c r="P37" s="52">
        <f t="shared" si="20"/>
        <v>6906.075612533079</v>
      </c>
      <c r="Q37" s="52">
        <f t="shared" si="20"/>
        <v>6906.075612533079</v>
      </c>
      <c r="R37" s="52">
        <f t="shared" si="20"/>
        <v>6906.075612533079</v>
      </c>
      <c r="S37" s="52">
        <f t="shared" si="20"/>
        <v>3453.0378062665395</v>
      </c>
      <c r="AC37" s="20"/>
      <c r="AD37" s="20"/>
      <c r="AE37" s="53"/>
    </row>
    <row r="38" spans="1:31" ht="12" customHeight="1">
      <c r="A38" s="14"/>
      <c r="B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AC38" s="20"/>
      <c r="AD38" s="20"/>
      <c r="AE38" s="53"/>
    </row>
    <row r="39" spans="1:31" ht="12" customHeight="1">
      <c r="A39" s="14" t="s">
        <v>163</v>
      </c>
      <c r="B39" s="52"/>
      <c r="D39" s="52">
        <f>B37-D37</f>
        <v>112634.88128017672</v>
      </c>
      <c r="E39" s="52">
        <f>D39-E37</f>
        <v>105173.96457909985</v>
      </c>
      <c r="F39" s="52">
        <f t="shared" ref="F39:S39" si="21">E39-F37</f>
        <v>97713.047878022975</v>
      </c>
      <c r="G39" s="52">
        <f t="shared" si="21"/>
        <v>90252.131176946103</v>
      </c>
      <c r="H39" s="52">
        <f t="shared" si="21"/>
        <v>82791.21447586923</v>
      </c>
      <c r="I39" s="52">
        <f t="shared" si="21"/>
        <v>75607.718319064254</v>
      </c>
      <c r="J39" s="52">
        <f>I39-J37</f>
        <v>68701.642706531173</v>
      </c>
      <c r="K39" s="52">
        <f t="shared" si="21"/>
        <v>61795.567093998092</v>
      </c>
      <c r="L39" s="52">
        <f t="shared" si="21"/>
        <v>54889.491481465011</v>
      </c>
      <c r="M39" s="52">
        <f t="shared" si="21"/>
        <v>47983.41586893193</v>
      </c>
      <c r="N39" s="52">
        <f t="shared" si="21"/>
        <v>41077.340256398849</v>
      </c>
      <c r="O39" s="52">
        <f t="shared" si="21"/>
        <v>34171.264643865768</v>
      </c>
      <c r="P39" s="52">
        <f t="shared" si="21"/>
        <v>27265.189031332688</v>
      </c>
      <c r="Q39" s="52">
        <f t="shared" si="21"/>
        <v>20359.113418799607</v>
      </c>
      <c r="R39" s="52">
        <f t="shared" si="21"/>
        <v>13453.037806266528</v>
      </c>
      <c r="S39" s="52">
        <f t="shared" si="21"/>
        <v>9999.9999999999891</v>
      </c>
      <c r="AC39" s="20"/>
      <c r="AD39" s="20"/>
      <c r="AE39" s="53"/>
    </row>
    <row r="40" spans="1:31" ht="12" customHeight="1"/>
    <row r="41" spans="1:31" ht="12" customHeight="1">
      <c r="A41" s="95" t="s">
        <v>75</v>
      </c>
      <c r="B41" s="16" t="s">
        <v>0</v>
      </c>
      <c r="D41" s="5">
        <v>1</v>
      </c>
      <c r="E41" s="5">
        <f>D41+1</f>
        <v>2</v>
      </c>
      <c r="F41" s="1">
        <f t="shared" ref="F41:S41" si="22">E41+1</f>
        <v>3</v>
      </c>
      <c r="G41" s="1">
        <f t="shared" si="22"/>
        <v>4</v>
      </c>
      <c r="H41" s="1">
        <f t="shared" si="22"/>
        <v>5</v>
      </c>
      <c r="I41" s="1">
        <f t="shared" si="22"/>
        <v>6</v>
      </c>
      <c r="J41" s="1">
        <f>I41+1</f>
        <v>7</v>
      </c>
      <c r="K41" s="3">
        <f t="shared" si="22"/>
        <v>8</v>
      </c>
      <c r="L41" s="1">
        <f t="shared" si="22"/>
        <v>9</v>
      </c>
      <c r="M41" s="1">
        <f t="shared" si="22"/>
        <v>10</v>
      </c>
      <c r="N41" s="1">
        <f t="shared" si="22"/>
        <v>11</v>
      </c>
      <c r="O41" s="1">
        <f t="shared" si="22"/>
        <v>12</v>
      </c>
      <c r="P41" s="1">
        <f t="shared" si="22"/>
        <v>13</v>
      </c>
      <c r="Q41" s="3">
        <f t="shared" si="22"/>
        <v>14</v>
      </c>
      <c r="R41" s="1">
        <f t="shared" si="22"/>
        <v>15</v>
      </c>
      <c r="S41" s="1">
        <f t="shared" si="22"/>
        <v>16</v>
      </c>
      <c r="AC41" s="3"/>
      <c r="AE41" s="46"/>
    </row>
    <row r="42" spans="1:31" ht="12" customHeight="1">
      <c r="A42" s="14" t="s">
        <v>164</v>
      </c>
      <c r="B42" s="52">
        <f>'Project Assumptions'!$C$18*'Project Assumptions'!$N$49</f>
        <v>31647.203999999998</v>
      </c>
      <c r="C42" s="48"/>
      <c r="D42" s="267"/>
      <c r="E42" s="267">
        <v>0.96</v>
      </c>
      <c r="F42" s="267">
        <v>0.92</v>
      </c>
      <c r="G42" s="267">
        <v>0.88</v>
      </c>
      <c r="H42" s="267">
        <v>0.84</v>
      </c>
      <c r="I42" s="267">
        <v>0.8</v>
      </c>
      <c r="J42" s="267">
        <v>0.76</v>
      </c>
      <c r="K42" s="267">
        <v>0.72</v>
      </c>
      <c r="L42" s="267">
        <v>0.68</v>
      </c>
      <c r="M42" s="267">
        <v>0.64</v>
      </c>
      <c r="N42" s="267">
        <v>0.6</v>
      </c>
      <c r="O42" s="267">
        <v>0.56000000000000005</v>
      </c>
      <c r="P42" s="267">
        <v>0.52</v>
      </c>
      <c r="Q42" s="267">
        <v>0.48</v>
      </c>
      <c r="R42" s="267">
        <v>0.44</v>
      </c>
      <c r="S42" s="267">
        <v>0.4</v>
      </c>
      <c r="AC42" s="139"/>
      <c r="AD42" s="48"/>
      <c r="AE42" s="49"/>
    </row>
    <row r="43" spans="1:31" ht="11.25" customHeight="1">
      <c r="A43" s="14" t="s">
        <v>165</v>
      </c>
      <c r="B43" s="16"/>
      <c r="D43" s="57">
        <v>0</v>
      </c>
      <c r="E43" s="57">
        <f>$B$42*E42</f>
        <v>30381.315839999996</v>
      </c>
      <c r="F43" s="57">
        <f t="shared" ref="F43:S43" si="23">$B$42*F42</f>
        <v>29115.427680000001</v>
      </c>
      <c r="G43" s="57">
        <f t="shared" si="23"/>
        <v>27849.539519999998</v>
      </c>
      <c r="H43" s="57">
        <f t="shared" si="23"/>
        <v>26583.651359999996</v>
      </c>
      <c r="I43" s="57">
        <f t="shared" si="23"/>
        <v>25317.763200000001</v>
      </c>
      <c r="J43" s="57">
        <f t="shared" si="23"/>
        <v>24051.875039999999</v>
      </c>
      <c r="K43" s="57">
        <f t="shared" si="23"/>
        <v>22785.986879999997</v>
      </c>
      <c r="L43" s="57">
        <f t="shared" si="23"/>
        <v>21520.098720000002</v>
      </c>
      <c r="M43" s="57">
        <f t="shared" si="23"/>
        <v>20254.21056</v>
      </c>
      <c r="N43" s="57">
        <f t="shared" si="23"/>
        <v>18988.322399999997</v>
      </c>
      <c r="O43" s="57">
        <f t="shared" si="23"/>
        <v>17722.434240000002</v>
      </c>
      <c r="P43" s="57">
        <f t="shared" si="23"/>
        <v>16456.54608</v>
      </c>
      <c r="Q43" s="57">
        <f t="shared" si="23"/>
        <v>15190.657919999998</v>
      </c>
      <c r="R43" s="57">
        <f t="shared" si="23"/>
        <v>13924.769759999999</v>
      </c>
      <c r="S43" s="57">
        <f t="shared" si="23"/>
        <v>12658.881600000001</v>
      </c>
      <c r="AC43" s="53"/>
    </row>
    <row r="44" spans="1:31" ht="11.25" customHeight="1">
      <c r="A44" s="14"/>
      <c r="B44" s="20"/>
      <c r="D44" s="53"/>
      <c r="E44" s="316">
        <v>0.65</v>
      </c>
      <c r="F44" s="316">
        <f>IF(E41&lt;='Project Assumptions'!$N$51,MIN(E44+0.1,1),1)</f>
        <v>0.75</v>
      </c>
      <c r="G44" s="316">
        <f>IF(F41&lt;='Project Assumptions'!$N$51,MIN(F44+0.1,1),1)</f>
        <v>0.85</v>
      </c>
      <c r="H44" s="316">
        <f>IF(G41&lt;='Project Assumptions'!$N$51,MIN(G44+0.05,1),1)</f>
        <v>0.9</v>
      </c>
      <c r="I44" s="316">
        <f>IF(H41&lt;='Project Assumptions'!$N$51,MIN(H44+0.05,1),1)</f>
        <v>0.95000000000000007</v>
      </c>
      <c r="J44" s="316">
        <f>IF(I41&lt;='Project Assumptions'!$N$51,MIN(I44+0.1,1),1)</f>
        <v>1</v>
      </c>
      <c r="K44" s="316">
        <f>IF(J41&lt;='Project Assumptions'!$N$51,MIN(J44+0.1,1),1)</f>
        <v>1</v>
      </c>
      <c r="L44" s="316">
        <f>IF(K41&lt;='Project Assumptions'!$N$51,MIN(K44+0.1,1),1)</f>
        <v>1</v>
      </c>
      <c r="M44" s="316">
        <f>IF(L41&lt;='Project Assumptions'!$N$51,MIN(L44+0.1,1),1)</f>
        <v>1</v>
      </c>
      <c r="N44" s="316">
        <f>IF(M41&lt;='Project Assumptions'!$N$51,MIN(M44+0.1,1),1)</f>
        <v>1</v>
      </c>
      <c r="O44" s="316">
        <f>IF(N41&lt;='Project Assumptions'!$N$51,MIN(N44+0.1,1),1)</f>
        <v>1</v>
      </c>
      <c r="P44" s="316">
        <f>IF(O41&lt;='Project Assumptions'!$N$51,MIN(O44+0.1,1),1)</f>
        <v>1</v>
      </c>
      <c r="Q44" s="316">
        <f>IF(P41&lt;='Project Assumptions'!$N$51,MIN(P44+0.1,1),1)</f>
        <v>1</v>
      </c>
      <c r="R44" s="316">
        <f>IF(Q41&lt;='Project Assumptions'!$N$51,MIN(Q44+0.1,1),1)</f>
        <v>1</v>
      </c>
      <c r="S44" s="316">
        <f>IF(R41&lt;='Project Assumptions'!$N$51,MIN(R44+0.1,1),1)</f>
        <v>1</v>
      </c>
      <c r="AC44" s="53"/>
      <c r="AD44" s="20"/>
      <c r="AE44" s="20"/>
    </row>
    <row r="45" spans="1:31" ht="12" customHeight="1">
      <c r="A45" s="14" t="s">
        <v>166</v>
      </c>
      <c r="B45" s="47"/>
      <c r="D45" s="57">
        <v>0</v>
      </c>
      <c r="E45" s="52">
        <f>IF(ISNUMBER('Project Assumptions'!$N$51),IF(Depreciation!D$41&lt;='Project Assumptions'!$N$51,Depreciation!E$43*'Project Assumptions'!$N$50*E44,Depreciation!E$43*'Project Assumptions'!$N$50),Depreciation!E$43*'Project Assumptions'!$N$50)</f>
        <v>276.46997414399999</v>
      </c>
      <c r="F45" s="52">
        <f>IF(ISNUMBER('Project Assumptions'!$N$51),IF(Depreciation!E$41&lt;='Project Assumptions'!$N$51,Depreciation!F$43*'Project Assumptions'!$N$50*F44,Depreciation!F$43*'Project Assumptions'!$N$50),Depreciation!F$43*'Project Assumptions'!$N$50)</f>
        <v>305.71199064000001</v>
      </c>
      <c r="G45" s="52">
        <f>IF(ISNUMBER('Project Assumptions'!$N$51),IF(Depreciation!F$41&lt;='Project Assumptions'!$N$51,Depreciation!G$43*'Project Assumptions'!$N$50*G44,Depreciation!G$43*'Project Assumptions'!$N$50),Depreciation!G$43*'Project Assumptions'!$N$50)</f>
        <v>331.40952028800001</v>
      </c>
      <c r="H45" s="52">
        <f>IF(ISNUMBER('Project Assumptions'!$N$51),IF(Depreciation!G$41&lt;='Project Assumptions'!$N$51,Depreciation!H$43*'Project Assumptions'!$N$50*H44,Depreciation!H$43*'Project Assumptions'!$N$50),Depreciation!H$43*'Project Assumptions'!$N$50)</f>
        <v>334.95400713599997</v>
      </c>
      <c r="I45" s="52">
        <f>IF(ISNUMBER('Project Assumptions'!$N$51),IF(Depreciation!H$41&lt;='Project Assumptions'!$N$51,Depreciation!I$43*'Project Assumptions'!$N$50*I44,Depreciation!I$43*'Project Assumptions'!$N$50),Depreciation!I$43*'Project Assumptions'!$N$50)</f>
        <v>336.72625056000004</v>
      </c>
      <c r="J45" s="52">
        <f>IF(ISNUMBER('Project Assumptions'!$N$51),IF(Depreciation!I$41&lt;='Project Assumptions'!$N$51,Depreciation!J$43*'Project Assumptions'!$N$50*J44,Depreciation!J$43*'Project Assumptions'!$N$50),Depreciation!J$43*'Project Assumptions'!$N$50)</f>
        <v>336.72625055999998</v>
      </c>
      <c r="K45" s="52">
        <f>IF(ISNUMBER('Project Assumptions'!$N$51),IF(Depreciation!J$41&lt;='Project Assumptions'!$N$51,Depreciation!K$43*'Project Assumptions'!$N$50*K44,Depreciation!K$43*'Project Assumptions'!$N$50),Depreciation!K$43*'Project Assumptions'!$N$50)</f>
        <v>319.00381631999994</v>
      </c>
      <c r="L45" s="52">
        <f>IF(ISNUMBER('Project Assumptions'!$N$51),IF(Depreciation!K$41&lt;='Project Assumptions'!$N$51,Depreciation!L$43*'Project Assumptions'!$N$50*L44,Depreciation!L$43*'Project Assumptions'!$N$50),Depreciation!L$43*'Project Assumptions'!$N$50)</f>
        <v>301.28138208000001</v>
      </c>
      <c r="M45" s="52">
        <f>IF(ISNUMBER('Project Assumptions'!$N$51),IF(Depreciation!L$41&lt;='Project Assumptions'!$N$51,Depreciation!M$43*'Project Assumptions'!$N$50*M44,Depreciation!M$43*'Project Assumptions'!$N$50),Depreciation!M$43*'Project Assumptions'!$N$50)</f>
        <v>283.55894783999997</v>
      </c>
      <c r="N45" s="52">
        <f>IF(ISNUMBER('Project Assumptions'!$N$51),IF(Depreciation!M$41&lt;='Project Assumptions'!$N$51,Depreciation!N$43*'Project Assumptions'!$N$50*N44,Depreciation!N$43*'Project Assumptions'!$N$50),Depreciation!N$43*'Project Assumptions'!$N$50)</f>
        <v>265.83651359999999</v>
      </c>
      <c r="O45" s="52">
        <f>IF(ISNUMBER('Project Assumptions'!$N$51),IF(Depreciation!N$41&lt;='Project Assumptions'!$N$51,Depreciation!O$43*'Project Assumptions'!$N$50*O44,Depreciation!O$43*'Project Assumptions'!$N$50),Depreciation!O$43*'Project Assumptions'!$N$50)</f>
        <v>248.11407936000003</v>
      </c>
      <c r="P45" s="52">
        <f>IF(ISNUMBER('Project Assumptions'!$N$51),IF(Depreciation!O$41&lt;='Project Assumptions'!$N$51,Depreciation!P$43*'Project Assumptions'!$N$50*P44,Depreciation!P$43*'Project Assumptions'!$N$50),Depreciation!P$43*'Project Assumptions'!$N$50)</f>
        <v>230.39164511999999</v>
      </c>
      <c r="Q45" s="52">
        <f>IF(ISNUMBER('Project Assumptions'!$N$51),IF(Depreciation!P$41&lt;='Project Assumptions'!$N$51,Depreciation!Q$43*'Project Assumptions'!$N$50*Q44,Depreciation!Q$43*'Project Assumptions'!$N$50),Depreciation!Q$43*'Project Assumptions'!$N$50)</f>
        <v>212.66921087999998</v>
      </c>
      <c r="R45" s="52">
        <f>IF(ISNUMBER('Project Assumptions'!$N$51),IF(Depreciation!Q$41&lt;='Project Assumptions'!$N$51,Depreciation!R$43*'Project Assumptions'!$N$50*R44,Depreciation!R$43*'Project Assumptions'!$N$50),Depreciation!R$43*'Project Assumptions'!$N$50)</f>
        <v>194.94677664</v>
      </c>
      <c r="S45" s="52">
        <f>IF(ISNUMBER('Project Assumptions'!$N$51),IF(Depreciation!R$41&lt;='Project Assumptions'!$N$51,Depreciation!S$43*'Project Assumptions'!$N$50*S44,Depreciation!S$43*'Project Assumptions'!$N$50),Depreciation!S$43*'Project Assumptions'!$N$50)</f>
        <v>177.22434240000001</v>
      </c>
      <c r="AC45" s="52"/>
      <c r="AD45" s="48"/>
      <c r="AE45" s="49"/>
    </row>
    <row r="46" spans="1:31" ht="12" customHeight="1">
      <c r="A46" s="14" t="s">
        <v>167</v>
      </c>
      <c r="B46" s="55"/>
      <c r="D46" s="31">
        <v>0</v>
      </c>
      <c r="E46" s="31">
        <f>IF(ISNUMBER('Project Assumptions'!$N$53),IF(Depreciation!D$41&lt;='Project Assumptions'!$N$53,Depreciation!E$43*'Project Assumptions'!$N$52*E44,Depreciation!E$43*'Project Assumptions'!$N$52),Depreciation!E$43*'Project Assumptions'!$N$52)</f>
        <v>276.46997414399999</v>
      </c>
      <c r="F46" s="31">
        <f>IF(ISNUMBER('Project Assumptions'!$N$53),IF(Depreciation!E$41&lt;='Project Assumptions'!$N$53,Depreciation!F$43*'Project Assumptions'!$N$52*F44,Depreciation!F$43*'Project Assumptions'!$N$52),Depreciation!F$43*'Project Assumptions'!$N$52)</f>
        <v>305.71199064000001</v>
      </c>
      <c r="G46" s="31">
        <f>IF(ISNUMBER('Project Assumptions'!$N$53),IF(Depreciation!F$41&lt;='Project Assumptions'!$N$53,Depreciation!G$43*'Project Assumptions'!$N$52*G44,Depreciation!G$43*'Project Assumptions'!$N$52),Depreciation!G$43*'Project Assumptions'!$N$52)</f>
        <v>331.40952028800001</v>
      </c>
      <c r="H46" s="31">
        <f>IF(ISNUMBER('Project Assumptions'!$N$53),IF(Depreciation!G$41&lt;='Project Assumptions'!$N$53,Depreciation!H$43*'Project Assumptions'!$N$52*H44,Depreciation!H$43*'Project Assumptions'!$N$52),Depreciation!H$43*'Project Assumptions'!$N$52)</f>
        <v>334.95400713599997</v>
      </c>
      <c r="I46" s="31">
        <f>IF(ISNUMBER('Project Assumptions'!$N$53),IF(Depreciation!H$41&lt;='Project Assumptions'!$N$53,Depreciation!I$43*'Project Assumptions'!$N$52*I44,Depreciation!I$43*'Project Assumptions'!$N$52),Depreciation!I$43*'Project Assumptions'!$N$52)</f>
        <v>336.72625056000004</v>
      </c>
      <c r="J46" s="31">
        <f>IF(ISNUMBER('Project Assumptions'!$N$53),IF(Depreciation!I$41&lt;='Project Assumptions'!$N$53,Depreciation!J$43*'Project Assumptions'!$N$52*J44,Depreciation!J$43*'Project Assumptions'!$N$52),Depreciation!J$43*'Project Assumptions'!$N$52)</f>
        <v>336.72625055999998</v>
      </c>
      <c r="K46" s="31">
        <f>IF(ISNUMBER('Project Assumptions'!$N$53),IF(Depreciation!J$41&lt;='Project Assumptions'!$N$53,Depreciation!K$43*'Project Assumptions'!$N$52*K44,Depreciation!K$43*'Project Assumptions'!$N$52),Depreciation!K$43*'Project Assumptions'!$N$52)</f>
        <v>319.00381631999994</v>
      </c>
      <c r="L46" s="31">
        <f>IF(ISNUMBER('Project Assumptions'!$N$53),IF(Depreciation!K$41&lt;='Project Assumptions'!$N$53,Depreciation!L$43*'Project Assumptions'!$N$52*L44,Depreciation!L$43*'Project Assumptions'!$N$52),Depreciation!L$43*'Project Assumptions'!$N$52)</f>
        <v>301.28138208000001</v>
      </c>
      <c r="M46" s="31">
        <f>IF(ISNUMBER('Project Assumptions'!$N$53),IF(Depreciation!L$41&lt;='Project Assumptions'!$N$53,Depreciation!M$43*'Project Assumptions'!$N$52*M44,Depreciation!M$43*'Project Assumptions'!$N$52),Depreciation!M$43*'Project Assumptions'!$N$52)</f>
        <v>283.55894783999997</v>
      </c>
      <c r="N46" s="31">
        <f>IF(ISNUMBER('Project Assumptions'!$N$53),IF(Depreciation!M$41&lt;='Project Assumptions'!$N$53,Depreciation!N$43*'Project Assumptions'!$N$52*N44,Depreciation!N$43*'Project Assumptions'!$N$52),Depreciation!N$43*'Project Assumptions'!$N$52)</f>
        <v>265.83651359999999</v>
      </c>
      <c r="O46" s="31">
        <f>IF(ISNUMBER('Project Assumptions'!$N$53),IF(Depreciation!N$41&lt;='Project Assumptions'!$N$53,Depreciation!O$43*'Project Assumptions'!$N$52*O44,Depreciation!O$43*'Project Assumptions'!$N$52),Depreciation!O$43*'Project Assumptions'!$N$52)</f>
        <v>248.11407936000003</v>
      </c>
      <c r="P46" s="31">
        <f>IF(ISNUMBER('Project Assumptions'!$N$53),IF(Depreciation!O$41&lt;='Project Assumptions'!$N$53,Depreciation!P$43*'Project Assumptions'!$N$52*P44,Depreciation!P$43*'Project Assumptions'!$N$52),Depreciation!P$43*'Project Assumptions'!$N$52)</f>
        <v>230.39164511999999</v>
      </c>
      <c r="Q46" s="31">
        <f>IF(ISNUMBER('Project Assumptions'!$N$53),IF(Depreciation!P$41&lt;='Project Assumptions'!$N$53,Depreciation!Q$43*'Project Assumptions'!$N$52*Q44,Depreciation!Q$43*'Project Assumptions'!$N$52),Depreciation!Q$43*'Project Assumptions'!$N$52)</f>
        <v>212.66921087999998</v>
      </c>
      <c r="R46" s="31">
        <f>IF(ISNUMBER('Project Assumptions'!$N$53),IF(Depreciation!Q$41&lt;='Project Assumptions'!$N$53,Depreciation!R$43*'Project Assumptions'!$N$52*R44,Depreciation!R$43*'Project Assumptions'!$N$52),Depreciation!R$43*'Project Assumptions'!$N$52)</f>
        <v>194.94677664</v>
      </c>
      <c r="S46" s="31">
        <f>IF(ISNUMBER('Project Assumptions'!$N$53),IF(Depreciation!R$41&lt;='Project Assumptions'!$N$53,Depreciation!S$43*'Project Assumptions'!$N$52*S44,Depreciation!S$43*'Project Assumptions'!$N$52),Depreciation!S$43*'Project Assumptions'!$N$52)</f>
        <v>177.22434240000001</v>
      </c>
      <c r="AC46" s="31"/>
      <c r="AD46" s="48"/>
      <c r="AE46" s="49"/>
    </row>
    <row r="47" spans="1:31" ht="12" customHeight="1">
      <c r="A47" s="14" t="s">
        <v>168</v>
      </c>
      <c r="B47" s="55"/>
      <c r="D47" s="141">
        <v>0</v>
      </c>
      <c r="E47" s="141">
        <f>IF(ISNUMBER('Project Assumptions'!$N$63),IF(Depreciation!D$41&lt;='Project Assumptions'!$N$63,0,Depreciation!E$43*'Project Assumptions'!$N$54),Depreciation!E$43*'Project Assumptions'!$N$54)</f>
        <v>0</v>
      </c>
      <c r="F47" s="141">
        <f>IF(ISNUMBER('Project Assumptions'!$N$63),IF(Depreciation!E$41&lt;='Project Assumptions'!$N$63,0,Depreciation!F$43*'Project Assumptions'!$N$54),Depreciation!F$43*'Project Assumptions'!$N$54)</f>
        <v>0</v>
      </c>
      <c r="G47" s="141">
        <f>IF(ISNUMBER('Project Assumptions'!$N$63),IF(Depreciation!F$41&lt;='Project Assumptions'!$N$63,0,Depreciation!G$43*'Project Assumptions'!$N$54),Depreciation!G$43*'Project Assumptions'!$N$54)</f>
        <v>0</v>
      </c>
      <c r="H47" s="141">
        <f>IF(ISNUMBER('Project Assumptions'!$N$63),IF(Depreciation!G$41&lt;='Project Assumptions'!$N$63,0,Depreciation!H$43*'Project Assumptions'!$N$54),Depreciation!H$43*'Project Assumptions'!$N$54)</f>
        <v>0</v>
      </c>
      <c r="I47" s="141">
        <f>IF(ISNUMBER('Project Assumptions'!$N$63),IF(Depreciation!H$41&lt;='Project Assumptions'!$N$63,0,Depreciation!I$43*'Project Assumptions'!$N$54),Depreciation!I$43*'Project Assumptions'!$N$54)</f>
        <v>0</v>
      </c>
      <c r="J47" s="141">
        <f>IF(ISNUMBER('Project Assumptions'!$N$63),IF(Depreciation!I$41&lt;='Project Assumptions'!$N$63,0,Depreciation!J$43*'Project Assumptions'!$N$54),Depreciation!J$43*'Project Assumptions'!$N$54)</f>
        <v>0</v>
      </c>
      <c r="K47" s="141">
        <f>IF(ISNUMBER('Project Assumptions'!$N$63),IF(Depreciation!J$41&lt;='Project Assumptions'!$N$63,0,Depreciation!K$43*'Project Assumptions'!$N$54),Depreciation!K$43*'Project Assumptions'!$N$54)</f>
        <v>0</v>
      </c>
      <c r="L47" s="141">
        <f>IF(ISNUMBER('Project Assumptions'!$N$63),IF(Depreciation!K$41&lt;='Project Assumptions'!$N$63,0,Depreciation!L$43*'Project Assumptions'!$N$54),Depreciation!L$43*'Project Assumptions'!$N$54)</f>
        <v>0</v>
      </c>
      <c r="M47" s="141">
        <f>IF(ISNUMBER('Project Assumptions'!$N$63),IF(Depreciation!L$41&lt;='Project Assumptions'!$N$63,0,Depreciation!M$43*'Project Assumptions'!$N$54),Depreciation!M$43*'Project Assumptions'!$N$54)</f>
        <v>0</v>
      </c>
      <c r="N47" s="141">
        <f>IF(ISNUMBER('Project Assumptions'!$N$63),IF(Depreciation!M$41&lt;='Project Assumptions'!$N$63,0,Depreciation!N$43*'Project Assumptions'!$N$54),Depreciation!N$43*'Project Assumptions'!$N$54)</f>
        <v>0</v>
      </c>
      <c r="O47" s="141">
        <f>IF(ISNUMBER('Project Assumptions'!$N$63),IF(Depreciation!N$41&lt;='Project Assumptions'!$N$63,0,Depreciation!O$43*'Project Assumptions'!$N$54),Depreciation!O$43*'Project Assumptions'!$N$54)</f>
        <v>0</v>
      </c>
      <c r="P47" s="141">
        <f>IF(ISNUMBER('Project Assumptions'!$N$63),IF(Depreciation!O$41&lt;='Project Assumptions'!$N$63,0,Depreciation!P$43*'Project Assumptions'!$N$54),Depreciation!P$43*'Project Assumptions'!$N$54)</f>
        <v>0</v>
      </c>
      <c r="Q47" s="141">
        <f>IF(ISNUMBER('Project Assumptions'!$N$63),IF(Depreciation!P$41&lt;='Project Assumptions'!$N$63,0,Depreciation!Q$43*'Project Assumptions'!$N$54),Depreciation!Q$43*'Project Assumptions'!$N$54)</f>
        <v>0</v>
      </c>
      <c r="R47" s="141">
        <f>IF(ISNUMBER('Project Assumptions'!$N$63),IF(Depreciation!Q$41&lt;='Project Assumptions'!$N$63,0,Depreciation!R$43*'Project Assumptions'!$N$54),Depreciation!R$43*'Project Assumptions'!$N$54)</f>
        <v>0</v>
      </c>
      <c r="S47" s="141">
        <f>IF(ISNUMBER('Project Assumptions'!$N$63),IF(Depreciation!R$41&lt;='Project Assumptions'!$N$63,0,Depreciation!S$43*'Project Assumptions'!$N$54),Depreciation!S$43*'Project Assumptions'!$N$54)</f>
        <v>0</v>
      </c>
      <c r="AC47" s="141"/>
      <c r="AD47" s="48"/>
      <c r="AE47" s="49"/>
    </row>
    <row r="48" spans="1:31" s="140" customFormat="1">
      <c r="A48" s="140" t="s">
        <v>169</v>
      </c>
      <c r="D48" s="142">
        <v>0</v>
      </c>
      <c r="E48" s="142">
        <f t="shared" ref="E48:S48" si="24">SUM(E45:E47)</f>
        <v>552.93994828799998</v>
      </c>
      <c r="F48" s="142">
        <f t="shared" si="24"/>
        <v>611.42398128000002</v>
      </c>
      <c r="G48" s="142">
        <f t="shared" si="24"/>
        <v>662.81904057600002</v>
      </c>
      <c r="H48" s="142">
        <f t="shared" si="24"/>
        <v>669.90801427199995</v>
      </c>
      <c r="I48" s="142">
        <f t="shared" si="24"/>
        <v>673.45250112000008</v>
      </c>
      <c r="J48" s="142">
        <f t="shared" si="24"/>
        <v>673.45250111999997</v>
      </c>
      <c r="K48" s="142">
        <f t="shared" si="24"/>
        <v>638.00763263999988</v>
      </c>
      <c r="L48" s="142">
        <f t="shared" si="24"/>
        <v>602.56276416000003</v>
      </c>
      <c r="M48" s="142">
        <f t="shared" si="24"/>
        <v>567.11789567999995</v>
      </c>
      <c r="N48" s="142">
        <f t="shared" si="24"/>
        <v>531.67302719999998</v>
      </c>
      <c r="O48" s="142">
        <f t="shared" si="24"/>
        <v>496.22815872000007</v>
      </c>
      <c r="P48" s="142">
        <f t="shared" si="24"/>
        <v>460.78329023999999</v>
      </c>
      <c r="Q48" s="142">
        <f t="shared" si="24"/>
        <v>425.33842175999996</v>
      </c>
      <c r="R48" s="142">
        <f t="shared" si="24"/>
        <v>389.89355327999999</v>
      </c>
      <c r="S48" s="142">
        <f t="shared" si="24"/>
        <v>354.44868480000002</v>
      </c>
      <c r="T48"/>
      <c r="U48"/>
      <c r="V48"/>
      <c r="W48"/>
      <c r="X48"/>
      <c r="Y48"/>
      <c r="Z48"/>
      <c r="AA48"/>
      <c r="AB48"/>
      <c r="AC48" s="142"/>
    </row>
    <row r="49" spans="1:256" ht="11.25" customHeight="1">
      <c r="A49" s="14"/>
      <c r="B49" s="47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AC49" s="48"/>
      <c r="AD49" s="48"/>
      <c r="AE49" s="49"/>
    </row>
    <row r="50" spans="1:256" customFormat="1"/>
    <row r="51" spans="1:256" s="30" customFormat="1" ht="12" customHeight="1">
      <c r="A51" s="200" t="s">
        <v>106</v>
      </c>
      <c r="B51" s="24"/>
      <c r="C51" s="24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24"/>
      <c r="AD51" s="24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  <c r="BJ51" s="99"/>
      <c r="BK51" s="99"/>
      <c r="BL51" s="99"/>
      <c r="BM51" s="99"/>
      <c r="BN51" s="99"/>
      <c r="BO51" s="99"/>
      <c r="BP51" s="99"/>
      <c r="BQ51" s="99"/>
      <c r="BR51" s="99"/>
      <c r="BS51" s="99"/>
      <c r="BT51" s="99"/>
      <c r="BU51" s="99"/>
      <c r="BV51" s="99"/>
      <c r="BW51" s="99"/>
      <c r="BX51" s="99"/>
      <c r="BY51" s="99"/>
      <c r="BZ51" s="99"/>
      <c r="CA51" s="99"/>
      <c r="CB51" s="99"/>
      <c r="CC51" s="99"/>
      <c r="CD51" s="99"/>
      <c r="CE51" s="99"/>
      <c r="CF51" s="99"/>
      <c r="CG51" s="99"/>
      <c r="CH51" s="99"/>
      <c r="CI51" s="99"/>
      <c r="CJ51" s="99"/>
      <c r="CK51" s="99"/>
      <c r="CL51" s="99"/>
      <c r="CM51" s="99"/>
      <c r="CN51" s="99"/>
      <c r="CO51" s="99"/>
      <c r="CP51" s="99"/>
      <c r="CQ51" s="99"/>
      <c r="CR51" s="99"/>
      <c r="CS51" s="99"/>
      <c r="CT51" s="99"/>
      <c r="CU51" s="99"/>
      <c r="CV51" s="99"/>
      <c r="CW51" s="99"/>
      <c r="CX51" s="99"/>
      <c r="CY51" s="99"/>
      <c r="CZ51" s="99"/>
      <c r="DA51" s="99"/>
      <c r="DB51" s="99"/>
      <c r="DC51" s="99"/>
      <c r="DD51" s="99"/>
      <c r="DE51" s="99"/>
      <c r="DF51" s="99"/>
      <c r="DG51" s="99"/>
      <c r="DH51" s="99"/>
      <c r="DI51" s="99"/>
      <c r="DJ51" s="99"/>
      <c r="DK51" s="99"/>
      <c r="DL51" s="99"/>
      <c r="DM51" s="99"/>
      <c r="DN51" s="99"/>
      <c r="DO51" s="99"/>
      <c r="DP51" s="99"/>
      <c r="DQ51" s="99"/>
      <c r="DR51" s="99"/>
      <c r="DS51" s="99"/>
      <c r="DT51" s="99"/>
      <c r="DU51" s="99"/>
      <c r="DV51" s="99"/>
      <c r="DW51" s="99"/>
      <c r="DX51" s="99"/>
      <c r="DY51" s="99"/>
      <c r="DZ51" s="99"/>
      <c r="EA51" s="99"/>
      <c r="EB51" s="99"/>
      <c r="EC51" s="99"/>
      <c r="ED51" s="99"/>
      <c r="EE51" s="99"/>
      <c r="EF51" s="99"/>
      <c r="EG51" s="99"/>
      <c r="EH51" s="99"/>
      <c r="EI51" s="99"/>
      <c r="EJ51" s="99"/>
      <c r="EK51" s="99"/>
      <c r="EL51" s="99"/>
      <c r="EM51" s="99"/>
      <c r="EN51" s="99"/>
      <c r="EO51" s="99"/>
      <c r="EP51" s="99"/>
      <c r="EQ51" s="99"/>
      <c r="ER51" s="99"/>
      <c r="ES51" s="99"/>
      <c r="ET51" s="99"/>
      <c r="EU51" s="99"/>
      <c r="EV51" s="99"/>
      <c r="EW51" s="99"/>
      <c r="EX51" s="99"/>
      <c r="EY51" s="99"/>
      <c r="EZ51" s="99"/>
      <c r="FA51" s="99"/>
      <c r="FB51" s="99"/>
      <c r="FC51" s="99"/>
      <c r="FD51" s="99"/>
      <c r="FE51" s="99"/>
      <c r="FF51" s="99"/>
      <c r="FG51" s="99"/>
      <c r="FH51" s="99"/>
      <c r="FI51" s="99"/>
      <c r="FJ51" s="99"/>
      <c r="FK51" s="99"/>
      <c r="FL51" s="99"/>
      <c r="FM51" s="99"/>
      <c r="FN51" s="99"/>
      <c r="FO51" s="99"/>
      <c r="FP51" s="99"/>
      <c r="FQ51" s="99"/>
      <c r="FR51" s="99"/>
      <c r="FS51" s="99"/>
      <c r="FT51" s="99"/>
      <c r="FU51" s="99"/>
      <c r="FV51" s="99"/>
      <c r="FW51" s="99"/>
      <c r="FX51" s="99"/>
      <c r="FY51" s="99"/>
      <c r="FZ51" s="99"/>
      <c r="GA51" s="99"/>
      <c r="GB51" s="99"/>
      <c r="GC51" s="99"/>
      <c r="GD51" s="99"/>
      <c r="GE51" s="99"/>
      <c r="GF51" s="99"/>
      <c r="GG51" s="99"/>
      <c r="GH51" s="99"/>
      <c r="GI51" s="99"/>
      <c r="GJ51" s="99"/>
      <c r="GK51" s="99"/>
      <c r="GL51" s="99"/>
      <c r="GM51" s="99"/>
      <c r="GN51" s="99"/>
      <c r="GO51" s="99"/>
      <c r="GP51" s="99"/>
      <c r="GQ51" s="99"/>
      <c r="GR51" s="99"/>
      <c r="GS51" s="99"/>
      <c r="GT51" s="99"/>
      <c r="GU51" s="99"/>
      <c r="GV51" s="99"/>
      <c r="GW51" s="99"/>
      <c r="GX51" s="99"/>
      <c r="GY51" s="99"/>
      <c r="GZ51" s="99"/>
      <c r="HA51" s="99"/>
      <c r="HB51" s="99"/>
      <c r="HC51" s="99"/>
      <c r="HD51" s="99"/>
      <c r="HE51" s="99"/>
      <c r="HF51" s="99"/>
      <c r="HG51" s="99"/>
      <c r="HH51" s="99"/>
      <c r="HI51" s="99"/>
      <c r="HJ51" s="99"/>
      <c r="HK51" s="99"/>
      <c r="HL51" s="99"/>
      <c r="HM51" s="99"/>
      <c r="HN51" s="99"/>
      <c r="HO51" s="99"/>
      <c r="HP51" s="99"/>
      <c r="HQ51" s="99"/>
      <c r="HR51" s="99"/>
      <c r="HS51" s="99"/>
      <c r="HT51" s="99"/>
      <c r="HU51" s="99"/>
      <c r="HV51" s="99"/>
      <c r="HW51" s="99"/>
      <c r="HX51" s="99"/>
      <c r="HY51" s="99"/>
      <c r="HZ51" s="99"/>
      <c r="IA51" s="99"/>
      <c r="IB51" s="99"/>
      <c r="IC51" s="99"/>
      <c r="ID51" s="99"/>
      <c r="IE51" s="99"/>
      <c r="IF51" s="99"/>
      <c r="IG51" s="99"/>
      <c r="IH51" s="99"/>
      <c r="II51" s="99"/>
      <c r="IJ51" s="99"/>
      <c r="IK51" s="99"/>
      <c r="IL51" s="99"/>
      <c r="IM51" s="99"/>
      <c r="IN51" s="99"/>
      <c r="IO51" s="99"/>
      <c r="IP51" s="99"/>
      <c r="IQ51" s="99"/>
      <c r="IR51" s="99"/>
      <c r="IS51" s="99"/>
      <c r="IT51" s="99"/>
      <c r="IU51" s="99"/>
      <c r="IV51" s="99"/>
    </row>
    <row r="52" spans="1:256" ht="12" customHeight="1">
      <c r="A52" s="14" t="s">
        <v>107</v>
      </c>
      <c r="B52" s="24"/>
      <c r="C52" s="24"/>
      <c r="D52" s="242">
        <f>IF(D$4&gt;'Project Assumptions'!$I$15+1,0,'Project Assumptions'!$N$43)</f>
        <v>5</v>
      </c>
      <c r="E52" s="242">
        <f>IF(E$4&gt;'Project Assumptions'!$I$15+1,0,'Project Assumptions'!$N$43)</f>
        <v>5</v>
      </c>
      <c r="F52" s="242">
        <f>IF(F$4&gt;'Project Assumptions'!$I$15+1,0,'Project Assumptions'!$N$43)</f>
        <v>5</v>
      </c>
      <c r="G52" s="242">
        <f>IF(G$4&gt;'Project Assumptions'!$I$15+1,0,'Project Assumptions'!$N$43)</f>
        <v>5</v>
      </c>
      <c r="H52" s="242">
        <f>IF(H$4&gt;'Project Assumptions'!$I$15+1,0,'Project Assumptions'!$N$43)</f>
        <v>5</v>
      </c>
      <c r="I52" s="242">
        <f>IF(I$4&gt;'Project Assumptions'!$I$15+1,0,'Project Assumptions'!$N$43)</f>
        <v>5</v>
      </c>
      <c r="J52" s="242">
        <f>IF(J$4&gt;'Project Assumptions'!$I$15+1,0,'Project Assumptions'!$N$43)</f>
        <v>5</v>
      </c>
      <c r="K52" s="242">
        <f>IF(K$4&gt;'Project Assumptions'!$I$15+1,0,'Project Assumptions'!$N$43)</f>
        <v>5</v>
      </c>
      <c r="L52" s="242">
        <f>IF(L$4&gt;'Project Assumptions'!$I$15+1,0,'Project Assumptions'!$N$43)</f>
        <v>5</v>
      </c>
      <c r="M52" s="242">
        <f>IF(M$4&gt;'Project Assumptions'!$I$15+1,0,'Project Assumptions'!$N$43)</f>
        <v>5</v>
      </c>
      <c r="N52" s="242">
        <f>IF(N$4&gt;'Project Assumptions'!$I$15+1,0,'Project Assumptions'!$N$43)</f>
        <v>5</v>
      </c>
      <c r="O52" s="242">
        <f>IF(O$4&gt;'Project Assumptions'!$I$15+1,0,'Project Assumptions'!$N$43)</f>
        <v>5</v>
      </c>
      <c r="P52" s="242">
        <f>IF(P$4&gt;'Project Assumptions'!$I$15+1,0,'Project Assumptions'!$N$43)</f>
        <v>5</v>
      </c>
      <c r="Q52" s="242">
        <f>IF(Q$4&gt;'Project Assumptions'!$I$15+1,0,'Project Assumptions'!$N$43)</f>
        <v>5</v>
      </c>
      <c r="R52" s="242">
        <f>IF(R$4&gt;'Project Assumptions'!$I$15+1,0,'Project Assumptions'!$N$43)</f>
        <v>5</v>
      </c>
      <c r="S52" s="242">
        <f>IF(S$4&gt;'Project Assumptions'!$I$15+1,0,'Project Assumptions'!$N$43)</f>
        <v>5</v>
      </c>
      <c r="T52" s="242"/>
      <c r="U52" s="242"/>
      <c r="V52" s="242"/>
      <c r="W52" s="242"/>
      <c r="X52" s="242"/>
      <c r="Y52" s="242"/>
      <c r="Z52" s="242"/>
      <c r="AA52" s="242"/>
      <c r="AB52" s="242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99"/>
      <c r="BD52" s="99"/>
      <c r="BE52" s="99"/>
      <c r="BF52" s="99"/>
      <c r="BG52" s="99"/>
      <c r="BH52" s="99"/>
      <c r="BI52" s="99"/>
      <c r="BJ52" s="99"/>
      <c r="BK52" s="99"/>
      <c r="BL52" s="99"/>
      <c r="BM52" s="99"/>
      <c r="BN52" s="99"/>
      <c r="BO52" s="99"/>
      <c r="BP52" s="99"/>
      <c r="BQ52" s="99"/>
      <c r="BR52" s="99"/>
      <c r="BS52" s="99"/>
      <c r="BT52" s="99"/>
      <c r="BU52" s="99"/>
      <c r="BV52" s="99"/>
      <c r="BW52" s="99"/>
      <c r="BX52" s="99"/>
      <c r="BY52" s="99"/>
      <c r="BZ52" s="99"/>
      <c r="CA52" s="99"/>
      <c r="CB52" s="99"/>
      <c r="CC52" s="99"/>
      <c r="CD52" s="99"/>
      <c r="CE52" s="99"/>
      <c r="CF52" s="99"/>
      <c r="CG52" s="99"/>
      <c r="CH52" s="99"/>
      <c r="CI52" s="99"/>
      <c r="CJ52" s="99"/>
      <c r="CK52" s="99"/>
      <c r="CL52" s="99"/>
      <c r="CM52" s="99"/>
      <c r="CN52" s="99"/>
      <c r="CO52" s="99"/>
      <c r="CP52" s="99"/>
      <c r="CQ52" s="99"/>
      <c r="CR52" s="99"/>
      <c r="CS52" s="99"/>
      <c r="CT52" s="99"/>
      <c r="CU52" s="99"/>
      <c r="CV52" s="99"/>
      <c r="CW52" s="99"/>
      <c r="CX52" s="99"/>
      <c r="CY52" s="99"/>
      <c r="CZ52" s="99"/>
      <c r="DA52" s="99"/>
      <c r="DB52" s="99"/>
      <c r="DC52" s="99"/>
      <c r="DD52" s="99"/>
      <c r="DE52" s="99"/>
      <c r="DF52" s="99"/>
      <c r="DG52" s="99"/>
      <c r="DH52" s="99"/>
      <c r="DI52" s="99"/>
      <c r="DJ52" s="99"/>
      <c r="DK52" s="99"/>
      <c r="DL52" s="99"/>
      <c r="DM52" s="99"/>
      <c r="DN52" s="99"/>
      <c r="DO52" s="99"/>
      <c r="DP52" s="99"/>
      <c r="DQ52" s="99"/>
      <c r="DR52" s="99"/>
      <c r="DS52" s="99"/>
      <c r="DT52" s="99"/>
      <c r="DU52" s="99"/>
      <c r="DV52" s="99"/>
      <c r="DW52" s="99"/>
      <c r="DX52" s="99"/>
      <c r="DY52" s="99"/>
      <c r="DZ52" s="99"/>
      <c r="EA52" s="99"/>
      <c r="EB52" s="99"/>
      <c r="EC52" s="99"/>
      <c r="ED52" s="99"/>
      <c r="EE52" s="99"/>
      <c r="EF52" s="99"/>
      <c r="EG52" s="99"/>
      <c r="EH52" s="99"/>
      <c r="EI52" s="99"/>
      <c r="EJ52" s="99"/>
      <c r="EK52" s="99"/>
      <c r="EL52" s="99"/>
      <c r="EM52" s="99"/>
      <c r="EN52" s="99"/>
      <c r="EO52" s="99"/>
      <c r="EP52" s="99"/>
      <c r="EQ52" s="99"/>
      <c r="ER52" s="99"/>
      <c r="ES52" s="99"/>
      <c r="ET52" s="99"/>
      <c r="EU52" s="99"/>
      <c r="EV52" s="99"/>
      <c r="EW52" s="99"/>
      <c r="EX52" s="99"/>
      <c r="EY52" s="99"/>
      <c r="EZ52" s="99"/>
      <c r="FA52" s="99"/>
      <c r="FB52" s="99"/>
      <c r="FC52" s="99"/>
      <c r="FD52" s="99"/>
      <c r="FE52" s="99"/>
      <c r="FF52" s="99"/>
      <c r="FG52" s="99"/>
      <c r="FH52" s="99"/>
      <c r="FI52" s="99"/>
      <c r="FJ52" s="99"/>
      <c r="FK52" s="99"/>
      <c r="FL52" s="99"/>
      <c r="FM52" s="99"/>
      <c r="FN52" s="99"/>
      <c r="FO52" s="99"/>
      <c r="FP52" s="99"/>
      <c r="FQ52" s="99"/>
      <c r="FR52" s="99"/>
      <c r="FS52" s="99"/>
      <c r="FT52" s="99"/>
      <c r="FU52" s="99"/>
      <c r="FV52" s="99"/>
      <c r="FW52" s="99"/>
      <c r="FX52" s="99"/>
      <c r="FY52" s="99"/>
      <c r="FZ52" s="99"/>
      <c r="GA52" s="99"/>
      <c r="GB52" s="99"/>
      <c r="GC52" s="99"/>
      <c r="GD52" s="99"/>
      <c r="GE52" s="99"/>
      <c r="GF52" s="99"/>
      <c r="GG52" s="99"/>
      <c r="GH52" s="99"/>
      <c r="GI52" s="99"/>
      <c r="GJ52" s="99"/>
      <c r="GK52" s="99"/>
      <c r="GL52" s="99"/>
      <c r="GM52" s="99"/>
      <c r="GN52" s="99"/>
      <c r="GO52" s="99"/>
      <c r="GP52" s="99"/>
      <c r="GQ52" s="99"/>
      <c r="GR52" s="99"/>
      <c r="GS52" s="99"/>
      <c r="GT52" s="99"/>
      <c r="GU52" s="99"/>
      <c r="GV52" s="99"/>
      <c r="GW52" s="99"/>
      <c r="GX52" s="99"/>
      <c r="GY52" s="99"/>
      <c r="GZ52" s="99"/>
      <c r="HA52" s="99"/>
      <c r="HB52" s="99"/>
      <c r="HC52" s="99"/>
      <c r="HD52" s="99"/>
      <c r="HE52" s="99"/>
      <c r="HF52" s="99"/>
      <c r="HG52" s="99"/>
      <c r="HH52" s="99"/>
      <c r="HI52" s="99"/>
      <c r="HJ52" s="99"/>
      <c r="HK52" s="99"/>
      <c r="HL52" s="99"/>
      <c r="HM52" s="99"/>
      <c r="HN52" s="99"/>
      <c r="HO52" s="99"/>
      <c r="HP52" s="99"/>
      <c r="HQ52" s="99"/>
      <c r="HR52" s="99"/>
      <c r="HS52" s="99"/>
      <c r="HT52" s="99"/>
      <c r="HU52" s="99"/>
      <c r="HV52" s="99"/>
      <c r="HW52" s="99"/>
      <c r="HX52" s="99"/>
      <c r="HY52" s="99"/>
      <c r="HZ52" s="99"/>
      <c r="IA52" s="99"/>
      <c r="IB52" s="99"/>
      <c r="IC52" s="99"/>
      <c r="ID52" s="99"/>
      <c r="IE52" s="99"/>
      <c r="IF52" s="99"/>
      <c r="IG52" s="99"/>
      <c r="IH52" s="99"/>
      <c r="II52" s="99"/>
      <c r="IJ52" s="99"/>
      <c r="IK52" s="99"/>
      <c r="IL52" s="99"/>
      <c r="IM52" s="99"/>
      <c r="IN52" s="99"/>
      <c r="IO52" s="99"/>
      <c r="IP52" s="99"/>
      <c r="IQ52" s="99"/>
      <c r="IR52" s="99"/>
      <c r="IS52" s="99"/>
    </row>
    <row r="53" spans="1:256" ht="12" customHeight="1">
      <c r="A53" s="15" t="s">
        <v>108</v>
      </c>
      <c r="C53" s="24"/>
      <c r="D53" s="57">
        <f t="shared" ref="D53:S53" si="25">D52</f>
        <v>5</v>
      </c>
      <c r="E53" s="57">
        <f t="shared" si="25"/>
        <v>5</v>
      </c>
      <c r="F53" s="57">
        <f t="shared" si="25"/>
        <v>5</v>
      </c>
      <c r="G53" s="57">
        <f t="shared" si="25"/>
        <v>5</v>
      </c>
      <c r="H53" s="57">
        <f t="shared" si="25"/>
        <v>5</v>
      </c>
      <c r="I53" s="57">
        <f t="shared" si="25"/>
        <v>5</v>
      </c>
      <c r="J53" s="57">
        <f t="shared" si="25"/>
        <v>5</v>
      </c>
      <c r="K53" s="57">
        <f t="shared" si="25"/>
        <v>5</v>
      </c>
      <c r="L53" s="57">
        <f t="shared" si="25"/>
        <v>5</v>
      </c>
      <c r="M53" s="57">
        <f t="shared" si="25"/>
        <v>5</v>
      </c>
      <c r="N53" s="57">
        <f t="shared" si="25"/>
        <v>5</v>
      </c>
      <c r="O53" s="57">
        <f t="shared" si="25"/>
        <v>5</v>
      </c>
      <c r="P53" s="57">
        <f t="shared" si="25"/>
        <v>5</v>
      </c>
      <c r="Q53" s="57">
        <f t="shared" si="25"/>
        <v>5</v>
      </c>
      <c r="R53" s="57">
        <f t="shared" si="25"/>
        <v>5</v>
      </c>
      <c r="S53" s="57">
        <f t="shared" si="25"/>
        <v>5</v>
      </c>
      <c r="T53" s="57"/>
      <c r="U53" s="57"/>
      <c r="V53" s="57"/>
      <c r="W53" s="57"/>
      <c r="X53" s="57"/>
      <c r="Y53" s="57"/>
      <c r="Z53" s="57"/>
      <c r="AA53" s="57"/>
      <c r="AB53" s="57"/>
      <c r="AC53" s="24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99"/>
      <c r="BJ53" s="99"/>
      <c r="BK53" s="99"/>
      <c r="BL53" s="99"/>
      <c r="BM53" s="99"/>
      <c r="BN53" s="99"/>
      <c r="BO53" s="99"/>
      <c r="BP53" s="99"/>
      <c r="BQ53" s="99"/>
      <c r="BR53" s="99"/>
      <c r="BS53" s="99"/>
      <c r="BT53" s="99"/>
      <c r="BU53" s="99"/>
      <c r="BV53" s="99"/>
      <c r="BW53" s="99"/>
      <c r="BX53" s="99"/>
      <c r="BY53" s="99"/>
      <c r="BZ53" s="99"/>
      <c r="CA53" s="99"/>
      <c r="CB53" s="99"/>
      <c r="CC53" s="99"/>
      <c r="CD53" s="99"/>
      <c r="CE53" s="99"/>
      <c r="CF53" s="99"/>
      <c r="CG53" s="99"/>
      <c r="CH53" s="99"/>
      <c r="CI53" s="99"/>
      <c r="CJ53" s="99"/>
      <c r="CK53" s="99"/>
      <c r="CL53" s="99"/>
      <c r="CM53" s="99"/>
      <c r="CN53" s="99"/>
      <c r="CO53" s="99"/>
      <c r="CP53" s="99"/>
      <c r="CQ53" s="99"/>
      <c r="CR53" s="99"/>
      <c r="CS53" s="99"/>
      <c r="CT53" s="99"/>
      <c r="CU53" s="99"/>
      <c r="CV53" s="99"/>
      <c r="CW53" s="99"/>
      <c r="CX53" s="99"/>
      <c r="CY53" s="99"/>
      <c r="CZ53" s="99"/>
      <c r="DA53" s="99"/>
      <c r="DB53" s="99"/>
      <c r="DC53" s="99"/>
      <c r="DD53" s="99"/>
      <c r="DE53" s="99"/>
      <c r="DF53" s="99"/>
      <c r="DG53" s="99"/>
      <c r="DH53" s="99"/>
      <c r="DI53" s="99"/>
      <c r="DJ53" s="99"/>
      <c r="DK53" s="99"/>
      <c r="DL53" s="99"/>
      <c r="DM53" s="99"/>
      <c r="DN53" s="99"/>
      <c r="DO53" s="99"/>
      <c r="DP53" s="99"/>
      <c r="DQ53" s="99"/>
      <c r="DR53" s="99"/>
      <c r="DS53" s="99"/>
      <c r="DT53" s="99"/>
      <c r="DU53" s="99"/>
      <c r="DV53" s="99"/>
      <c r="DW53" s="99"/>
      <c r="DX53" s="99"/>
      <c r="DY53" s="99"/>
      <c r="DZ53" s="99"/>
      <c r="EA53" s="99"/>
      <c r="EB53" s="99"/>
      <c r="EC53" s="99"/>
      <c r="ED53" s="99"/>
      <c r="EE53" s="99"/>
      <c r="EF53" s="99"/>
      <c r="EG53" s="99"/>
      <c r="EH53" s="99"/>
      <c r="EI53" s="99"/>
      <c r="EJ53" s="99"/>
      <c r="EK53" s="99"/>
      <c r="EL53" s="99"/>
      <c r="EM53" s="99"/>
      <c r="EN53" s="99"/>
      <c r="EO53" s="99"/>
      <c r="EP53" s="99"/>
      <c r="EQ53" s="99"/>
      <c r="ER53" s="99"/>
      <c r="ES53" s="99"/>
      <c r="ET53" s="99"/>
      <c r="EU53" s="99"/>
      <c r="EV53" s="99"/>
      <c r="EW53" s="99"/>
      <c r="EX53" s="99"/>
      <c r="EY53" s="99"/>
      <c r="EZ53" s="99"/>
      <c r="FA53" s="99"/>
      <c r="FB53" s="99"/>
      <c r="FC53" s="99"/>
      <c r="FD53" s="99"/>
      <c r="FE53" s="99"/>
      <c r="FF53" s="99"/>
      <c r="FG53" s="99"/>
      <c r="FH53" s="99"/>
      <c r="FI53" s="99"/>
      <c r="FJ53" s="99"/>
      <c r="FK53" s="99"/>
      <c r="FL53" s="99"/>
      <c r="FM53" s="99"/>
      <c r="FN53" s="99"/>
      <c r="FO53" s="99"/>
      <c r="FP53" s="99"/>
      <c r="FQ53" s="99"/>
      <c r="FR53" s="99"/>
      <c r="FS53" s="99"/>
      <c r="FT53" s="99"/>
      <c r="FU53" s="99"/>
      <c r="FV53" s="99"/>
      <c r="FW53" s="99"/>
      <c r="FX53" s="99"/>
      <c r="FY53" s="99"/>
      <c r="FZ53" s="99"/>
      <c r="GA53" s="99"/>
      <c r="GB53" s="99"/>
      <c r="GC53" s="99"/>
      <c r="GD53" s="99"/>
      <c r="GE53" s="99"/>
      <c r="GF53" s="99"/>
      <c r="GG53" s="99"/>
      <c r="GH53" s="99"/>
      <c r="GI53" s="99"/>
      <c r="GJ53" s="99"/>
      <c r="GK53" s="99"/>
      <c r="GL53" s="99"/>
      <c r="GM53" s="99"/>
      <c r="GN53" s="99"/>
      <c r="GO53" s="99"/>
      <c r="GP53" s="99"/>
      <c r="GQ53" s="99"/>
      <c r="GR53" s="99"/>
      <c r="GS53" s="99"/>
      <c r="GT53" s="99"/>
      <c r="GU53" s="99"/>
      <c r="GV53" s="99"/>
      <c r="GW53" s="99"/>
      <c r="GX53" s="99"/>
      <c r="GY53" s="99"/>
      <c r="GZ53" s="99"/>
      <c r="HA53" s="99"/>
      <c r="HB53" s="99"/>
      <c r="HC53" s="99"/>
      <c r="HD53" s="99"/>
      <c r="HE53" s="99"/>
      <c r="HF53" s="99"/>
      <c r="HG53" s="99"/>
      <c r="HH53" s="99"/>
      <c r="HI53" s="99"/>
      <c r="HJ53" s="99"/>
      <c r="HK53" s="99"/>
      <c r="HL53" s="99"/>
      <c r="HM53" s="99"/>
      <c r="HN53" s="99"/>
      <c r="HO53" s="99"/>
      <c r="HP53" s="99"/>
      <c r="HQ53" s="99"/>
      <c r="HR53" s="99"/>
      <c r="HS53" s="99"/>
      <c r="HT53" s="99"/>
      <c r="HU53" s="99"/>
      <c r="HV53" s="99"/>
      <c r="HW53" s="99"/>
      <c r="HX53" s="99"/>
      <c r="HY53" s="99"/>
      <c r="HZ53" s="99"/>
      <c r="IA53" s="99"/>
      <c r="IB53" s="99"/>
      <c r="IC53" s="99"/>
      <c r="ID53" s="99"/>
      <c r="IE53" s="99"/>
      <c r="IF53" s="99"/>
      <c r="IG53" s="99"/>
      <c r="IH53" s="99"/>
      <c r="II53" s="99"/>
      <c r="IJ53" s="99"/>
      <c r="IK53" s="99"/>
      <c r="IL53" s="99"/>
      <c r="IM53" s="99"/>
      <c r="IN53" s="99"/>
      <c r="IO53" s="99"/>
      <c r="IP53" s="99"/>
      <c r="IQ53" s="99"/>
      <c r="IR53" s="99"/>
      <c r="IS53" s="99"/>
      <c r="IT53" s="99"/>
      <c r="IU53" s="99"/>
    </row>
    <row r="54" spans="1:256" ht="12" customHeight="1">
      <c r="C54" s="37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37"/>
      <c r="AD54" s="37"/>
    </row>
    <row r="55" spans="1:256" ht="12" customHeight="1">
      <c r="A55" s="200"/>
      <c r="C55" s="37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37"/>
      <c r="AD55" s="37"/>
    </row>
    <row r="56" spans="1:256" ht="12" customHeight="1">
      <c r="C56" s="37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37"/>
      <c r="AD56" s="37"/>
    </row>
    <row r="57" spans="1:256" s="30" customFormat="1" ht="12" customHeight="1">
      <c r="A57" s="200" t="s">
        <v>102</v>
      </c>
      <c r="B57" s="24"/>
      <c r="C57" s="24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24"/>
      <c r="AD57" s="24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99"/>
      <c r="BD57" s="99"/>
      <c r="BE57" s="99"/>
      <c r="BF57" s="99"/>
      <c r="BG57" s="99"/>
      <c r="BH57" s="99"/>
      <c r="BI57" s="99"/>
      <c r="BJ57" s="99"/>
      <c r="BK57" s="99"/>
      <c r="BL57" s="99"/>
      <c r="BM57" s="99"/>
      <c r="BN57" s="99"/>
      <c r="BO57" s="99"/>
      <c r="BP57" s="99"/>
      <c r="BQ57" s="99"/>
      <c r="BR57" s="99"/>
      <c r="BS57" s="99"/>
      <c r="BT57" s="99"/>
      <c r="BU57" s="99"/>
      <c r="BV57" s="99"/>
      <c r="BW57" s="99"/>
      <c r="BX57" s="99"/>
      <c r="BY57" s="99"/>
      <c r="BZ57" s="99"/>
      <c r="CA57" s="99"/>
      <c r="CB57" s="99"/>
      <c r="CC57" s="99"/>
      <c r="CD57" s="99"/>
      <c r="CE57" s="99"/>
      <c r="CF57" s="99"/>
      <c r="CG57" s="99"/>
      <c r="CH57" s="99"/>
      <c r="CI57" s="99"/>
      <c r="CJ57" s="99"/>
      <c r="CK57" s="99"/>
      <c r="CL57" s="99"/>
      <c r="CM57" s="99"/>
      <c r="CN57" s="99"/>
      <c r="CO57" s="99"/>
      <c r="CP57" s="99"/>
      <c r="CQ57" s="99"/>
      <c r="CR57" s="99"/>
      <c r="CS57" s="99"/>
      <c r="CT57" s="99"/>
      <c r="CU57" s="99"/>
      <c r="CV57" s="99"/>
      <c r="CW57" s="99"/>
      <c r="CX57" s="99"/>
      <c r="CY57" s="99"/>
      <c r="CZ57" s="99"/>
      <c r="DA57" s="99"/>
      <c r="DB57" s="99"/>
      <c r="DC57" s="99"/>
      <c r="DD57" s="99"/>
      <c r="DE57" s="99"/>
      <c r="DF57" s="99"/>
      <c r="DG57" s="99"/>
      <c r="DH57" s="99"/>
      <c r="DI57" s="99"/>
      <c r="DJ57" s="99"/>
      <c r="DK57" s="99"/>
      <c r="DL57" s="99"/>
      <c r="DM57" s="99"/>
      <c r="DN57" s="99"/>
      <c r="DO57" s="99"/>
      <c r="DP57" s="99"/>
      <c r="DQ57" s="99"/>
      <c r="DR57" s="99"/>
      <c r="DS57" s="99"/>
      <c r="DT57" s="99"/>
      <c r="DU57" s="99"/>
      <c r="DV57" s="99"/>
      <c r="DW57" s="99"/>
      <c r="DX57" s="99"/>
      <c r="DY57" s="99"/>
      <c r="DZ57" s="99"/>
      <c r="EA57" s="99"/>
      <c r="EB57" s="99"/>
      <c r="EC57" s="99"/>
      <c r="ED57" s="99"/>
      <c r="EE57" s="99"/>
      <c r="EF57" s="99"/>
      <c r="EG57" s="99"/>
      <c r="EH57" s="99"/>
      <c r="EI57" s="99"/>
      <c r="EJ57" s="99"/>
      <c r="EK57" s="99"/>
      <c r="EL57" s="99"/>
      <c r="EM57" s="99"/>
      <c r="EN57" s="99"/>
      <c r="EO57" s="99"/>
      <c r="EP57" s="99"/>
      <c r="EQ57" s="99"/>
      <c r="ER57" s="99"/>
      <c r="ES57" s="99"/>
      <c r="ET57" s="99"/>
      <c r="EU57" s="99"/>
      <c r="EV57" s="99"/>
      <c r="EW57" s="99"/>
      <c r="EX57" s="99"/>
      <c r="EY57" s="99"/>
      <c r="EZ57" s="99"/>
      <c r="FA57" s="99"/>
      <c r="FB57" s="99"/>
      <c r="FC57" s="99"/>
      <c r="FD57" s="99"/>
      <c r="FE57" s="99"/>
      <c r="FF57" s="99"/>
      <c r="FG57" s="99"/>
      <c r="FH57" s="99"/>
      <c r="FI57" s="99"/>
      <c r="FJ57" s="99"/>
      <c r="FK57" s="99"/>
      <c r="FL57" s="99"/>
      <c r="FM57" s="99"/>
      <c r="FN57" s="99"/>
      <c r="FO57" s="99"/>
      <c r="FP57" s="99"/>
      <c r="FQ57" s="99"/>
      <c r="FR57" s="99"/>
      <c r="FS57" s="99"/>
      <c r="FT57" s="99"/>
      <c r="FU57" s="99"/>
      <c r="FV57" s="99"/>
      <c r="FW57" s="99"/>
      <c r="FX57" s="99"/>
      <c r="FY57" s="99"/>
      <c r="FZ57" s="99"/>
      <c r="GA57" s="99"/>
      <c r="GB57" s="99"/>
      <c r="GC57" s="99"/>
      <c r="GD57" s="99"/>
      <c r="GE57" s="99"/>
      <c r="GF57" s="99"/>
      <c r="GG57" s="99"/>
      <c r="GH57" s="99"/>
      <c r="GI57" s="99"/>
      <c r="GJ57" s="99"/>
      <c r="GK57" s="99"/>
      <c r="GL57" s="99"/>
      <c r="GM57" s="99"/>
      <c r="GN57" s="99"/>
      <c r="GO57" s="99"/>
      <c r="GP57" s="99"/>
      <c r="GQ57" s="99"/>
      <c r="GR57" s="99"/>
      <c r="GS57" s="99"/>
      <c r="GT57" s="99"/>
      <c r="GU57" s="99"/>
      <c r="GV57" s="99"/>
      <c r="GW57" s="99"/>
      <c r="GX57" s="99"/>
      <c r="GY57" s="99"/>
      <c r="GZ57" s="99"/>
      <c r="HA57" s="99"/>
      <c r="HB57" s="99"/>
      <c r="HC57" s="99"/>
      <c r="HD57" s="99"/>
      <c r="HE57" s="99"/>
      <c r="HF57" s="99"/>
      <c r="HG57" s="99"/>
      <c r="HH57" s="99"/>
      <c r="HI57" s="99"/>
      <c r="HJ57" s="99"/>
      <c r="HK57" s="99"/>
      <c r="HL57" s="99"/>
      <c r="HM57" s="99"/>
      <c r="HN57" s="99"/>
      <c r="HO57" s="99"/>
      <c r="HP57" s="99"/>
      <c r="HQ57" s="99"/>
      <c r="HR57" s="99"/>
      <c r="HS57" s="99"/>
      <c r="HT57" s="99"/>
      <c r="HU57" s="99"/>
      <c r="HV57" s="99"/>
      <c r="HW57" s="99"/>
      <c r="HX57" s="99"/>
      <c r="HY57" s="99"/>
      <c r="HZ57" s="99"/>
      <c r="IA57" s="99"/>
      <c r="IB57" s="99"/>
      <c r="IC57" s="99"/>
      <c r="ID57" s="99"/>
      <c r="IE57" s="99"/>
      <c r="IF57" s="99"/>
      <c r="IG57" s="99"/>
      <c r="IH57" s="99"/>
      <c r="II57" s="99"/>
      <c r="IJ57" s="99"/>
      <c r="IK57" s="99"/>
      <c r="IL57" s="99"/>
      <c r="IM57" s="99"/>
      <c r="IN57" s="99"/>
      <c r="IO57" s="99"/>
      <c r="IP57" s="99"/>
      <c r="IQ57" s="99"/>
      <c r="IR57" s="99"/>
      <c r="IS57" s="99"/>
      <c r="IT57" s="99"/>
      <c r="IU57" s="99"/>
      <c r="IV57" s="99"/>
    </row>
    <row r="58" spans="1:256" s="30" customFormat="1" ht="12" customHeight="1">
      <c r="A58" s="14" t="s">
        <v>103</v>
      </c>
      <c r="B58" s="24"/>
      <c r="C58" s="24"/>
      <c r="D58" s="57">
        <f>'Book Income Statement'!C12</f>
        <v>21127.300982879613</v>
      </c>
      <c r="E58" s="57">
        <f>'Book Income Statement'!D12</f>
        <v>28345.310697503006</v>
      </c>
      <c r="F58" s="57">
        <f>'Book Income Statement'!E12</f>
        <v>28746.287674559833</v>
      </c>
      <c r="G58" s="57">
        <f>'Book Income Statement'!F12</f>
        <v>29027.850633714836</v>
      </c>
      <c r="H58" s="57">
        <f>'Book Income Statement'!G12</f>
        <v>29378.746507531301</v>
      </c>
      <c r="I58" s="57">
        <f>'Book Income Statement'!H12</f>
        <v>29613.890577175742</v>
      </c>
      <c r="J58" s="57">
        <f>'Book Income Statement'!I12</f>
        <v>30073.334766096406</v>
      </c>
      <c r="K58" s="57">
        <f>'Book Income Statement'!J12</f>
        <v>30554.551390945886</v>
      </c>
      <c r="L58" s="57">
        <f>'Book Income Statement'!K12</f>
        <v>30923.705415609351</v>
      </c>
      <c r="M58" s="57">
        <f>'Book Income Statement'!L12</f>
        <v>31407.507640083069</v>
      </c>
      <c r="N58" s="57">
        <f>'Book Income Statement'!M12</f>
        <v>31892.641576363261</v>
      </c>
      <c r="O58" s="57">
        <f>'Book Income Statement'!N12</f>
        <v>32435.805158686046</v>
      </c>
      <c r="P58" s="57">
        <f>'Book Income Statement'!O12</f>
        <v>32923.682953972282</v>
      </c>
      <c r="Q58" s="57">
        <f>'Book Income Statement'!P12</f>
        <v>33412.973972481224</v>
      </c>
      <c r="R58" s="57">
        <f>'Book Income Statement'!Q12</f>
        <v>33960.37777867735</v>
      </c>
      <c r="S58" s="57">
        <f>'Book Income Statement'!R12</f>
        <v>19689.929043085787</v>
      </c>
      <c r="T58" s="57"/>
      <c r="U58" s="57"/>
      <c r="V58" s="57"/>
      <c r="W58" s="57"/>
      <c r="X58" s="57"/>
      <c r="Y58" s="57"/>
      <c r="Z58" s="57"/>
      <c r="AA58" s="57"/>
      <c r="AB58" s="57"/>
      <c r="AC58" s="24"/>
      <c r="AD58" s="24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  <c r="BA58" s="99"/>
      <c r="BB58" s="99"/>
      <c r="BC58" s="99"/>
      <c r="BD58" s="99"/>
      <c r="BE58" s="99"/>
      <c r="BF58" s="99"/>
      <c r="BG58" s="99"/>
      <c r="BH58" s="99"/>
      <c r="BI58" s="99"/>
      <c r="BJ58" s="99"/>
      <c r="BK58" s="99"/>
      <c r="BL58" s="99"/>
      <c r="BM58" s="99"/>
      <c r="BN58" s="99"/>
      <c r="BO58" s="99"/>
      <c r="BP58" s="99"/>
      <c r="BQ58" s="99"/>
      <c r="BR58" s="99"/>
      <c r="BS58" s="99"/>
      <c r="BT58" s="99"/>
      <c r="BU58" s="99"/>
      <c r="BV58" s="99"/>
      <c r="BW58" s="99"/>
      <c r="BX58" s="99"/>
      <c r="BY58" s="99"/>
      <c r="BZ58" s="99"/>
      <c r="CA58" s="99"/>
      <c r="CB58" s="99"/>
      <c r="CC58" s="99"/>
      <c r="CD58" s="99"/>
      <c r="CE58" s="99"/>
      <c r="CF58" s="99"/>
      <c r="CG58" s="99"/>
      <c r="CH58" s="99"/>
      <c r="CI58" s="99"/>
      <c r="CJ58" s="99"/>
      <c r="CK58" s="99"/>
      <c r="CL58" s="99"/>
      <c r="CM58" s="99"/>
      <c r="CN58" s="99"/>
      <c r="CO58" s="99"/>
      <c r="CP58" s="99"/>
      <c r="CQ58" s="99"/>
      <c r="CR58" s="99"/>
      <c r="CS58" s="99"/>
      <c r="CT58" s="99"/>
      <c r="CU58" s="99"/>
      <c r="CV58" s="99"/>
      <c r="CW58" s="99"/>
      <c r="CX58" s="99"/>
      <c r="CY58" s="99"/>
      <c r="CZ58" s="99"/>
      <c r="DA58" s="99"/>
      <c r="DB58" s="99"/>
      <c r="DC58" s="99"/>
      <c r="DD58" s="99"/>
      <c r="DE58" s="99"/>
      <c r="DF58" s="99"/>
      <c r="DG58" s="99"/>
      <c r="DH58" s="99"/>
      <c r="DI58" s="99"/>
      <c r="DJ58" s="99"/>
      <c r="DK58" s="99"/>
      <c r="DL58" s="99"/>
      <c r="DM58" s="99"/>
      <c r="DN58" s="99"/>
      <c r="DO58" s="99"/>
      <c r="DP58" s="99"/>
      <c r="DQ58" s="99"/>
      <c r="DR58" s="99"/>
      <c r="DS58" s="99"/>
      <c r="DT58" s="99"/>
      <c r="DU58" s="99"/>
      <c r="DV58" s="99"/>
      <c r="DW58" s="99"/>
      <c r="DX58" s="99"/>
      <c r="DY58" s="99"/>
      <c r="DZ58" s="99"/>
      <c r="EA58" s="99"/>
      <c r="EB58" s="99"/>
      <c r="EC58" s="99"/>
      <c r="ED58" s="99"/>
      <c r="EE58" s="99"/>
      <c r="EF58" s="99"/>
      <c r="EG58" s="99"/>
      <c r="EH58" s="99"/>
      <c r="EI58" s="99"/>
      <c r="EJ58" s="99"/>
      <c r="EK58" s="99"/>
      <c r="EL58" s="99"/>
      <c r="EM58" s="99"/>
      <c r="EN58" s="99"/>
      <c r="EO58" s="99"/>
      <c r="EP58" s="99"/>
      <c r="EQ58" s="99"/>
      <c r="ER58" s="99"/>
      <c r="ES58" s="99"/>
      <c r="ET58" s="99"/>
      <c r="EU58" s="99"/>
      <c r="EV58" s="99"/>
      <c r="EW58" s="99"/>
      <c r="EX58" s="99"/>
      <c r="EY58" s="99"/>
      <c r="EZ58" s="99"/>
      <c r="FA58" s="99"/>
      <c r="FB58" s="99"/>
      <c r="FC58" s="99"/>
      <c r="FD58" s="99"/>
      <c r="FE58" s="99"/>
      <c r="FF58" s="99"/>
      <c r="FG58" s="99"/>
      <c r="FH58" s="99"/>
      <c r="FI58" s="99"/>
      <c r="FJ58" s="99"/>
      <c r="FK58" s="99"/>
      <c r="FL58" s="99"/>
      <c r="FM58" s="99"/>
      <c r="FN58" s="99"/>
      <c r="FO58" s="99"/>
      <c r="FP58" s="99"/>
      <c r="FQ58" s="99"/>
      <c r="FR58" s="99"/>
      <c r="FS58" s="99"/>
      <c r="FT58" s="99"/>
      <c r="FU58" s="99"/>
      <c r="FV58" s="99"/>
      <c r="FW58" s="99"/>
      <c r="FX58" s="99"/>
      <c r="FY58" s="99"/>
      <c r="FZ58" s="99"/>
      <c r="GA58" s="99"/>
      <c r="GB58" s="99"/>
      <c r="GC58" s="99"/>
      <c r="GD58" s="99"/>
      <c r="GE58" s="99"/>
      <c r="GF58" s="99"/>
      <c r="GG58" s="99"/>
      <c r="GH58" s="99"/>
      <c r="GI58" s="99"/>
      <c r="GJ58" s="99"/>
      <c r="GK58" s="99"/>
      <c r="GL58" s="99"/>
      <c r="GM58" s="99"/>
      <c r="GN58" s="99"/>
      <c r="GO58" s="99"/>
      <c r="GP58" s="99"/>
      <c r="GQ58" s="99"/>
      <c r="GR58" s="99"/>
      <c r="GS58" s="99"/>
      <c r="GT58" s="99"/>
      <c r="GU58" s="99"/>
      <c r="GV58" s="99"/>
      <c r="GW58" s="99"/>
      <c r="GX58" s="99"/>
      <c r="GY58" s="99"/>
      <c r="GZ58" s="99"/>
      <c r="HA58" s="99"/>
      <c r="HB58" s="99"/>
      <c r="HC58" s="99"/>
      <c r="HD58" s="99"/>
      <c r="HE58" s="99"/>
      <c r="HF58" s="99"/>
      <c r="HG58" s="99"/>
      <c r="HH58" s="99"/>
      <c r="HI58" s="99"/>
      <c r="HJ58" s="99"/>
      <c r="HK58" s="99"/>
      <c r="HL58" s="99"/>
      <c r="HM58" s="99"/>
      <c r="HN58" s="99"/>
      <c r="HO58" s="99"/>
      <c r="HP58" s="99"/>
      <c r="HQ58" s="99"/>
      <c r="HR58" s="99"/>
      <c r="HS58" s="99"/>
      <c r="HT58" s="99"/>
      <c r="HU58" s="99"/>
      <c r="HV58" s="99"/>
      <c r="HW58" s="99"/>
      <c r="HX58" s="99"/>
      <c r="HY58" s="99"/>
      <c r="HZ58" s="99"/>
      <c r="IA58" s="99"/>
      <c r="IB58" s="99"/>
      <c r="IC58" s="99"/>
      <c r="ID58" s="99"/>
      <c r="IE58" s="99"/>
      <c r="IF58" s="99"/>
      <c r="IG58" s="99"/>
      <c r="IH58" s="99"/>
      <c r="II58" s="99"/>
      <c r="IJ58" s="99"/>
      <c r="IK58" s="99"/>
      <c r="IL58" s="99"/>
      <c r="IM58" s="99"/>
      <c r="IN58" s="99"/>
      <c r="IO58" s="99"/>
      <c r="IP58" s="99"/>
      <c r="IQ58" s="99"/>
      <c r="IR58" s="99"/>
      <c r="IS58" s="99"/>
      <c r="IT58" s="99"/>
      <c r="IU58" s="99"/>
      <c r="IV58" s="99"/>
    </row>
    <row r="59" spans="1:256" ht="12" customHeight="1">
      <c r="A59" s="14" t="s">
        <v>104</v>
      </c>
      <c r="B59" s="24"/>
      <c r="C59" s="24"/>
      <c r="D59" s="397">
        <f>IF(D$4&gt;'Project Assumptions'!$I$15+1,0,'Project Assumptions'!$N$42)</f>
        <v>0</v>
      </c>
      <c r="E59" s="397">
        <f>IF(E$4&gt;'Project Assumptions'!$I$15+1,0,'Project Assumptions'!$N$42)</f>
        <v>0</v>
      </c>
      <c r="F59" s="397">
        <f>IF(F$4&gt;'Project Assumptions'!$I$15+1,0,'Project Assumptions'!$N$42)</f>
        <v>0</v>
      </c>
      <c r="G59" s="397">
        <f>IF(G$4&gt;'Project Assumptions'!$I$15+1,0,'Project Assumptions'!$N$42)</f>
        <v>0</v>
      </c>
      <c r="H59" s="397">
        <f>IF(H$4&gt;'Project Assumptions'!$I$15+1,0,'Project Assumptions'!$N$42)</f>
        <v>0</v>
      </c>
      <c r="I59" s="397">
        <f>IF(I$4&gt;'Project Assumptions'!$I$15+1,0,'Project Assumptions'!$N$42)</f>
        <v>0</v>
      </c>
      <c r="J59" s="397">
        <f>IF(J$4&gt;'Project Assumptions'!$I$15+1,0,'Project Assumptions'!$N$42)</f>
        <v>0</v>
      </c>
      <c r="K59" s="397">
        <f>IF(K$4&gt;'Project Assumptions'!$I$15+1,0,'Project Assumptions'!$N$42)</f>
        <v>0</v>
      </c>
      <c r="L59" s="397">
        <f>IF(L$4&gt;'Project Assumptions'!$I$15+1,0,'Project Assumptions'!$N$42)</f>
        <v>0</v>
      </c>
      <c r="M59" s="397">
        <f>IF(M$4&gt;'Project Assumptions'!$I$15+1,0,'Project Assumptions'!$N$42)</f>
        <v>0</v>
      </c>
      <c r="N59" s="397">
        <f>IF(N$4&gt;'Project Assumptions'!$I$15+1,0,'Project Assumptions'!$N$42)</f>
        <v>0</v>
      </c>
      <c r="O59" s="397">
        <f>IF(O$4&gt;'Project Assumptions'!$I$15+1,0,'Project Assumptions'!$N$42)</f>
        <v>0</v>
      </c>
      <c r="P59" s="397">
        <f>IF(P$4&gt;'Project Assumptions'!$I$15+1,0,'Project Assumptions'!$N$42)</f>
        <v>0</v>
      </c>
      <c r="Q59" s="397">
        <f>IF(Q$4&gt;'Project Assumptions'!$I$15+1,0,'Project Assumptions'!$N$42)</f>
        <v>0</v>
      </c>
      <c r="R59" s="397">
        <f>IF(R$4&gt;'Project Assumptions'!$I$15+1,0,'Project Assumptions'!$N$42)</f>
        <v>0</v>
      </c>
      <c r="S59" s="397">
        <f>IF(S$4&gt;'Project Assumptions'!$I$15+1,0,'Project Assumptions'!$N$42)</f>
        <v>0</v>
      </c>
      <c r="T59" s="242"/>
      <c r="U59" s="242"/>
      <c r="V59" s="242"/>
      <c r="W59" s="242"/>
      <c r="X59" s="242"/>
      <c r="Y59" s="242"/>
      <c r="Z59" s="242"/>
      <c r="AA59" s="242"/>
      <c r="AB59" s="242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99"/>
      <c r="BF59" s="99"/>
      <c r="BG59" s="99"/>
      <c r="BH59" s="99"/>
      <c r="BI59" s="99"/>
      <c r="BJ59" s="99"/>
      <c r="BK59" s="99"/>
      <c r="BL59" s="99"/>
      <c r="BM59" s="99"/>
      <c r="BN59" s="99"/>
      <c r="BO59" s="99"/>
      <c r="BP59" s="99"/>
      <c r="BQ59" s="99"/>
      <c r="BR59" s="99"/>
      <c r="BS59" s="99"/>
      <c r="BT59" s="99"/>
      <c r="BU59" s="99"/>
      <c r="BV59" s="99"/>
      <c r="BW59" s="99"/>
      <c r="BX59" s="99"/>
      <c r="BY59" s="99"/>
      <c r="BZ59" s="99"/>
      <c r="CA59" s="99"/>
      <c r="CB59" s="99"/>
      <c r="CC59" s="99"/>
      <c r="CD59" s="99"/>
      <c r="CE59" s="99"/>
      <c r="CF59" s="99"/>
      <c r="CG59" s="99"/>
      <c r="CH59" s="99"/>
      <c r="CI59" s="99"/>
      <c r="CJ59" s="99"/>
      <c r="CK59" s="99"/>
      <c r="CL59" s="99"/>
      <c r="CM59" s="99"/>
      <c r="CN59" s="99"/>
      <c r="CO59" s="99"/>
      <c r="CP59" s="99"/>
      <c r="CQ59" s="99"/>
      <c r="CR59" s="99"/>
      <c r="CS59" s="99"/>
      <c r="CT59" s="99"/>
      <c r="CU59" s="99"/>
      <c r="CV59" s="99"/>
      <c r="CW59" s="99"/>
      <c r="CX59" s="99"/>
      <c r="CY59" s="99"/>
      <c r="CZ59" s="99"/>
      <c r="DA59" s="99"/>
      <c r="DB59" s="99"/>
      <c r="DC59" s="99"/>
      <c r="DD59" s="99"/>
      <c r="DE59" s="99"/>
      <c r="DF59" s="99"/>
      <c r="DG59" s="99"/>
      <c r="DH59" s="99"/>
      <c r="DI59" s="99"/>
      <c r="DJ59" s="99"/>
      <c r="DK59" s="99"/>
      <c r="DL59" s="99"/>
      <c r="DM59" s="99"/>
      <c r="DN59" s="99"/>
      <c r="DO59" s="99"/>
      <c r="DP59" s="99"/>
      <c r="DQ59" s="99"/>
      <c r="DR59" s="99"/>
      <c r="DS59" s="99"/>
      <c r="DT59" s="99"/>
      <c r="DU59" s="99"/>
      <c r="DV59" s="99"/>
      <c r="DW59" s="99"/>
      <c r="DX59" s="99"/>
      <c r="DY59" s="99"/>
      <c r="DZ59" s="99"/>
      <c r="EA59" s="99"/>
      <c r="EB59" s="99"/>
      <c r="EC59" s="99"/>
      <c r="ED59" s="99"/>
      <c r="EE59" s="99"/>
      <c r="EF59" s="99"/>
      <c r="EG59" s="99"/>
      <c r="EH59" s="99"/>
      <c r="EI59" s="99"/>
      <c r="EJ59" s="99"/>
      <c r="EK59" s="99"/>
      <c r="EL59" s="99"/>
      <c r="EM59" s="99"/>
      <c r="EN59" s="99"/>
      <c r="EO59" s="99"/>
      <c r="EP59" s="99"/>
      <c r="EQ59" s="99"/>
      <c r="ER59" s="99"/>
      <c r="ES59" s="99"/>
      <c r="ET59" s="99"/>
      <c r="EU59" s="99"/>
      <c r="EV59" s="99"/>
      <c r="EW59" s="99"/>
      <c r="EX59" s="99"/>
      <c r="EY59" s="99"/>
      <c r="EZ59" s="99"/>
      <c r="FA59" s="99"/>
      <c r="FB59" s="99"/>
      <c r="FC59" s="99"/>
      <c r="FD59" s="99"/>
      <c r="FE59" s="99"/>
      <c r="FF59" s="99"/>
      <c r="FG59" s="99"/>
      <c r="FH59" s="99"/>
      <c r="FI59" s="99"/>
      <c r="FJ59" s="99"/>
      <c r="FK59" s="99"/>
      <c r="FL59" s="99"/>
      <c r="FM59" s="99"/>
      <c r="FN59" s="99"/>
      <c r="FO59" s="99"/>
      <c r="FP59" s="99"/>
      <c r="FQ59" s="99"/>
      <c r="FR59" s="99"/>
      <c r="FS59" s="99"/>
      <c r="FT59" s="99"/>
      <c r="FU59" s="99"/>
      <c r="FV59" s="99"/>
      <c r="FW59" s="99"/>
      <c r="FX59" s="99"/>
      <c r="FY59" s="99"/>
      <c r="FZ59" s="99"/>
      <c r="GA59" s="99"/>
      <c r="GB59" s="99"/>
      <c r="GC59" s="99"/>
      <c r="GD59" s="99"/>
      <c r="GE59" s="99"/>
      <c r="GF59" s="99"/>
      <c r="GG59" s="99"/>
      <c r="GH59" s="99"/>
      <c r="GI59" s="99"/>
      <c r="GJ59" s="99"/>
      <c r="GK59" s="99"/>
      <c r="GL59" s="99"/>
      <c r="GM59" s="99"/>
      <c r="GN59" s="99"/>
      <c r="GO59" s="99"/>
      <c r="GP59" s="99"/>
      <c r="GQ59" s="99"/>
      <c r="GR59" s="99"/>
      <c r="GS59" s="99"/>
      <c r="GT59" s="99"/>
      <c r="GU59" s="99"/>
      <c r="GV59" s="99"/>
      <c r="GW59" s="99"/>
      <c r="GX59" s="99"/>
      <c r="GY59" s="99"/>
      <c r="GZ59" s="99"/>
      <c r="HA59" s="99"/>
      <c r="HB59" s="99"/>
      <c r="HC59" s="99"/>
      <c r="HD59" s="99"/>
      <c r="HE59" s="99"/>
      <c r="HF59" s="99"/>
      <c r="HG59" s="99"/>
      <c r="HH59" s="99"/>
      <c r="HI59" s="99"/>
      <c r="HJ59" s="99"/>
      <c r="HK59" s="99"/>
      <c r="HL59" s="99"/>
      <c r="HM59" s="99"/>
      <c r="HN59" s="99"/>
      <c r="HO59" s="99"/>
      <c r="HP59" s="99"/>
      <c r="HQ59" s="99"/>
      <c r="HR59" s="99"/>
      <c r="HS59" s="99"/>
      <c r="HT59" s="99"/>
      <c r="HU59" s="99"/>
      <c r="HV59" s="99"/>
      <c r="HW59" s="99"/>
      <c r="HX59" s="99"/>
      <c r="HY59" s="99"/>
      <c r="HZ59" s="99"/>
      <c r="IA59" s="99"/>
      <c r="IB59" s="99"/>
      <c r="IC59" s="99"/>
      <c r="ID59" s="99"/>
      <c r="IE59" s="99"/>
      <c r="IF59" s="99"/>
      <c r="IG59" s="99"/>
      <c r="IH59" s="99"/>
      <c r="II59" s="99"/>
      <c r="IJ59" s="99"/>
      <c r="IK59" s="99"/>
      <c r="IL59" s="99"/>
      <c r="IM59" s="99"/>
      <c r="IN59" s="99"/>
      <c r="IO59" s="99"/>
      <c r="IP59" s="99"/>
      <c r="IQ59" s="99"/>
      <c r="IR59" s="99"/>
      <c r="IS59" s="99"/>
    </row>
    <row r="60" spans="1:256" s="30" customFormat="1" ht="12" customHeight="1">
      <c r="A60" s="14" t="s">
        <v>105</v>
      </c>
      <c r="B60" s="24"/>
      <c r="C60" s="24"/>
      <c r="D60" s="57">
        <f t="shared" ref="D60:S60" si="26">D58*D59</f>
        <v>0</v>
      </c>
      <c r="E60" s="57">
        <f t="shared" si="26"/>
        <v>0</v>
      </c>
      <c r="F60" s="57">
        <f t="shared" si="26"/>
        <v>0</v>
      </c>
      <c r="G60" s="57">
        <f t="shared" si="26"/>
        <v>0</v>
      </c>
      <c r="H60" s="57">
        <f t="shared" si="26"/>
        <v>0</v>
      </c>
      <c r="I60" s="57">
        <f t="shared" si="26"/>
        <v>0</v>
      </c>
      <c r="J60" s="57">
        <f t="shared" si="26"/>
        <v>0</v>
      </c>
      <c r="K60" s="57">
        <f t="shared" si="26"/>
        <v>0</v>
      </c>
      <c r="L60" s="57">
        <f t="shared" si="26"/>
        <v>0</v>
      </c>
      <c r="M60" s="57">
        <f t="shared" si="26"/>
        <v>0</v>
      </c>
      <c r="N60" s="57">
        <f t="shared" si="26"/>
        <v>0</v>
      </c>
      <c r="O60" s="57">
        <f t="shared" si="26"/>
        <v>0</v>
      </c>
      <c r="P60" s="57">
        <f t="shared" si="26"/>
        <v>0</v>
      </c>
      <c r="Q60" s="57">
        <f t="shared" si="26"/>
        <v>0</v>
      </c>
      <c r="R60" s="57">
        <f t="shared" si="26"/>
        <v>0</v>
      </c>
      <c r="S60" s="57">
        <f t="shared" si="26"/>
        <v>0</v>
      </c>
      <c r="T60" s="57"/>
      <c r="U60" s="57"/>
      <c r="V60" s="57"/>
      <c r="W60" s="57"/>
      <c r="X60" s="57"/>
      <c r="Y60" s="57"/>
      <c r="Z60" s="57"/>
      <c r="AA60" s="57"/>
      <c r="AB60" s="57"/>
      <c r="AC60" s="24"/>
      <c r="AD60" s="24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99"/>
      <c r="BD60" s="99"/>
      <c r="BE60" s="99"/>
      <c r="BF60" s="99"/>
      <c r="BG60" s="99"/>
      <c r="BH60" s="99"/>
      <c r="BI60" s="99"/>
      <c r="BJ60" s="99"/>
      <c r="BK60" s="99"/>
      <c r="BL60" s="99"/>
      <c r="BM60" s="99"/>
      <c r="BN60" s="99"/>
      <c r="BO60" s="99"/>
      <c r="BP60" s="99"/>
      <c r="BQ60" s="99"/>
      <c r="BR60" s="99"/>
      <c r="BS60" s="99"/>
      <c r="BT60" s="99"/>
      <c r="BU60" s="99"/>
      <c r="BV60" s="99"/>
      <c r="BW60" s="99"/>
      <c r="BX60" s="99"/>
      <c r="BY60" s="99"/>
      <c r="BZ60" s="99"/>
      <c r="CA60" s="99"/>
      <c r="CB60" s="99"/>
      <c r="CC60" s="99"/>
      <c r="CD60" s="99"/>
      <c r="CE60" s="99"/>
      <c r="CF60" s="99"/>
      <c r="CG60" s="99"/>
      <c r="CH60" s="99"/>
      <c r="CI60" s="99"/>
      <c r="CJ60" s="99"/>
      <c r="CK60" s="99"/>
      <c r="CL60" s="99"/>
      <c r="CM60" s="99"/>
      <c r="CN60" s="99"/>
      <c r="CO60" s="99"/>
      <c r="CP60" s="99"/>
      <c r="CQ60" s="99"/>
      <c r="CR60" s="99"/>
      <c r="CS60" s="99"/>
      <c r="CT60" s="99"/>
      <c r="CU60" s="99"/>
      <c r="CV60" s="99"/>
      <c r="CW60" s="99"/>
      <c r="CX60" s="99"/>
      <c r="CY60" s="99"/>
      <c r="CZ60" s="99"/>
      <c r="DA60" s="99"/>
      <c r="DB60" s="99"/>
      <c r="DC60" s="99"/>
      <c r="DD60" s="99"/>
      <c r="DE60" s="99"/>
      <c r="DF60" s="99"/>
      <c r="DG60" s="99"/>
      <c r="DH60" s="99"/>
      <c r="DI60" s="99"/>
      <c r="DJ60" s="99"/>
      <c r="DK60" s="99"/>
      <c r="DL60" s="99"/>
      <c r="DM60" s="99"/>
      <c r="DN60" s="99"/>
      <c r="DO60" s="99"/>
      <c r="DP60" s="99"/>
      <c r="DQ60" s="99"/>
      <c r="DR60" s="99"/>
      <c r="DS60" s="99"/>
      <c r="DT60" s="99"/>
      <c r="DU60" s="99"/>
      <c r="DV60" s="99"/>
      <c r="DW60" s="99"/>
      <c r="DX60" s="99"/>
      <c r="DY60" s="99"/>
      <c r="DZ60" s="99"/>
      <c r="EA60" s="99"/>
      <c r="EB60" s="99"/>
      <c r="EC60" s="99"/>
      <c r="ED60" s="99"/>
      <c r="EE60" s="99"/>
      <c r="EF60" s="99"/>
      <c r="EG60" s="99"/>
      <c r="EH60" s="99"/>
      <c r="EI60" s="99"/>
      <c r="EJ60" s="99"/>
      <c r="EK60" s="99"/>
      <c r="EL60" s="99"/>
      <c r="EM60" s="99"/>
      <c r="EN60" s="99"/>
      <c r="EO60" s="99"/>
      <c r="EP60" s="99"/>
      <c r="EQ60" s="99"/>
      <c r="ER60" s="99"/>
      <c r="ES60" s="99"/>
      <c r="ET60" s="99"/>
      <c r="EU60" s="99"/>
      <c r="EV60" s="99"/>
      <c r="EW60" s="99"/>
      <c r="EX60" s="99"/>
      <c r="EY60" s="99"/>
      <c r="EZ60" s="99"/>
      <c r="FA60" s="99"/>
      <c r="FB60" s="99"/>
      <c r="FC60" s="99"/>
      <c r="FD60" s="99"/>
      <c r="FE60" s="99"/>
      <c r="FF60" s="99"/>
      <c r="FG60" s="99"/>
      <c r="FH60" s="99"/>
      <c r="FI60" s="99"/>
      <c r="FJ60" s="99"/>
      <c r="FK60" s="99"/>
      <c r="FL60" s="99"/>
      <c r="FM60" s="99"/>
      <c r="FN60" s="99"/>
      <c r="FO60" s="99"/>
      <c r="FP60" s="99"/>
      <c r="FQ60" s="99"/>
      <c r="FR60" s="99"/>
      <c r="FS60" s="99"/>
      <c r="FT60" s="99"/>
      <c r="FU60" s="99"/>
      <c r="FV60" s="99"/>
      <c r="FW60" s="99"/>
      <c r="FX60" s="99"/>
      <c r="FY60" s="99"/>
      <c r="FZ60" s="99"/>
      <c r="GA60" s="99"/>
      <c r="GB60" s="99"/>
      <c r="GC60" s="99"/>
      <c r="GD60" s="99"/>
      <c r="GE60" s="99"/>
      <c r="GF60" s="99"/>
      <c r="GG60" s="99"/>
      <c r="GH60" s="99"/>
      <c r="GI60" s="99"/>
      <c r="GJ60" s="99"/>
      <c r="GK60" s="99"/>
      <c r="GL60" s="99"/>
      <c r="GM60" s="99"/>
      <c r="GN60" s="99"/>
      <c r="GO60" s="99"/>
      <c r="GP60" s="99"/>
      <c r="GQ60" s="99"/>
      <c r="GR60" s="99"/>
      <c r="GS60" s="99"/>
      <c r="GT60" s="99"/>
      <c r="GU60" s="99"/>
      <c r="GV60" s="99"/>
      <c r="GW60" s="99"/>
      <c r="GX60" s="99"/>
      <c r="GY60" s="99"/>
      <c r="GZ60" s="99"/>
      <c r="HA60" s="99"/>
      <c r="HB60" s="99"/>
      <c r="HC60" s="99"/>
      <c r="HD60" s="99"/>
      <c r="HE60" s="99"/>
      <c r="HF60" s="99"/>
      <c r="HG60" s="99"/>
      <c r="HH60" s="99"/>
      <c r="HI60" s="99"/>
      <c r="HJ60" s="99"/>
      <c r="HK60" s="99"/>
      <c r="HL60" s="99"/>
      <c r="HM60" s="99"/>
      <c r="HN60" s="99"/>
      <c r="HO60" s="99"/>
      <c r="HP60" s="99"/>
      <c r="HQ60" s="99"/>
      <c r="HR60" s="99"/>
      <c r="HS60" s="99"/>
      <c r="HT60" s="99"/>
      <c r="HU60" s="99"/>
      <c r="HV60" s="99"/>
      <c r="HW60" s="99"/>
      <c r="HX60" s="99"/>
      <c r="HY60" s="99"/>
      <c r="HZ60" s="99"/>
      <c r="IA60" s="99"/>
      <c r="IB60" s="99"/>
      <c r="IC60" s="99"/>
      <c r="ID60" s="99"/>
      <c r="IE60" s="99"/>
      <c r="IF60" s="99"/>
      <c r="IG60" s="99"/>
      <c r="IH60" s="99"/>
      <c r="II60" s="99"/>
      <c r="IJ60" s="99"/>
      <c r="IK60" s="99"/>
      <c r="IL60" s="99"/>
      <c r="IM60" s="99"/>
      <c r="IN60" s="99"/>
      <c r="IO60" s="99"/>
      <c r="IP60" s="99"/>
      <c r="IQ60" s="99"/>
      <c r="IR60" s="99"/>
      <c r="IS60" s="99"/>
      <c r="IT60" s="99"/>
      <c r="IU60" s="99"/>
      <c r="IV60" s="99"/>
    </row>
    <row r="61" spans="1:256" s="30" customFormat="1" ht="10.199999999999999">
      <c r="A61" s="14"/>
      <c r="B61" s="24"/>
      <c r="C61" s="24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24"/>
      <c r="AD61" s="24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  <c r="AZ61" s="99"/>
      <c r="BA61" s="99"/>
      <c r="BB61" s="99"/>
      <c r="BC61" s="99"/>
      <c r="BD61" s="99"/>
      <c r="BE61" s="99"/>
      <c r="BF61" s="99"/>
      <c r="BG61" s="99"/>
      <c r="BH61" s="99"/>
      <c r="BI61" s="99"/>
      <c r="BJ61" s="99"/>
      <c r="BK61" s="99"/>
      <c r="BL61" s="99"/>
      <c r="BM61" s="99"/>
      <c r="BN61" s="99"/>
      <c r="BO61" s="99"/>
      <c r="BP61" s="99"/>
      <c r="BQ61" s="99"/>
      <c r="BR61" s="99"/>
      <c r="BS61" s="99"/>
      <c r="BT61" s="99"/>
      <c r="BU61" s="99"/>
      <c r="BV61" s="99"/>
      <c r="BW61" s="99"/>
      <c r="BX61" s="99"/>
      <c r="BY61" s="99"/>
      <c r="BZ61" s="99"/>
      <c r="CA61" s="99"/>
      <c r="CB61" s="99"/>
      <c r="CC61" s="99"/>
      <c r="CD61" s="99"/>
      <c r="CE61" s="99"/>
      <c r="CF61" s="99"/>
      <c r="CG61" s="99"/>
      <c r="CH61" s="99"/>
      <c r="CI61" s="99"/>
      <c r="CJ61" s="99"/>
      <c r="CK61" s="99"/>
      <c r="CL61" s="99"/>
      <c r="CM61" s="99"/>
      <c r="CN61" s="99"/>
      <c r="CO61" s="99"/>
      <c r="CP61" s="99"/>
      <c r="CQ61" s="99"/>
      <c r="CR61" s="99"/>
      <c r="CS61" s="99"/>
      <c r="CT61" s="99"/>
      <c r="CU61" s="99"/>
      <c r="CV61" s="99"/>
      <c r="CW61" s="99"/>
      <c r="CX61" s="99"/>
      <c r="CY61" s="99"/>
      <c r="CZ61" s="99"/>
      <c r="DA61" s="99"/>
      <c r="DB61" s="99"/>
      <c r="DC61" s="99"/>
      <c r="DD61" s="99"/>
      <c r="DE61" s="99"/>
      <c r="DF61" s="99"/>
      <c r="DG61" s="99"/>
      <c r="DH61" s="99"/>
      <c r="DI61" s="99"/>
      <c r="DJ61" s="99"/>
      <c r="DK61" s="99"/>
      <c r="DL61" s="99"/>
      <c r="DM61" s="99"/>
      <c r="DN61" s="99"/>
      <c r="DO61" s="99"/>
      <c r="DP61" s="99"/>
      <c r="DQ61" s="99"/>
      <c r="DR61" s="99"/>
      <c r="DS61" s="99"/>
      <c r="DT61" s="99"/>
      <c r="DU61" s="99"/>
      <c r="DV61" s="99"/>
      <c r="DW61" s="99"/>
      <c r="DX61" s="99"/>
      <c r="DY61" s="99"/>
      <c r="DZ61" s="99"/>
      <c r="EA61" s="99"/>
      <c r="EB61" s="99"/>
      <c r="EC61" s="99"/>
      <c r="ED61" s="99"/>
      <c r="EE61" s="99"/>
      <c r="EF61" s="99"/>
      <c r="EG61" s="99"/>
      <c r="EH61" s="99"/>
      <c r="EI61" s="99"/>
      <c r="EJ61" s="99"/>
      <c r="EK61" s="99"/>
      <c r="EL61" s="99"/>
      <c r="EM61" s="99"/>
      <c r="EN61" s="99"/>
      <c r="EO61" s="99"/>
      <c r="EP61" s="99"/>
      <c r="EQ61" s="99"/>
      <c r="ER61" s="99"/>
      <c r="ES61" s="99"/>
      <c r="ET61" s="99"/>
      <c r="EU61" s="99"/>
      <c r="EV61" s="99"/>
      <c r="EW61" s="99"/>
      <c r="EX61" s="99"/>
      <c r="EY61" s="99"/>
      <c r="EZ61" s="99"/>
      <c r="FA61" s="99"/>
      <c r="FB61" s="99"/>
      <c r="FC61" s="99"/>
      <c r="FD61" s="99"/>
      <c r="FE61" s="99"/>
      <c r="FF61" s="99"/>
      <c r="FG61" s="99"/>
      <c r="FH61" s="99"/>
      <c r="FI61" s="99"/>
      <c r="FJ61" s="99"/>
      <c r="FK61" s="99"/>
      <c r="FL61" s="99"/>
      <c r="FM61" s="99"/>
      <c r="FN61" s="99"/>
      <c r="FO61" s="99"/>
      <c r="FP61" s="99"/>
      <c r="FQ61" s="99"/>
      <c r="FR61" s="99"/>
      <c r="FS61" s="99"/>
      <c r="FT61" s="99"/>
      <c r="FU61" s="99"/>
      <c r="FV61" s="99"/>
      <c r="FW61" s="99"/>
      <c r="FX61" s="99"/>
      <c r="FY61" s="99"/>
      <c r="FZ61" s="99"/>
      <c r="GA61" s="99"/>
      <c r="GB61" s="99"/>
      <c r="GC61" s="99"/>
      <c r="GD61" s="99"/>
      <c r="GE61" s="99"/>
      <c r="GF61" s="99"/>
      <c r="GG61" s="99"/>
      <c r="GH61" s="99"/>
      <c r="GI61" s="99"/>
      <c r="GJ61" s="99"/>
      <c r="GK61" s="99"/>
      <c r="GL61" s="99"/>
      <c r="GM61" s="99"/>
      <c r="GN61" s="99"/>
      <c r="GO61" s="99"/>
      <c r="GP61" s="99"/>
      <c r="GQ61" s="99"/>
      <c r="GR61" s="99"/>
      <c r="GS61" s="99"/>
      <c r="GT61" s="99"/>
      <c r="GU61" s="99"/>
      <c r="GV61" s="99"/>
      <c r="GW61" s="99"/>
      <c r="GX61" s="99"/>
      <c r="GY61" s="99"/>
      <c r="GZ61" s="99"/>
      <c r="HA61" s="99"/>
      <c r="HB61" s="99"/>
      <c r="HC61" s="99"/>
      <c r="HD61" s="99"/>
      <c r="HE61" s="99"/>
      <c r="HF61" s="99"/>
      <c r="HG61" s="99"/>
      <c r="HH61" s="99"/>
      <c r="HI61" s="99"/>
      <c r="HJ61" s="99"/>
      <c r="HK61" s="99"/>
      <c r="HL61" s="99"/>
      <c r="HM61" s="99"/>
      <c r="HN61" s="99"/>
      <c r="HO61" s="99"/>
      <c r="HP61" s="99"/>
      <c r="HQ61" s="99"/>
      <c r="HR61" s="99"/>
      <c r="HS61" s="99"/>
      <c r="HT61" s="99"/>
      <c r="HU61" s="99"/>
      <c r="HV61" s="99"/>
      <c r="HW61" s="99"/>
      <c r="HX61" s="99"/>
      <c r="HY61" s="99"/>
      <c r="HZ61" s="99"/>
      <c r="IA61" s="99"/>
      <c r="IB61" s="99"/>
      <c r="IC61" s="99"/>
      <c r="ID61" s="99"/>
      <c r="IE61" s="99"/>
      <c r="IF61" s="99"/>
      <c r="IG61" s="99"/>
      <c r="IH61" s="99"/>
      <c r="II61" s="99"/>
      <c r="IJ61" s="99"/>
      <c r="IK61" s="99"/>
      <c r="IL61" s="99"/>
      <c r="IM61" s="99"/>
      <c r="IN61" s="99"/>
      <c r="IO61" s="99"/>
      <c r="IP61" s="99"/>
      <c r="IQ61" s="99"/>
      <c r="IR61" s="99"/>
      <c r="IS61" s="99"/>
      <c r="IT61" s="99"/>
      <c r="IU61" s="99"/>
      <c r="IV61" s="99"/>
    </row>
    <row r="62" spans="1:256" s="30" customFormat="1" ht="12">
      <c r="A62" s="244"/>
      <c r="B62" s="24"/>
      <c r="C62" s="24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24"/>
      <c r="AD62" s="24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99"/>
      <c r="AY62" s="99"/>
      <c r="AZ62" s="99"/>
      <c r="BA62" s="99"/>
      <c r="BB62" s="99"/>
      <c r="BC62" s="99"/>
      <c r="BD62" s="99"/>
      <c r="BE62" s="99"/>
      <c r="BF62" s="99"/>
      <c r="BG62" s="99"/>
      <c r="BH62" s="99"/>
      <c r="BI62" s="99"/>
      <c r="BJ62" s="99"/>
      <c r="BK62" s="99"/>
      <c r="BL62" s="99"/>
      <c r="BM62" s="99"/>
      <c r="BN62" s="99"/>
      <c r="BO62" s="99"/>
      <c r="BP62" s="99"/>
      <c r="BQ62" s="99"/>
      <c r="BR62" s="99"/>
      <c r="BS62" s="99"/>
      <c r="BT62" s="99"/>
      <c r="BU62" s="99"/>
      <c r="BV62" s="99"/>
      <c r="BW62" s="99"/>
      <c r="BX62" s="99"/>
      <c r="BY62" s="99"/>
      <c r="BZ62" s="99"/>
      <c r="CA62" s="99"/>
      <c r="CB62" s="99"/>
      <c r="CC62" s="99"/>
      <c r="CD62" s="99"/>
      <c r="CE62" s="99"/>
      <c r="CF62" s="99"/>
      <c r="CG62" s="99"/>
      <c r="CH62" s="99"/>
      <c r="CI62" s="99"/>
      <c r="CJ62" s="99"/>
      <c r="CK62" s="99"/>
      <c r="CL62" s="99"/>
      <c r="CM62" s="99"/>
      <c r="CN62" s="99"/>
      <c r="CO62" s="99"/>
      <c r="CP62" s="99"/>
      <c r="CQ62" s="99"/>
      <c r="CR62" s="99"/>
      <c r="CS62" s="99"/>
      <c r="CT62" s="99"/>
      <c r="CU62" s="99"/>
      <c r="CV62" s="99"/>
      <c r="CW62" s="99"/>
      <c r="CX62" s="99"/>
      <c r="CY62" s="99"/>
      <c r="CZ62" s="99"/>
      <c r="DA62" s="99"/>
      <c r="DB62" s="99"/>
      <c r="DC62" s="99"/>
      <c r="DD62" s="99"/>
      <c r="DE62" s="99"/>
      <c r="DF62" s="99"/>
      <c r="DG62" s="99"/>
      <c r="DH62" s="99"/>
      <c r="DI62" s="99"/>
      <c r="DJ62" s="99"/>
      <c r="DK62" s="99"/>
      <c r="DL62" s="99"/>
      <c r="DM62" s="99"/>
      <c r="DN62" s="99"/>
      <c r="DO62" s="99"/>
      <c r="DP62" s="99"/>
      <c r="DQ62" s="99"/>
      <c r="DR62" s="99"/>
      <c r="DS62" s="99"/>
      <c r="DT62" s="99"/>
      <c r="DU62" s="99"/>
      <c r="DV62" s="99"/>
      <c r="DW62" s="99"/>
      <c r="DX62" s="99"/>
      <c r="DY62" s="99"/>
      <c r="DZ62" s="99"/>
      <c r="EA62" s="99"/>
      <c r="EB62" s="99"/>
      <c r="EC62" s="99"/>
      <c r="ED62" s="99"/>
      <c r="EE62" s="99"/>
      <c r="EF62" s="99"/>
      <c r="EG62" s="99"/>
      <c r="EH62" s="99"/>
      <c r="EI62" s="99"/>
      <c r="EJ62" s="99"/>
      <c r="EK62" s="99"/>
      <c r="EL62" s="99"/>
      <c r="EM62" s="99"/>
      <c r="EN62" s="99"/>
      <c r="EO62" s="99"/>
      <c r="EP62" s="99"/>
      <c r="EQ62" s="99"/>
      <c r="ER62" s="99"/>
      <c r="ES62" s="99"/>
      <c r="ET62" s="99"/>
      <c r="EU62" s="99"/>
      <c r="EV62" s="99"/>
      <c r="EW62" s="99"/>
      <c r="EX62" s="99"/>
      <c r="EY62" s="99"/>
      <c r="EZ62" s="99"/>
      <c r="FA62" s="99"/>
      <c r="FB62" s="99"/>
      <c r="FC62" s="99"/>
      <c r="FD62" s="99"/>
      <c r="FE62" s="99"/>
      <c r="FF62" s="99"/>
      <c r="FG62" s="99"/>
      <c r="FH62" s="99"/>
      <c r="FI62" s="99"/>
      <c r="FJ62" s="99"/>
      <c r="FK62" s="99"/>
      <c r="FL62" s="99"/>
      <c r="FM62" s="99"/>
      <c r="FN62" s="99"/>
      <c r="FO62" s="99"/>
      <c r="FP62" s="99"/>
      <c r="FQ62" s="99"/>
      <c r="FR62" s="99"/>
      <c r="FS62" s="99"/>
      <c r="FT62" s="99"/>
      <c r="FU62" s="99"/>
      <c r="FV62" s="99"/>
      <c r="FW62" s="99"/>
      <c r="FX62" s="99"/>
      <c r="FY62" s="99"/>
      <c r="FZ62" s="99"/>
      <c r="GA62" s="99"/>
      <c r="GB62" s="99"/>
      <c r="GC62" s="99"/>
      <c r="GD62" s="99"/>
      <c r="GE62" s="99"/>
      <c r="GF62" s="99"/>
      <c r="GG62" s="99"/>
      <c r="GH62" s="99"/>
      <c r="GI62" s="99"/>
      <c r="GJ62" s="99"/>
      <c r="GK62" s="99"/>
      <c r="GL62" s="99"/>
      <c r="GM62" s="99"/>
      <c r="GN62" s="99"/>
      <c r="GO62" s="99"/>
      <c r="GP62" s="99"/>
      <c r="GQ62" s="99"/>
      <c r="GR62" s="99"/>
      <c r="GS62" s="99"/>
      <c r="GT62" s="99"/>
      <c r="GU62" s="99"/>
      <c r="GV62" s="99"/>
      <c r="GW62" s="99"/>
      <c r="GX62" s="99"/>
      <c r="GY62" s="99"/>
      <c r="GZ62" s="99"/>
      <c r="HA62" s="99"/>
      <c r="HB62" s="99"/>
      <c r="HC62" s="99"/>
      <c r="HD62" s="99"/>
      <c r="HE62" s="99"/>
      <c r="HF62" s="99"/>
      <c r="HG62" s="99"/>
      <c r="HH62" s="99"/>
      <c r="HI62" s="99"/>
      <c r="HJ62" s="99"/>
      <c r="HK62" s="99"/>
      <c r="HL62" s="99"/>
      <c r="HM62" s="99"/>
      <c r="HN62" s="99"/>
      <c r="HO62" s="99"/>
      <c r="HP62" s="99"/>
      <c r="HQ62" s="99"/>
      <c r="HR62" s="99"/>
      <c r="HS62" s="99"/>
      <c r="HT62" s="99"/>
      <c r="HU62" s="99"/>
      <c r="HV62" s="99"/>
      <c r="HW62" s="99"/>
      <c r="HX62" s="99"/>
      <c r="HY62" s="99"/>
      <c r="HZ62" s="99"/>
      <c r="IA62" s="99"/>
      <c r="IB62" s="99"/>
      <c r="IC62" s="99"/>
      <c r="ID62" s="99"/>
      <c r="IE62" s="99"/>
      <c r="IF62" s="99"/>
      <c r="IG62" s="99"/>
      <c r="IH62" s="99"/>
      <c r="II62" s="99"/>
      <c r="IJ62" s="99"/>
      <c r="IK62" s="99"/>
      <c r="IL62" s="99"/>
      <c r="IM62" s="99"/>
      <c r="IN62" s="99"/>
      <c r="IO62" s="99"/>
      <c r="IP62" s="99"/>
      <c r="IQ62" s="99"/>
      <c r="IR62" s="99"/>
      <c r="IS62" s="99"/>
      <c r="IT62" s="99"/>
      <c r="IU62" s="99"/>
      <c r="IV62" s="99"/>
    </row>
    <row r="63" spans="1:256" customFormat="1"/>
    <row r="64" spans="1:256" ht="11.25" customHeight="1">
      <c r="A64" s="14"/>
      <c r="B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AC64" s="20"/>
      <c r="AD64" s="20"/>
      <c r="AE64" s="53"/>
    </row>
    <row r="65" spans="1:31" ht="11.25" customHeight="1">
      <c r="A65" s="14"/>
      <c r="B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AC65" s="20"/>
      <c r="AD65" s="20"/>
      <c r="AE65" s="53"/>
    </row>
    <row r="66" spans="1:31" ht="11.25" customHeight="1">
      <c r="A66" s="119" t="s">
        <v>37</v>
      </c>
      <c r="B66" s="1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AC66" s="20"/>
      <c r="AD66" s="20"/>
      <c r="AE66" s="53"/>
    </row>
    <row r="67" spans="1:31" ht="11.25" customHeight="1">
      <c r="A67" t="s">
        <v>38</v>
      </c>
      <c r="B67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AC67" s="20"/>
      <c r="AD67" s="20"/>
      <c r="AE67" s="53"/>
    </row>
    <row r="68" spans="1:31">
      <c r="A68" t="s">
        <v>5</v>
      </c>
      <c r="B68" s="121" t="s">
        <v>39</v>
      </c>
    </row>
    <row r="69" spans="1:31">
      <c r="A69">
        <v>1</v>
      </c>
      <c r="B69" s="122">
        <v>0.05</v>
      </c>
    </row>
    <row r="70" spans="1:31">
      <c r="A70">
        <v>2</v>
      </c>
      <c r="B70" s="122">
        <v>9.5000000000000001E-2</v>
      </c>
    </row>
    <row r="71" spans="1:31">
      <c r="A71">
        <v>3</v>
      </c>
      <c r="B71" s="122">
        <v>8.5500000000000007E-2</v>
      </c>
    </row>
    <row r="72" spans="1:31">
      <c r="A72">
        <v>4</v>
      </c>
      <c r="B72" s="122">
        <v>7.6999999999999999E-2</v>
      </c>
    </row>
    <row r="73" spans="1:31">
      <c r="A73">
        <v>5</v>
      </c>
      <c r="B73" s="122">
        <v>6.93E-2</v>
      </c>
    </row>
    <row r="74" spans="1:31">
      <c r="A74">
        <v>6</v>
      </c>
      <c r="B74" s="122">
        <v>6.2300000000000001E-2</v>
      </c>
    </row>
    <row r="75" spans="1:31">
      <c r="A75">
        <v>7</v>
      </c>
      <c r="B75" s="122">
        <v>5.8999999999999997E-2</v>
      </c>
    </row>
    <row r="76" spans="1:31">
      <c r="A76">
        <v>8</v>
      </c>
      <c r="B76" s="122">
        <v>5.8999999999999997E-2</v>
      </c>
    </row>
    <row r="77" spans="1:31">
      <c r="A77">
        <v>9</v>
      </c>
      <c r="B77" s="122">
        <v>5.91E-2</v>
      </c>
    </row>
    <row r="78" spans="1:31">
      <c r="A78">
        <v>10</v>
      </c>
      <c r="B78" s="122">
        <v>5.8999999999999997E-2</v>
      </c>
    </row>
    <row r="79" spans="1:31">
      <c r="A79">
        <v>11</v>
      </c>
      <c r="B79" s="122">
        <v>5.91E-2</v>
      </c>
    </row>
    <row r="80" spans="1:31">
      <c r="A80">
        <v>12</v>
      </c>
      <c r="B80" s="122">
        <v>5.8999999999999997E-2</v>
      </c>
    </row>
    <row r="81" spans="1:2">
      <c r="A81">
        <v>13</v>
      </c>
      <c r="B81" s="122">
        <v>5.91E-2</v>
      </c>
    </row>
    <row r="82" spans="1:2">
      <c r="A82">
        <v>14</v>
      </c>
      <c r="B82" s="122">
        <v>5.8999999999999997E-2</v>
      </c>
    </row>
    <row r="83" spans="1:2">
      <c r="A83">
        <v>15</v>
      </c>
      <c r="B83" s="122">
        <v>5.91E-2</v>
      </c>
    </row>
    <row r="84" spans="1:2">
      <c r="A84">
        <v>16</v>
      </c>
      <c r="B84" s="122">
        <v>2.9499999999999998E-2</v>
      </c>
    </row>
    <row r="86" spans="1:2">
      <c r="A86" s="119" t="s">
        <v>40</v>
      </c>
      <c r="B86"/>
    </row>
    <row r="87" spans="1:2">
      <c r="A87" t="s">
        <v>38</v>
      </c>
      <c r="B87"/>
    </row>
    <row r="88" spans="1:2">
      <c r="A88" t="s">
        <v>5</v>
      </c>
      <c r="B88" t="s">
        <v>39</v>
      </c>
    </row>
    <row r="89" spans="1:2">
      <c r="A89">
        <v>1</v>
      </c>
      <c r="B89" s="126">
        <v>3.7499999999999999E-2</v>
      </c>
    </row>
    <row r="90" spans="1:2">
      <c r="A90">
        <v>2</v>
      </c>
      <c r="B90" s="126">
        <v>7.2190000000000004E-2</v>
      </c>
    </row>
    <row r="91" spans="1:2">
      <c r="A91">
        <v>3</v>
      </c>
      <c r="B91" s="126">
        <v>6.6769999999999996E-2</v>
      </c>
    </row>
    <row r="92" spans="1:2">
      <c r="A92">
        <v>4</v>
      </c>
      <c r="B92" s="126">
        <v>6.1769999999999999E-2</v>
      </c>
    </row>
    <row r="93" spans="1:2">
      <c r="A93">
        <v>5</v>
      </c>
      <c r="B93" s="126">
        <v>5.713E-2</v>
      </c>
    </row>
    <row r="94" spans="1:2">
      <c r="A94">
        <v>6</v>
      </c>
      <c r="B94" s="126">
        <v>5.2850000000000001E-2</v>
      </c>
    </row>
    <row r="95" spans="1:2">
      <c r="A95">
        <v>7</v>
      </c>
      <c r="B95" s="126">
        <v>4.888E-2</v>
      </c>
    </row>
    <row r="96" spans="1:2">
      <c r="A96">
        <v>8</v>
      </c>
      <c r="B96" s="126">
        <v>4.5220000000000003E-2</v>
      </c>
    </row>
    <row r="97" spans="1:2">
      <c r="A97">
        <v>9</v>
      </c>
      <c r="B97" s="126">
        <v>4.462E-2</v>
      </c>
    </row>
    <row r="98" spans="1:2">
      <c r="A98">
        <v>10</v>
      </c>
      <c r="B98" s="126">
        <v>4.4609999999999997E-2</v>
      </c>
    </row>
    <row r="99" spans="1:2">
      <c r="A99">
        <v>11</v>
      </c>
      <c r="B99" s="126">
        <v>4.462E-2</v>
      </c>
    </row>
    <row r="100" spans="1:2">
      <c r="A100">
        <v>12</v>
      </c>
      <c r="B100" s="126">
        <v>4.4609999999999997E-2</v>
      </c>
    </row>
    <row r="101" spans="1:2">
      <c r="A101">
        <v>13</v>
      </c>
      <c r="B101" s="126">
        <v>4.462E-2</v>
      </c>
    </row>
    <row r="102" spans="1:2">
      <c r="A102">
        <v>14</v>
      </c>
      <c r="B102" s="126">
        <v>4.4609999999999997E-2</v>
      </c>
    </row>
    <row r="103" spans="1:2">
      <c r="A103">
        <v>15</v>
      </c>
      <c r="B103" s="126">
        <v>4.462E-2</v>
      </c>
    </row>
    <row r="104" spans="1:2">
      <c r="A104">
        <v>16</v>
      </c>
      <c r="B104" s="126">
        <v>4.4609999999999997E-2</v>
      </c>
    </row>
    <row r="105" spans="1:2">
      <c r="A105">
        <v>17</v>
      </c>
      <c r="B105" s="126">
        <v>4.462E-2</v>
      </c>
    </row>
    <row r="106" spans="1:2">
      <c r="A106">
        <v>18</v>
      </c>
      <c r="B106" s="126">
        <v>4.4609999999999997E-2</v>
      </c>
    </row>
    <row r="107" spans="1:2">
      <c r="A107">
        <v>19</v>
      </c>
      <c r="B107" s="126">
        <v>4.462E-2</v>
      </c>
    </row>
    <row r="108" spans="1:2">
      <c r="A108">
        <v>20</v>
      </c>
      <c r="B108" s="126">
        <v>4.4609999999999997E-2</v>
      </c>
    </row>
    <row r="109" spans="1:2">
      <c r="A109">
        <v>21</v>
      </c>
      <c r="B109" s="126">
        <v>2.2499999999999999E-2</v>
      </c>
    </row>
  </sheetData>
  <pageMargins left="0.33" right="0.47" top="0.8" bottom="0.48" header="0.5" footer="0.25"/>
  <pageSetup scale="65" orientation="landscape" r:id="rId1"/>
  <headerFooter alignWithMargins="0">
    <oddFooter>&amp;L&amp;D   &amp;T&amp;R&amp;A &amp;P</oddFooter>
  </headerFooter>
  <colBreaks count="1" manualBreakCount="1">
    <brk id="32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W181"/>
  <sheetViews>
    <sheetView zoomScaleNormal="75" zoomScaleSheetLayoutView="25" workbookViewId="0"/>
  </sheetViews>
  <sheetFormatPr defaultRowHeight="13.2"/>
  <cols>
    <col min="1" max="1" width="51.5546875" bestFit="1" customWidth="1"/>
    <col min="2" max="2" width="10" customWidth="1"/>
    <col min="3" max="3" width="15.6640625" bestFit="1" customWidth="1"/>
    <col min="4" max="20" width="9" customWidth="1"/>
    <col min="21" max="29" width="10.44140625" bestFit="1" customWidth="1"/>
  </cols>
  <sheetData>
    <row r="1" spans="1:54" ht="24.6">
      <c r="A1" s="438" t="str">
        <f>'Project Assumptions'!$A$2</f>
        <v>PROJECT DOYLE</v>
      </c>
      <c r="B1" s="111"/>
      <c r="C1" s="111"/>
    </row>
    <row r="2" spans="1:54" ht="17.399999999999999">
      <c r="A2" s="439" t="s">
        <v>236</v>
      </c>
      <c r="B2" s="12"/>
      <c r="C2" s="12"/>
    </row>
    <row r="3" spans="1:54" s="212" customFormat="1" ht="12.6" customHeight="1">
      <c r="A3" s="211"/>
      <c r="B3" s="211"/>
      <c r="C3" s="211"/>
      <c r="D3" s="207"/>
      <c r="E3" s="212">
        <f>'Book Income Statement'!C3</f>
        <v>1</v>
      </c>
      <c r="F3" s="212">
        <f>'Book Income Statement'!D3</f>
        <v>2</v>
      </c>
      <c r="G3" s="212">
        <f>'Book Income Statement'!E3</f>
        <v>3</v>
      </c>
      <c r="H3" s="212">
        <f>'Book Income Statement'!F3</f>
        <v>4</v>
      </c>
      <c r="I3" s="212">
        <f>'Book Income Statement'!G3</f>
        <v>5</v>
      </c>
      <c r="J3" s="212">
        <f>'Book Income Statement'!H3</f>
        <v>6</v>
      </c>
      <c r="K3" s="327">
        <f>'Book Income Statement'!I3</f>
        <v>7</v>
      </c>
      <c r="L3" s="212">
        <f>'Book Income Statement'!J3</f>
        <v>8</v>
      </c>
      <c r="M3" s="212">
        <f>'Book Income Statement'!K3</f>
        <v>9</v>
      </c>
      <c r="N3" s="212">
        <f>'Book Income Statement'!L3</f>
        <v>10</v>
      </c>
      <c r="O3" s="212">
        <f>'Book Income Statement'!M3</f>
        <v>11</v>
      </c>
      <c r="P3" s="212">
        <f>'Book Income Statement'!N3</f>
        <v>12</v>
      </c>
      <c r="Q3" s="327">
        <f>'Book Income Statement'!O3</f>
        <v>13</v>
      </c>
      <c r="R3" s="212">
        <f>'Book Income Statement'!P3</f>
        <v>14</v>
      </c>
      <c r="S3" s="212">
        <f>'Book Income Statement'!Q3</f>
        <v>15</v>
      </c>
      <c r="T3" s="212">
        <f>'Book Income Statement'!R3</f>
        <v>16</v>
      </c>
      <c r="U3" s="207"/>
      <c r="V3" s="207"/>
      <c r="W3" s="207"/>
      <c r="X3" s="207"/>
      <c r="Y3" s="207"/>
      <c r="Z3" s="207"/>
      <c r="AA3" s="207"/>
      <c r="AB3" s="207"/>
      <c r="AC3" s="207"/>
      <c r="AE3" s="328"/>
      <c r="AF3" s="207"/>
    </row>
    <row r="4" spans="1:54" s="212" customFormat="1" ht="12.6" customHeight="1">
      <c r="A4" s="329"/>
      <c r="B4" s="329"/>
      <c r="C4" s="329"/>
      <c r="E4" s="330">
        <f>'Book Income Statement'!C4</f>
        <v>2000</v>
      </c>
      <c r="F4" s="330">
        <f>'Book Income Statement'!D4</f>
        <v>2001</v>
      </c>
      <c r="G4" s="330">
        <f>'Book Income Statement'!E4</f>
        <v>2002</v>
      </c>
      <c r="H4" s="330">
        <f>'Book Income Statement'!F4</f>
        <v>2003</v>
      </c>
      <c r="I4" s="330">
        <f>'Book Income Statement'!G4</f>
        <v>2004</v>
      </c>
      <c r="J4" s="330">
        <f>'Book Income Statement'!H4</f>
        <v>2005</v>
      </c>
      <c r="K4" s="330">
        <f>'Book Income Statement'!I4</f>
        <v>2006</v>
      </c>
      <c r="L4" s="330">
        <f>'Book Income Statement'!J4</f>
        <v>2007</v>
      </c>
      <c r="M4" s="330">
        <f>'Book Income Statement'!K4</f>
        <v>2008</v>
      </c>
      <c r="N4" s="330">
        <f>'Book Income Statement'!L4</f>
        <v>2009</v>
      </c>
      <c r="O4" s="330">
        <f>'Book Income Statement'!M4</f>
        <v>2010</v>
      </c>
      <c r="P4" s="330">
        <f>'Book Income Statement'!N4</f>
        <v>2011</v>
      </c>
      <c r="Q4" s="330">
        <f>'Book Income Statement'!O4</f>
        <v>2012</v>
      </c>
      <c r="R4" s="330">
        <f>'Book Income Statement'!P4</f>
        <v>2013</v>
      </c>
      <c r="S4" s="330">
        <f>'Book Income Statement'!Q4</f>
        <v>2014</v>
      </c>
      <c r="T4" s="330">
        <f>'Book Income Statement'!R4</f>
        <v>2015</v>
      </c>
      <c r="U4" s="207"/>
      <c r="V4" s="207"/>
      <c r="W4" s="207"/>
      <c r="X4" s="207"/>
      <c r="Y4" s="207"/>
      <c r="Z4" s="207"/>
      <c r="AA4" s="207"/>
      <c r="AB4" s="207"/>
      <c r="AC4" s="207"/>
      <c r="AD4" s="330"/>
      <c r="AE4" s="330"/>
      <c r="AF4" s="207"/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U4" s="330"/>
      <c r="AV4" s="330"/>
      <c r="AW4" s="330"/>
      <c r="AX4" s="330"/>
      <c r="AY4" s="330"/>
      <c r="AZ4" s="330"/>
      <c r="BA4" s="330"/>
      <c r="BB4" s="330"/>
    </row>
    <row r="5" spans="1:54" s="109" customFormat="1" ht="15.6">
      <c r="A5" s="196" t="s">
        <v>236</v>
      </c>
      <c r="B5" s="410"/>
      <c r="C5" s="410"/>
      <c r="U5" s="207"/>
      <c r="V5" s="207"/>
      <c r="W5" s="207"/>
      <c r="X5" s="207"/>
      <c r="Y5" s="207"/>
      <c r="Z5" s="207"/>
      <c r="AA5" s="207"/>
      <c r="AB5" s="207"/>
      <c r="AC5" s="207"/>
    </row>
    <row r="6" spans="1:54" s="207" customFormat="1" ht="15" customHeight="1">
      <c r="A6" s="294" t="s">
        <v>26</v>
      </c>
      <c r="B6" s="428" t="s">
        <v>339</v>
      </c>
      <c r="C6" s="343"/>
      <c r="D6" s="343">
        <f>'Project Assumptions'!I16</f>
        <v>36661</v>
      </c>
      <c r="E6" s="343">
        <f>DATE(YEAR(D6),12,31)</f>
        <v>36891</v>
      </c>
      <c r="F6" s="343">
        <f t="shared" ref="F6:AH6" si="0">EDATE(E6,12)</f>
        <v>37256</v>
      </c>
      <c r="G6" s="343">
        <f t="shared" si="0"/>
        <v>37621</v>
      </c>
      <c r="H6" s="343">
        <f t="shared" si="0"/>
        <v>37986</v>
      </c>
      <c r="I6" s="343">
        <f t="shared" si="0"/>
        <v>38352</v>
      </c>
      <c r="J6" s="343">
        <f t="shared" si="0"/>
        <v>38717</v>
      </c>
      <c r="K6" s="343">
        <f t="shared" si="0"/>
        <v>39082</v>
      </c>
      <c r="L6" s="343">
        <f t="shared" si="0"/>
        <v>39447</v>
      </c>
      <c r="M6" s="343">
        <f t="shared" si="0"/>
        <v>39813</v>
      </c>
      <c r="N6" s="343">
        <f t="shared" si="0"/>
        <v>40178</v>
      </c>
      <c r="O6" s="343">
        <f t="shared" si="0"/>
        <v>40543</v>
      </c>
      <c r="P6" s="343">
        <f t="shared" si="0"/>
        <v>40908</v>
      </c>
      <c r="Q6" s="343">
        <f t="shared" si="0"/>
        <v>41274</v>
      </c>
      <c r="R6" s="343">
        <f t="shared" si="0"/>
        <v>41639</v>
      </c>
      <c r="S6" s="343">
        <f t="shared" si="0"/>
        <v>42004</v>
      </c>
      <c r="T6" s="343">
        <f t="shared" si="0"/>
        <v>42369</v>
      </c>
      <c r="U6" s="343">
        <f t="shared" si="0"/>
        <v>42735</v>
      </c>
      <c r="V6" s="343">
        <f t="shared" si="0"/>
        <v>43100</v>
      </c>
      <c r="W6" s="343">
        <f t="shared" si="0"/>
        <v>43465</v>
      </c>
      <c r="X6" s="343">
        <f t="shared" si="0"/>
        <v>43830</v>
      </c>
      <c r="Y6" s="343">
        <f t="shared" si="0"/>
        <v>44196</v>
      </c>
      <c r="Z6" s="343">
        <f t="shared" si="0"/>
        <v>44561</v>
      </c>
      <c r="AA6" s="343">
        <f t="shared" si="0"/>
        <v>44926</v>
      </c>
      <c r="AB6" s="343">
        <f t="shared" si="0"/>
        <v>45291</v>
      </c>
      <c r="AC6" s="343">
        <f t="shared" si="0"/>
        <v>45657</v>
      </c>
      <c r="AD6" s="343">
        <f t="shared" si="0"/>
        <v>46022</v>
      </c>
      <c r="AE6" s="343">
        <f t="shared" si="0"/>
        <v>46387</v>
      </c>
      <c r="AF6" s="343">
        <f t="shared" si="0"/>
        <v>46752</v>
      </c>
      <c r="AG6" s="343">
        <f t="shared" si="0"/>
        <v>47118</v>
      </c>
      <c r="AH6" s="343">
        <f t="shared" si="0"/>
        <v>47483</v>
      </c>
      <c r="AI6" s="343"/>
    </row>
    <row r="7" spans="1:54" s="207" customFormat="1" ht="15" customHeight="1">
      <c r="A7" s="207" t="s">
        <v>260</v>
      </c>
      <c r="B7" s="412">
        <f>XNPV('Enron Pre-Tax Returns'!$B$9,D7:T7,$D$6:$T$6)</f>
        <v>3127.5346635140641</v>
      </c>
      <c r="C7" s="209"/>
      <c r="D7" s="209">
        <v>0</v>
      </c>
      <c r="E7" s="321">
        <f>(('Cash Flow Statement'!D19)*'Project Assumptions'!$N$59)</f>
        <v>209.98375338429241</v>
      </c>
      <c r="F7" s="321">
        <f>(('Cash Flow Statement'!E19)*'Project Assumptions'!$N$59)</f>
        <v>547.10470346213424</v>
      </c>
      <c r="G7" s="321">
        <f>(('Cash Flow Statement'!F19)*'Project Assumptions'!$N$59)</f>
        <v>295.53196660417689</v>
      </c>
      <c r="H7" s="321">
        <f>(('Cash Flow Statement'!G19)*'Project Assumptions'!$N$59)</f>
        <v>293.1321129360731</v>
      </c>
      <c r="I7" s="321">
        <f>(('Cash Flow Statement'!H19)*'Project Assumptions'!$N$59)</f>
        <v>271.21809508027127</v>
      </c>
      <c r="J7" s="321">
        <f>(('Cash Flow Statement'!I19)*'Project Assumptions'!$N$59)</f>
        <v>270.70988167899395</v>
      </c>
      <c r="K7" s="321">
        <f>(('Cash Flow Statement'!J19)*'Project Assumptions'!$N$59)</f>
        <v>269.09491270053786</v>
      </c>
      <c r="L7" s="321">
        <f>(('Cash Flow Statement'!K19)*'Project Assumptions'!$N$59)</f>
        <v>250.96735455104408</v>
      </c>
      <c r="M7" s="321">
        <f>(('Cash Flow Statement'!L19)*'Project Assumptions'!$N$59)</f>
        <v>251.5366631218576</v>
      </c>
      <c r="N7" s="321">
        <f>(('Cash Flow Statement'!M19)*'Project Assumptions'!$N$59)</f>
        <v>251.57686021408244</v>
      </c>
      <c r="O7" s="321">
        <f>(('Cash Flow Statement'!N19)*'Project Assumptions'!$N$59)</f>
        <v>251.66386104815501</v>
      </c>
      <c r="P7" s="321">
        <f>(('Cash Flow Statement'!O19)*'Project Assumptions'!$N$59)</f>
        <v>251.51110294891078</v>
      </c>
      <c r="Q7" s="321">
        <f>(('Cash Flow Statement'!P19)*'Project Assumptions'!$N$59)</f>
        <v>251.69453821268235</v>
      </c>
      <c r="R7" s="321">
        <f>(('Cash Flow Statement'!Q19)*'Project Assumptions'!$N$59)</f>
        <v>251.92764198172245</v>
      </c>
      <c r="S7" s="321">
        <f>(('Cash Flow Statement'!R19)*'Project Assumptions'!$N$59)</f>
        <v>251.92390887614783</v>
      </c>
      <c r="T7" s="321">
        <f>(('Cash Flow Statement'!S19)*'Project Assumptions'!$N$59)</f>
        <v>6144.4881591589601</v>
      </c>
      <c r="U7" s="321">
        <f>(('Cash Flow Statement'!T19)*'Project Assumptions'!$N$59)</f>
        <v>0</v>
      </c>
      <c r="V7" s="321">
        <f>(('Cash Flow Statement'!U19)*'Project Assumptions'!$N$59)</f>
        <v>0</v>
      </c>
      <c r="W7" s="321">
        <f>(('Cash Flow Statement'!V19)*'Project Assumptions'!$N$59)</f>
        <v>0</v>
      </c>
      <c r="X7" s="321">
        <f>(('Cash Flow Statement'!W19)*'Project Assumptions'!$N$59)</f>
        <v>0</v>
      </c>
      <c r="Y7" s="321">
        <f>(('Cash Flow Statement'!X19)*'Project Assumptions'!$N$59)</f>
        <v>0</v>
      </c>
      <c r="Z7" s="321">
        <f>(('Cash Flow Statement'!Y19)*'Project Assumptions'!$N$59)</f>
        <v>0</v>
      </c>
      <c r="AA7" s="321">
        <f>(('Cash Flow Statement'!Z19)*'Project Assumptions'!$N$59)</f>
        <v>0</v>
      </c>
      <c r="AB7" s="321">
        <f>(('Cash Flow Statement'!AA19)*'Project Assumptions'!$N$59)</f>
        <v>0</v>
      </c>
      <c r="AC7" s="321">
        <f>(('Cash Flow Statement'!AB19)*'Project Assumptions'!$N$59)</f>
        <v>0</v>
      </c>
      <c r="AD7" s="321">
        <f>(('Cash Flow Statement'!AC19)*'Project Assumptions'!$N$59)</f>
        <v>0</v>
      </c>
      <c r="AE7" s="321">
        <f>(('Cash Flow Statement'!AD19)*'Project Assumptions'!$N$59)</f>
        <v>0</v>
      </c>
      <c r="AF7" s="321">
        <f>(('Cash Flow Statement'!AE19)*'Project Assumptions'!$N$59)</f>
        <v>0</v>
      </c>
      <c r="AG7" s="321">
        <f>(('Cash Flow Statement'!AF19)*'Project Assumptions'!$N$59)</f>
        <v>0</v>
      </c>
      <c r="AH7" s="321">
        <f>(('Cash Flow Statement'!AG19)*'Project Assumptions'!$N$59)</f>
        <v>0</v>
      </c>
      <c r="AI7" s="321"/>
    </row>
    <row r="8" spans="1:54" s="207" customFormat="1" ht="15" customHeight="1">
      <c r="E8" s="411"/>
      <c r="F8" s="411"/>
      <c r="G8" s="411"/>
      <c r="H8" s="411"/>
      <c r="I8" s="411"/>
      <c r="J8" s="411"/>
      <c r="K8" s="411"/>
      <c r="L8" s="411"/>
      <c r="M8" s="411"/>
      <c r="N8" s="411"/>
      <c r="O8" s="411"/>
      <c r="P8" s="411"/>
      <c r="Q8" s="411"/>
      <c r="R8" s="411"/>
      <c r="S8" s="411"/>
      <c r="T8" s="411"/>
      <c r="AD8" s="109"/>
      <c r="AE8" s="109"/>
    </row>
    <row r="9" spans="1:54" s="207" customFormat="1" ht="15" customHeight="1">
      <c r="A9" s="207" t="s">
        <v>237</v>
      </c>
      <c r="B9" s="493">
        <v>0.12</v>
      </c>
      <c r="C9" s="412"/>
      <c r="D9" s="331"/>
      <c r="E9" s="331"/>
      <c r="F9" s="331"/>
      <c r="G9" s="331"/>
      <c r="H9" s="331"/>
      <c r="I9" s="331"/>
      <c r="J9" s="331"/>
      <c r="K9" s="331"/>
      <c r="L9" s="331"/>
      <c r="M9" s="331"/>
      <c r="N9" s="331"/>
      <c r="O9" s="331"/>
      <c r="P9" s="331"/>
      <c r="Q9" s="331"/>
      <c r="R9" s="331"/>
      <c r="S9" s="331"/>
      <c r="T9" s="331"/>
    </row>
    <row r="10" spans="1:54" s="207" customFormat="1" ht="15" customHeight="1">
      <c r="A10" s="11"/>
      <c r="B10" s="412"/>
      <c r="C10" s="468"/>
      <c r="D10" s="331"/>
      <c r="E10" s="331"/>
      <c r="F10" s="331"/>
      <c r="G10" s="331"/>
      <c r="H10" s="331"/>
      <c r="I10" s="331"/>
      <c r="J10" s="331"/>
      <c r="K10" s="331"/>
      <c r="L10" s="331"/>
      <c r="M10" s="331"/>
      <c r="N10" s="331"/>
      <c r="O10" s="331"/>
      <c r="P10" s="331"/>
      <c r="Q10" s="331"/>
      <c r="R10" s="331"/>
      <c r="S10" s="331"/>
      <c r="T10" s="331"/>
    </row>
    <row r="11" spans="1:54" s="207" customFormat="1" ht="15" customHeight="1">
      <c r="A11" s="207" t="s">
        <v>340</v>
      </c>
      <c r="B11" s="331">
        <f>XNPV('Enron Pre-Tax Returns'!$B$9,D11:S11,$D$6:$S$6)</f>
        <v>1057.5577167361232</v>
      </c>
      <c r="C11" s="469"/>
      <c r="D11" s="331">
        <f>'Book Income Statement'!C33</f>
        <v>65.885416666666671</v>
      </c>
      <c r="E11" s="331">
        <f>'Book Income Statement'!D33</f>
        <v>127.5</v>
      </c>
      <c r="F11" s="331">
        <f>'Book Income Statement'!E33</f>
        <v>130.05000000000001</v>
      </c>
      <c r="G11" s="331">
        <f>'Book Income Statement'!F33</f>
        <v>132.65100000000001</v>
      </c>
      <c r="H11" s="331">
        <f>'Book Income Statement'!G33</f>
        <v>135.30402000000001</v>
      </c>
      <c r="I11" s="331">
        <f>'Book Income Statement'!H33</f>
        <v>138.0101004</v>
      </c>
      <c r="J11" s="331">
        <f>'Book Income Statement'!I33</f>
        <v>140.77030240799999</v>
      </c>
      <c r="K11" s="331">
        <f>'Book Income Statement'!J33</f>
        <v>143.58570845616001</v>
      </c>
      <c r="L11" s="331">
        <f>'Book Income Statement'!K33</f>
        <v>146.45742262528321</v>
      </c>
      <c r="M11" s="331">
        <f>'Book Income Statement'!L33</f>
        <v>149.38657107778889</v>
      </c>
      <c r="N11" s="331">
        <f>'Book Income Statement'!M33</f>
        <v>152.37430249934468</v>
      </c>
      <c r="O11" s="331">
        <f>'Book Income Statement'!N33</f>
        <v>155.42178854933158</v>
      </c>
      <c r="P11" s="331">
        <f>'Book Income Statement'!O33</f>
        <v>158.53022432031821</v>
      </c>
      <c r="Q11" s="331">
        <f>'Book Income Statement'!P33</f>
        <v>161.70082880672459</v>
      </c>
      <c r="R11" s="331">
        <f>'Book Income Statement'!Q33</f>
        <v>164.93484538285909</v>
      </c>
      <c r="S11" s="331">
        <f>'Book Income Statement'!R33</f>
        <v>112.1556948603442</v>
      </c>
      <c r="T11" s="331">
        <f>'Book Income Statement'!S33</f>
        <v>0</v>
      </c>
      <c r="AD11" s="109"/>
      <c r="AE11" s="109"/>
    </row>
    <row r="12" spans="1:54" s="207" customFormat="1" ht="15" customHeight="1">
      <c r="A12" s="207" t="s">
        <v>341</v>
      </c>
      <c r="B12" s="331">
        <f>XNPV('Enron Pre-Tax Returns'!$B$9,D12:S12,$D$6:$S$6)</f>
        <v>1294.4506452850153</v>
      </c>
      <c r="C12" s="469"/>
      <c r="D12" s="331">
        <f>'Book Income Statement'!C34</f>
        <v>80.643749999999997</v>
      </c>
      <c r="E12" s="331">
        <f>'Book Income Statement'!D34</f>
        <v>156.06</v>
      </c>
      <c r="F12" s="331">
        <f>'Book Income Statement'!E34</f>
        <v>159.18120000000002</v>
      </c>
      <c r="G12" s="331">
        <f>'Book Income Statement'!F34</f>
        <v>162.36482400000003</v>
      </c>
      <c r="H12" s="331">
        <f>'Book Income Statement'!G34</f>
        <v>165.61212048000004</v>
      </c>
      <c r="I12" s="331">
        <f>'Book Income Statement'!H34</f>
        <v>168.92436288960005</v>
      </c>
      <c r="J12" s="331">
        <f>'Book Income Statement'!I34</f>
        <v>172.30285014739206</v>
      </c>
      <c r="K12" s="331">
        <f>'Book Income Statement'!J34</f>
        <v>175.7489071503399</v>
      </c>
      <c r="L12" s="331">
        <f>'Book Income Statement'!K34</f>
        <v>179.26388529334673</v>
      </c>
      <c r="M12" s="331">
        <f>'Book Income Statement'!L34</f>
        <v>182.84916299921369</v>
      </c>
      <c r="N12" s="331">
        <f>'Book Income Statement'!M34</f>
        <v>186.50614625919798</v>
      </c>
      <c r="O12" s="331">
        <f>'Book Income Statement'!N34</f>
        <v>190.23626918438194</v>
      </c>
      <c r="P12" s="331">
        <f>'Book Income Statement'!O34</f>
        <v>194.04099456806958</v>
      </c>
      <c r="Q12" s="331">
        <f>'Book Income Statement'!P34</f>
        <v>197.92181445943098</v>
      </c>
      <c r="R12" s="331">
        <f>'Book Income Statement'!Q34</f>
        <v>201.8802507486196</v>
      </c>
      <c r="S12" s="331">
        <f>'Book Income Statement'!R34</f>
        <v>137.27857050906135</v>
      </c>
      <c r="T12" s="331">
        <f>'Book Income Statement'!S34</f>
        <v>0</v>
      </c>
    </row>
    <row r="13" spans="1:54" s="207" customFormat="1" ht="15" customHeight="1">
      <c r="A13" s="207" t="s">
        <v>342</v>
      </c>
      <c r="B13" s="470">
        <f>XNPV('Enron Pre-Tax Returns'!$B$9,D13:S13,$D$6:$S$6)</f>
        <v>0</v>
      </c>
      <c r="C13" s="331"/>
      <c r="D13" s="470">
        <f>'Book Income Statement'!C35</f>
        <v>0</v>
      </c>
      <c r="E13" s="470">
        <f>'Book Income Statement'!D35</f>
        <v>0</v>
      </c>
      <c r="F13" s="470">
        <f>'Book Income Statement'!E35</f>
        <v>0</v>
      </c>
      <c r="G13" s="470">
        <f>'Book Income Statement'!F35</f>
        <v>0</v>
      </c>
      <c r="H13" s="470">
        <f>'Book Income Statement'!G35</f>
        <v>0</v>
      </c>
      <c r="I13" s="470">
        <f>'Book Income Statement'!H35</f>
        <v>0</v>
      </c>
      <c r="J13" s="470">
        <f>'Book Income Statement'!I35</f>
        <v>0</v>
      </c>
      <c r="K13" s="470">
        <f>'Book Income Statement'!J35</f>
        <v>0</v>
      </c>
      <c r="L13" s="470">
        <f>'Book Income Statement'!K35</f>
        <v>0</v>
      </c>
      <c r="M13" s="470">
        <f>'Book Income Statement'!L35</f>
        <v>0</v>
      </c>
      <c r="N13" s="470">
        <f>'Book Income Statement'!M35</f>
        <v>0</v>
      </c>
      <c r="O13" s="470">
        <f>'Book Income Statement'!N35</f>
        <v>0</v>
      </c>
      <c r="P13" s="470">
        <f>'Book Income Statement'!O35</f>
        <v>0</v>
      </c>
      <c r="Q13" s="470">
        <f>'Book Income Statement'!P35</f>
        <v>0</v>
      </c>
      <c r="R13" s="470">
        <f>'Book Income Statement'!Q35</f>
        <v>0</v>
      </c>
      <c r="S13" s="470">
        <f>'Book Income Statement'!R35</f>
        <v>0</v>
      </c>
      <c r="T13" s="470">
        <f>'Book Income Statement'!S35</f>
        <v>0</v>
      </c>
    </row>
    <row r="14" spans="1:54" s="207" customFormat="1" ht="15" customHeight="1">
      <c r="A14" s="207" t="s">
        <v>345</v>
      </c>
      <c r="B14" s="331">
        <f>SUM(B11:B13)</f>
        <v>2352.0083620211385</v>
      </c>
      <c r="C14" s="331"/>
      <c r="D14" s="331">
        <f>SUM(D11:D13)</f>
        <v>146.52916666666667</v>
      </c>
      <c r="E14" s="331">
        <f t="shared" ref="E14:T14" si="1">SUM(E11:E13)</f>
        <v>283.56</v>
      </c>
      <c r="F14" s="331">
        <f t="shared" si="1"/>
        <v>289.23120000000006</v>
      </c>
      <c r="G14" s="331">
        <f t="shared" si="1"/>
        <v>295.01582400000007</v>
      </c>
      <c r="H14" s="331">
        <f t="shared" si="1"/>
        <v>300.91614048000008</v>
      </c>
      <c r="I14" s="331">
        <f t="shared" si="1"/>
        <v>306.93446328960005</v>
      </c>
      <c r="J14" s="331">
        <f t="shared" si="1"/>
        <v>313.07315255539208</v>
      </c>
      <c r="K14" s="331">
        <f t="shared" si="1"/>
        <v>319.33461560649994</v>
      </c>
      <c r="L14" s="331">
        <f t="shared" si="1"/>
        <v>325.72130791862992</v>
      </c>
      <c r="M14" s="331">
        <f t="shared" si="1"/>
        <v>332.23573407700258</v>
      </c>
      <c r="N14" s="331">
        <f t="shared" si="1"/>
        <v>338.88044875854268</v>
      </c>
      <c r="O14" s="331">
        <f t="shared" si="1"/>
        <v>345.65805773371352</v>
      </c>
      <c r="P14" s="331">
        <f t="shared" si="1"/>
        <v>352.57121888838776</v>
      </c>
      <c r="Q14" s="331">
        <f t="shared" si="1"/>
        <v>359.62264326615559</v>
      </c>
      <c r="R14" s="331">
        <f t="shared" si="1"/>
        <v>366.8150961314787</v>
      </c>
      <c r="S14" s="331">
        <f t="shared" si="1"/>
        <v>249.43426536940555</v>
      </c>
      <c r="T14" s="331">
        <f t="shared" si="1"/>
        <v>0</v>
      </c>
    </row>
    <row r="15" spans="1:54" ht="15" customHeight="1"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2"/>
      <c r="N15" s="412"/>
      <c r="O15" s="412"/>
      <c r="P15" s="412"/>
      <c r="Q15" s="412"/>
      <c r="R15" s="412"/>
      <c r="S15" s="412"/>
      <c r="T15" s="412"/>
    </row>
    <row r="16" spans="1:54" ht="15" customHeight="1">
      <c r="B16" s="412"/>
      <c r="C16" s="412"/>
      <c r="D16" s="412"/>
      <c r="E16" s="412"/>
      <c r="F16" s="412"/>
      <c r="G16" s="412"/>
      <c r="H16" s="412"/>
      <c r="I16" s="412"/>
      <c r="J16" s="412"/>
      <c r="K16" s="412"/>
      <c r="L16" s="412"/>
      <c r="M16" s="412"/>
      <c r="N16" s="412"/>
      <c r="O16" s="412"/>
      <c r="P16" s="412"/>
      <c r="Q16" s="412"/>
      <c r="R16" s="412"/>
      <c r="S16" s="412"/>
      <c r="T16" s="412"/>
    </row>
    <row r="17" spans="1:34" ht="15" customHeight="1">
      <c r="A17" s="196" t="s">
        <v>252</v>
      </c>
      <c r="B17" s="314"/>
      <c r="C17" s="314"/>
    </row>
    <row r="18" spans="1:34" s="207" customFormat="1" ht="15" customHeight="1">
      <c r="A18" s="207" t="s">
        <v>253</v>
      </c>
      <c r="B18" s="209"/>
      <c r="C18" s="209"/>
      <c r="D18" s="209">
        <f>-'Project Assumptions'!$C$9</f>
        <v>-3313.3769250269975</v>
      </c>
      <c r="E18" s="321">
        <f>('Cash Flow Statement'!D19*'Project Assumptions'!$N$60)</f>
        <v>209.98375338429241</v>
      </c>
      <c r="F18" s="321">
        <f>('Cash Flow Statement'!E19*'Project Assumptions'!$N$60)</f>
        <v>547.10470346213424</v>
      </c>
      <c r="G18" s="321">
        <f>('Cash Flow Statement'!F19*'Project Assumptions'!$N$60)</f>
        <v>295.53196660417689</v>
      </c>
      <c r="H18" s="321">
        <f>('Cash Flow Statement'!G19*'Project Assumptions'!$N$60)</f>
        <v>293.1321129360731</v>
      </c>
      <c r="I18" s="321">
        <f>('Cash Flow Statement'!H19*'Project Assumptions'!$N$60)</f>
        <v>271.21809508027127</v>
      </c>
      <c r="J18" s="321">
        <f>('Cash Flow Statement'!I19*'Project Assumptions'!$N$60)</f>
        <v>270.70988167899395</v>
      </c>
      <c r="K18" s="321">
        <f>('Cash Flow Statement'!J19*'Project Assumptions'!$N$60)</f>
        <v>269.09491270053786</v>
      </c>
      <c r="L18" s="321">
        <f>('Cash Flow Statement'!K19*'Project Assumptions'!$N$60)</f>
        <v>250.96735455104408</v>
      </c>
      <c r="M18" s="321">
        <f>('Cash Flow Statement'!L19*'Project Assumptions'!$N$60)</f>
        <v>251.5366631218576</v>
      </c>
      <c r="N18" s="321">
        <f>('Cash Flow Statement'!M19*'Project Assumptions'!$N$60)</f>
        <v>251.57686021408244</v>
      </c>
      <c r="O18" s="321">
        <f>('Cash Flow Statement'!N19*'Project Assumptions'!$N$60)</f>
        <v>251.66386104815501</v>
      </c>
      <c r="P18" s="321">
        <f>('Cash Flow Statement'!O19*'Project Assumptions'!$N$60)</f>
        <v>251.51110294891078</v>
      </c>
      <c r="Q18" s="321">
        <f>('Cash Flow Statement'!P19*'Project Assumptions'!$N$60)</f>
        <v>251.69453821268235</v>
      </c>
      <c r="R18" s="321">
        <f>('Cash Flow Statement'!Q19*'Project Assumptions'!$N$60)</f>
        <v>251.92764198172245</v>
      </c>
      <c r="S18" s="321">
        <f>('Cash Flow Statement'!R19*'Project Assumptions'!$N$60)</f>
        <v>251.92390887614783</v>
      </c>
      <c r="T18" s="321">
        <f>('Cash Flow Statement'!S19*'Project Assumptions'!$N$60)</f>
        <v>6144.4881591589601</v>
      </c>
      <c r="U18" s="321"/>
      <c r="V18" s="321"/>
      <c r="W18" s="321"/>
      <c r="X18" s="321"/>
      <c r="Y18" s="321"/>
      <c r="Z18" s="321"/>
      <c r="AA18" s="321"/>
      <c r="AB18" s="321"/>
      <c r="AC18" s="321"/>
      <c r="AD18" s="321"/>
      <c r="AE18" s="321"/>
      <c r="AF18" s="321"/>
      <c r="AG18" s="321"/>
      <c r="AH18" s="321"/>
    </row>
    <row r="19" spans="1:34" ht="15" customHeight="1">
      <c r="A19" t="s">
        <v>204</v>
      </c>
      <c r="B19" s="262"/>
      <c r="C19" s="262"/>
      <c r="D19" s="321">
        <v>0</v>
      </c>
      <c r="E19" s="321">
        <f>+'Debt Amortization'!D45</f>
        <v>0</v>
      </c>
      <c r="F19" s="321">
        <f>+'Debt Amortization'!E45</f>
        <v>238.02434825656815</v>
      </c>
      <c r="G19" s="321">
        <f>+'Debt Amortization'!F45</f>
        <v>460.88931714650334</v>
      </c>
      <c r="H19" s="321">
        <f>+'Debt Amortization'!G45</f>
        <v>439.65354321088734</v>
      </c>
      <c r="I19" s="321">
        <f>+'Debt Amortization'!H45</f>
        <v>417.12451064259244</v>
      </c>
      <c r="J19" s="321">
        <f>+'Debt Amortization'!I45</f>
        <v>393.22345999088827</v>
      </c>
      <c r="K19" s="321">
        <f>+'Debt Amortization'!J45</f>
        <v>367.86683535449538</v>
      </c>
      <c r="L19" s="321">
        <f>+'Debt Amortization'!K45</f>
        <v>340.96599227774618</v>
      </c>
      <c r="M19" s="321">
        <f>+'Debt Amortization'!L45</f>
        <v>312.42688785762289</v>
      </c>
      <c r="N19" s="321">
        <f>+'Debt Amortization'!M45</f>
        <v>282.1497519783141</v>
      </c>
      <c r="O19" s="321">
        <f>+'Debt Amortization'!N45</f>
        <v>250.02873852395544</v>
      </c>
      <c r="P19" s="321">
        <f>+'Debt Amortization'!O45</f>
        <v>215.95155535022636</v>
      </c>
      <c r="Q19" s="321">
        <f>+'Debt Amortization'!P45</f>
        <v>179.79907172121722</v>
      </c>
      <c r="R19" s="321">
        <f>+'Debt Amortization'!Q45</f>
        <v>141.44490183920124</v>
      </c>
      <c r="S19" s="321">
        <f>+'Debt Amortization'!R45</f>
        <v>100.75496301137055</v>
      </c>
      <c r="T19" s="321">
        <f>+'Debt Amortization'!S45</f>
        <v>159.59744187602564</v>
      </c>
      <c r="U19" s="321">
        <f>+'Debt Amortization'!T45</f>
        <v>197.52399306278713</v>
      </c>
      <c r="V19" s="321">
        <f>+'Debt Amortization'!U45</f>
        <v>188.42294709038026</v>
      </c>
      <c r="W19" s="321">
        <f>+'Debt Amortization'!V45</f>
        <v>178.76764741825389</v>
      </c>
      <c r="X19" s="321">
        <f>+'Debt Amortization'!W45</f>
        <v>168.52433999609497</v>
      </c>
      <c r="Y19" s="321">
        <f>+'Debt Amortization'!X45</f>
        <v>157.65721515192658</v>
      </c>
      <c r="Z19" s="321">
        <f>+'Debt Amortization'!Y45</f>
        <v>146.12828240474835</v>
      </c>
      <c r="AA19" s="321">
        <f>+'Debt Amortization'!Z45</f>
        <v>133.89723765326696</v>
      </c>
      <c r="AB19" s="321">
        <f>+'Debt Amortization'!AA45</f>
        <v>120.92132227642031</v>
      </c>
      <c r="AC19" s="321">
        <f>+'Debt Amortization'!AB45</f>
        <v>107.15517365312375</v>
      </c>
      <c r="AD19" s="321">
        <f>+'Debt Amortization'!AC45</f>
        <v>92.550666578668427</v>
      </c>
      <c r="AE19" s="321">
        <f>+'Debt Amortization'!AD45</f>
        <v>77.056745023378795</v>
      </c>
      <c r="AF19" s="321">
        <f>+'Debt Amortization'!AE45</f>
        <v>60.619243645371945</v>
      </c>
      <c r="AG19" s="321">
        <f>+'Debt Amortization'!AF45</f>
        <v>43.180698433444519</v>
      </c>
      <c r="AH19" s="321">
        <f>+'Debt Amortization'!AG45</f>
        <v>24.680145818110731</v>
      </c>
    </row>
    <row r="20" spans="1:34" ht="15" customHeight="1">
      <c r="A20" t="s">
        <v>401</v>
      </c>
      <c r="B20" s="262"/>
      <c r="C20" s="262"/>
      <c r="D20" s="321">
        <f>'Cash Flow Statement'!D17</f>
        <v>0</v>
      </c>
      <c r="E20" s="321">
        <f>'Cash Flow Statement'!E17</f>
        <v>0</v>
      </c>
      <c r="F20" s="321">
        <f>'Cash Flow Statement'!F17</f>
        <v>0</v>
      </c>
      <c r="G20" s="321">
        <f>'Cash Flow Statement'!G17</f>
        <v>0</v>
      </c>
      <c r="H20" s="321">
        <f>'Cash Flow Statement'!H17</f>
        <v>0</v>
      </c>
      <c r="I20" s="321">
        <f>'Cash Flow Statement'!I17</f>
        <v>0</v>
      </c>
      <c r="J20" s="321">
        <f>'Cash Flow Statement'!J17</f>
        <v>0</v>
      </c>
      <c r="K20" s="321">
        <f>'Cash Flow Statement'!K17</f>
        <v>0</v>
      </c>
      <c r="L20" s="321">
        <f>'Cash Flow Statement'!L17</f>
        <v>0</v>
      </c>
      <c r="M20" s="321">
        <f>'Cash Flow Statement'!M17</f>
        <v>0</v>
      </c>
      <c r="N20" s="321">
        <f>'Cash Flow Statement'!N17</f>
        <v>0</v>
      </c>
      <c r="O20" s="321">
        <f>'Cash Flow Statement'!O17</f>
        <v>0</v>
      </c>
      <c r="P20" s="321">
        <f>'Cash Flow Statement'!P17</f>
        <v>0</v>
      </c>
      <c r="Q20" s="321">
        <f>'Cash Flow Statement'!Q17</f>
        <v>0</v>
      </c>
      <c r="R20" s="321">
        <f>'Cash Flow Statement'!R17</f>
        <v>0</v>
      </c>
      <c r="S20" s="321">
        <f>'Cash Flow Statement'!S17</f>
        <v>0</v>
      </c>
      <c r="T20" s="321">
        <f>'Cash Flow Statement'!T17</f>
        <v>0</v>
      </c>
      <c r="U20" s="321"/>
      <c r="V20" s="321"/>
      <c r="W20" s="321"/>
      <c r="X20" s="321"/>
      <c r="Y20" s="321"/>
      <c r="Z20" s="321"/>
      <c r="AA20" s="321"/>
      <c r="AB20" s="321"/>
      <c r="AC20" s="321"/>
      <c r="AD20" s="321"/>
      <c r="AE20" s="321"/>
      <c r="AF20" s="321"/>
      <c r="AG20" s="321"/>
      <c r="AH20" s="321"/>
    </row>
    <row r="21" spans="1:34" ht="15" customHeight="1">
      <c r="B21" s="262"/>
      <c r="C21" s="262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21"/>
      <c r="Z21" s="321"/>
      <c r="AA21" s="321"/>
      <c r="AB21" s="321"/>
      <c r="AC21" s="321"/>
      <c r="AD21" s="321"/>
      <c r="AE21" s="321"/>
      <c r="AF21" s="321"/>
      <c r="AG21" s="321"/>
      <c r="AH21" s="321"/>
    </row>
    <row r="22" spans="1:34" ht="15" customHeight="1">
      <c r="A22" s="11" t="s">
        <v>254</v>
      </c>
      <c r="B22" s="412">
        <f>XNPV('Project Assumptions'!$I$43,D18:T18,D6:T6)</f>
        <v>1993.6758840189718</v>
      </c>
      <c r="C22" s="412"/>
    </row>
    <row r="23" spans="1:34" s="140" customFormat="1" ht="15" customHeight="1">
      <c r="A23" s="11" t="s">
        <v>255</v>
      </c>
      <c r="B23" s="412">
        <f>XNPV('Project Assumptions'!$I$43,D19:AH19,D6:AH6)</f>
        <v>3387.4217844660348</v>
      </c>
      <c r="C23" s="424"/>
      <c r="D23" s="143" t="s">
        <v>284</v>
      </c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/>
      <c r="V23"/>
      <c r="W23"/>
      <c r="X23"/>
      <c r="Y23"/>
      <c r="Z23"/>
      <c r="AA23"/>
      <c r="AB23"/>
      <c r="AC23"/>
    </row>
    <row r="24" spans="1:34" ht="15" customHeight="1">
      <c r="A24" s="11" t="s">
        <v>402</v>
      </c>
      <c r="B24" s="424">
        <f>XNPV('Project Assumptions'!$I$43,D20:T20,D6:T6)</f>
        <v>0</v>
      </c>
      <c r="C24" s="412"/>
    </row>
    <row r="25" spans="1:34" ht="12.6" customHeight="1">
      <c r="A25" s="11" t="s">
        <v>256</v>
      </c>
      <c r="B25" s="412">
        <f>SUM(B22:B24)</f>
        <v>5381.0976684850066</v>
      </c>
    </row>
    <row r="26" spans="1:34" ht="12.6" customHeight="1"/>
    <row r="27" spans="1:34" ht="12.6" customHeight="1">
      <c r="C27" s="15"/>
    </row>
    <row r="28" spans="1:34" ht="12.6" customHeight="1">
      <c r="A28" s="15"/>
      <c r="B28" s="15"/>
    </row>
    <row r="29" spans="1:34" ht="12.6" customHeight="1"/>
    <row r="30" spans="1:34" ht="12.6" customHeight="1">
      <c r="C30" s="157"/>
    </row>
    <row r="31" spans="1:34" ht="12.6" customHeight="1">
      <c r="A31" s="157"/>
      <c r="B31" s="157"/>
    </row>
    <row r="32" spans="1:34" ht="12.6" customHeight="1"/>
    <row r="33" ht="12.6" customHeight="1"/>
    <row r="34" ht="12.6" customHeight="1"/>
    <row r="35" ht="12.6" customHeight="1"/>
    <row r="36" ht="12.6" customHeight="1"/>
    <row r="37" ht="12.6" customHeight="1"/>
    <row r="38" ht="12.6" customHeight="1"/>
    <row r="39" ht="12.6" customHeight="1"/>
    <row r="44" ht="12.6" customHeight="1"/>
    <row r="45" ht="12.6" customHeight="1"/>
    <row r="46" ht="12.6" customHeight="1"/>
    <row r="47" ht="12.6" customHeight="1"/>
    <row r="48" ht="12.6" customHeight="1"/>
    <row r="49" ht="12.6" customHeight="1"/>
    <row r="50" ht="12.6" customHeight="1"/>
    <row r="51" ht="12.6" customHeight="1"/>
    <row r="89" spans="1:29" s="140" customFormat="1" ht="12.6" customHeight="1">
      <c r="A89"/>
      <c r="B89"/>
      <c r="C89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/>
      <c r="V89"/>
      <c r="W89"/>
      <c r="X89"/>
      <c r="Y89"/>
      <c r="Z89"/>
      <c r="AA89"/>
      <c r="AB89"/>
      <c r="AC89"/>
    </row>
    <row r="90" spans="1:29" s="140" customFormat="1" ht="12.6" customHeight="1">
      <c r="A90"/>
      <c r="B90"/>
      <c r="C90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/>
      <c r="V90"/>
      <c r="W90"/>
      <c r="X90"/>
      <c r="Y90"/>
      <c r="Z90"/>
      <c r="AA90"/>
      <c r="AB90"/>
      <c r="AC90"/>
    </row>
    <row r="91" spans="1:29" s="140" customFormat="1" ht="12.6" customHeight="1">
      <c r="A91"/>
      <c r="B91"/>
      <c r="C91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/>
      <c r="V91"/>
      <c r="W91"/>
      <c r="X91"/>
      <c r="Y91"/>
      <c r="Z91"/>
      <c r="AA91"/>
      <c r="AB91"/>
      <c r="AC91"/>
    </row>
    <row r="92" spans="1:29" s="140" customFormat="1" ht="12.6" customHeight="1">
      <c r="A92"/>
      <c r="B92"/>
      <c r="C92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/>
      <c r="V92"/>
      <c r="W92"/>
      <c r="X92"/>
      <c r="Y92"/>
      <c r="Z92"/>
      <c r="AA92"/>
      <c r="AB92"/>
      <c r="AC92"/>
    </row>
    <row r="93" spans="1:29"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</row>
    <row r="95" spans="1:29"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89"/>
      <c r="S95" s="189"/>
      <c r="T95" s="189"/>
    </row>
    <row r="96" spans="1:29">
      <c r="C96" s="140"/>
    </row>
    <row r="97" spans="1:3">
      <c r="A97" s="140"/>
      <c r="B97" s="140"/>
      <c r="C97" s="140"/>
    </row>
    <row r="98" spans="1:3" ht="12.6" customHeight="1">
      <c r="A98" s="140"/>
      <c r="B98" s="140"/>
      <c r="C98" s="140"/>
    </row>
    <row r="99" spans="1:3" ht="12.6" customHeight="1">
      <c r="A99" s="140"/>
      <c r="B99" s="140"/>
      <c r="C99" s="140"/>
    </row>
    <row r="100" spans="1:3">
      <c r="A100" s="140"/>
      <c r="B100" s="140"/>
    </row>
    <row r="133" spans="1:231" s="140" customFormat="1" ht="12.6" customHeight="1">
      <c r="A133"/>
      <c r="B133"/>
      <c r="C133"/>
      <c r="E133" s="160"/>
      <c r="F133" s="160"/>
      <c r="G133" s="160"/>
      <c r="H133" s="160"/>
      <c r="I133" s="160"/>
      <c r="J133" s="160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/>
      <c r="V133"/>
      <c r="W133"/>
      <c r="X133"/>
      <c r="Y133"/>
      <c r="Z133"/>
      <c r="AA133"/>
      <c r="AB133"/>
      <c r="AC133"/>
    </row>
    <row r="134" spans="1:231" s="140" customFormat="1" ht="12.6" customHeight="1">
      <c r="A134"/>
      <c r="B134"/>
      <c r="C134"/>
      <c r="U134"/>
      <c r="V134"/>
      <c r="W134"/>
      <c r="X134"/>
      <c r="Y134"/>
      <c r="Z134"/>
      <c r="AA134"/>
      <c r="AB134"/>
      <c r="AC134"/>
    </row>
    <row r="135" spans="1:231" s="140" customFormat="1" ht="12.6" customHeight="1">
      <c r="A135"/>
      <c r="B135"/>
      <c r="C135"/>
      <c r="U135"/>
      <c r="V135"/>
      <c r="W135"/>
      <c r="X135"/>
      <c r="Y135"/>
      <c r="Z135"/>
      <c r="AA135"/>
      <c r="AB135"/>
      <c r="AC135"/>
    </row>
    <row r="136" spans="1:231" s="143" customFormat="1">
      <c r="A136"/>
      <c r="B136"/>
      <c r="C136"/>
      <c r="U136"/>
      <c r="V136"/>
      <c r="W136"/>
      <c r="X136"/>
      <c r="Y136"/>
      <c r="Z136"/>
      <c r="AA136"/>
      <c r="AB136"/>
      <c r="AC136"/>
    </row>
    <row r="137" spans="1:231" s="140" customFormat="1" ht="12.6" customHeight="1">
      <c r="A137"/>
      <c r="B137"/>
      <c r="C137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/>
      <c r="V137"/>
      <c r="W137"/>
      <c r="X137"/>
      <c r="Y137"/>
      <c r="Z137"/>
      <c r="AA137"/>
      <c r="AB137"/>
      <c r="AC137"/>
    </row>
    <row r="138" spans="1:231" s="140" customFormat="1" ht="12.6" customHeight="1">
      <c r="A138"/>
      <c r="B138"/>
      <c r="C13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/>
      <c r="V138"/>
      <c r="W138"/>
      <c r="X138"/>
      <c r="Y138"/>
      <c r="Z138"/>
      <c r="AA138"/>
      <c r="AB138"/>
      <c r="AC138"/>
    </row>
    <row r="139" spans="1:231" s="140" customFormat="1" ht="12.6" customHeight="1">
      <c r="A139"/>
      <c r="B139"/>
      <c r="C139"/>
      <c r="U139"/>
      <c r="V139"/>
      <c r="W139"/>
      <c r="X139"/>
      <c r="Y139"/>
      <c r="Z139"/>
      <c r="AA139"/>
      <c r="AB139"/>
      <c r="AC139"/>
    </row>
    <row r="140" spans="1:231" s="140" customFormat="1" ht="12.6" customHeight="1">
      <c r="A140"/>
      <c r="B140"/>
      <c r="U140"/>
      <c r="V140"/>
      <c r="W140"/>
      <c r="X140"/>
      <c r="Y140"/>
      <c r="Z140"/>
      <c r="AA140"/>
      <c r="AB140"/>
      <c r="AC140"/>
    </row>
    <row r="141" spans="1:231" s="140" customFormat="1" ht="12.6" customHeight="1">
      <c r="U141"/>
      <c r="V141"/>
      <c r="W141"/>
      <c r="X141"/>
      <c r="Y141"/>
      <c r="Z141"/>
      <c r="AA141"/>
      <c r="AB141"/>
      <c r="AC141"/>
    </row>
    <row r="142" spans="1:231" s="5" customFormat="1" ht="12.6" customHeight="1">
      <c r="A142" s="140"/>
      <c r="B142" s="140"/>
      <c r="C142" s="140"/>
      <c r="E142" s="8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/>
      <c r="V142"/>
      <c r="W142"/>
      <c r="X142"/>
      <c r="Y142"/>
      <c r="Z142"/>
      <c r="AA142"/>
      <c r="AB142"/>
      <c r="AC142"/>
      <c r="AD142" s="124"/>
    </row>
    <row r="143" spans="1:231" s="5" customFormat="1" ht="12.6" customHeight="1">
      <c r="A143" s="140"/>
      <c r="B143" s="140"/>
      <c r="C143" s="172"/>
      <c r="D143" s="4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/>
      <c r="V143"/>
      <c r="W143"/>
      <c r="X143"/>
      <c r="Y143"/>
      <c r="Z143"/>
      <c r="AA143"/>
      <c r="AB143"/>
      <c r="AC143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</row>
    <row r="144" spans="1:231" s="8" customFormat="1" ht="12.6" customHeight="1">
      <c r="A144" s="172"/>
      <c r="B144" s="172"/>
      <c r="C144" s="140"/>
      <c r="D144" s="4"/>
      <c r="E144" s="170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  <c r="S144" s="170"/>
      <c r="T144" s="170"/>
      <c r="U144"/>
      <c r="V144"/>
      <c r="W144"/>
      <c r="X144"/>
      <c r="Y144"/>
      <c r="Z144"/>
      <c r="AA144"/>
      <c r="AB144"/>
      <c r="AC144"/>
    </row>
    <row r="145" spans="1:29" s="140" customFormat="1" ht="12.6" customHeight="1">
      <c r="E145" s="160"/>
      <c r="F145" s="160"/>
      <c r="G145" s="160"/>
      <c r="H145" s="160"/>
      <c r="I145" s="160"/>
      <c r="J145" s="160"/>
      <c r="K145" s="160"/>
      <c r="L145" s="160"/>
      <c r="M145" s="160"/>
      <c r="N145" s="160"/>
      <c r="O145" s="160"/>
      <c r="P145" s="160"/>
      <c r="Q145" s="160"/>
      <c r="R145" s="160"/>
      <c r="S145" s="160"/>
      <c r="T145" s="160"/>
      <c r="U145"/>
      <c r="V145"/>
      <c r="W145"/>
      <c r="X145"/>
      <c r="Y145"/>
      <c r="Z145"/>
      <c r="AA145"/>
      <c r="AB145"/>
      <c r="AC145"/>
    </row>
    <row r="146" spans="1:29" s="140" customFormat="1" ht="12.6" customHeight="1"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159"/>
      <c r="P146" s="159"/>
      <c r="Q146" s="159"/>
      <c r="R146" s="159"/>
      <c r="S146" s="159"/>
      <c r="T146" s="159"/>
      <c r="U146"/>
      <c r="V146"/>
      <c r="W146"/>
      <c r="X146"/>
      <c r="Y146"/>
      <c r="Z146"/>
      <c r="AA146"/>
      <c r="AB146"/>
      <c r="AC146"/>
    </row>
    <row r="147" spans="1:29" s="8" customFormat="1" ht="12.6" customHeight="1">
      <c r="A147" s="140"/>
      <c r="B147" s="140"/>
      <c r="C147" s="140"/>
      <c r="E147" s="170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/>
      <c r="V147"/>
      <c r="W147"/>
      <c r="X147"/>
      <c r="Y147"/>
      <c r="Z147"/>
      <c r="AA147"/>
      <c r="AB147"/>
      <c r="AC147"/>
    </row>
    <row r="148" spans="1:29" s="143" customFormat="1">
      <c r="A148" s="140"/>
      <c r="B148" s="140"/>
      <c r="C148" s="140"/>
      <c r="U148"/>
      <c r="V148"/>
      <c r="W148"/>
      <c r="X148"/>
      <c r="Y148"/>
      <c r="Z148"/>
      <c r="AA148"/>
      <c r="AB148"/>
      <c r="AC148"/>
    </row>
    <row r="149" spans="1:29" s="140" customFormat="1" ht="12.6" customHeight="1">
      <c r="C149" s="13"/>
      <c r="E149" s="160"/>
      <c r="F149" s="160"/>
      <c r="G149" s="160"/>
      <c r="H149" s="160"/>
      <c r="I149" s="160"/>
      <c r="J149" s="160"/>
      <c r="K149" s="160"/>
      <c r="L149" s="160"/>
      <c r="M149" s="160"/>
      <c r="N149" s="160"/>
      <c r="O149" s="160"/>
      <c r="P149" s="160"/>
      <c r="Q149" s="160"/>
      <c r="R149" s="160"/>
      <c r="S149" s="160"/>
      <c r="T149" s="160"/>
      <c r="U149"/>
      <c r="V149"/>
      <c r="W149"/>
      <c r="X149"/>
      <c r="Y149"/>
      <c r="Z149"/>
      <c r="AA149"/>
      <c r="AB149"/>
      <c r="AC149"/>
    </row>
    <row r="150" spans="1:29" s="140" customFormat="1" ht="12.6" customHeight="1">
      <c r="A150" s="13"/>
      <c r="B150" s="13"/>
      <c r="C150" s="2"/>
      <c r="E150" s="160"/>
      <c r="F150" s="160"/>
      <c r="G150" s="160"/>
      <c r="H150" s="160"/>
      <c r="I150" s="160"/>
      <c r="J150" s="160"/>
      <c r="K150" s="160"/>
      <c r="L150" s="160"/>
      <c r="M150" s="160"/>
      <c r="N150" s="160"/>
      <c r="O150" s="160"/>
      <c r="P150" s="160"/>
      <c r="Q150" s="160"/>
      <c r="R150" s="160"/>
      <c r="S150" s="160"/>
      <c r="T150" s="160"/>
      <c r="U150"/>
      <c r="V150"/>
      <c r="W150"/>
      <c r="X150"/>
      <c r="Y150"/>
      <c r="Z150"/>
      <c r="AA150"/>
      <c r="AB150"/>
      <c r="AC150"/>
    </row>
    <row r="151" spans="1:29" s="140" customFormat="1" ht="12.6" customHeight="1">
      <c r="A151" s="2"/>
      <c r="B151" s="2"/>
      <c r="C151" s="2"/>
      <c r="E151" s="160"/>
      <c r="F151" s="160"/>
      <c r="G151" s="160"/>
      <c r="H151" s="160"/>
      <c r="I151" s="160"/>
      <c r="J151" s="160"/>
      <c r="K151" s="160"/>
      <c r="L151" s="160"/>
      <c r="M151" s="160"/>
      <c r="N151" s="160"/>
      <c r="O151" s="160"/>
      <c r="P151" s="160"/>
      <c r="Q151" s="160"/>
      <c r="R151" s="160"/>
      <c r="S151" s="160"/>
      <c r="T151" s="160"/>
      <c r="U151"/>
      <c r="V151"/>
      <c r="W151"/>
      <c r="X151"/>
      <c r="Y151"/>
      <c r="Z151"/>
      <c r="AA151"/>
      <c r="AB151"/>
      <c r="AC151"/>
    </row>
    <row r="152" spans="1:29" s="143" customFormat="1">
      <c r="A152" s="2"/>
      <c r="B152" s="2"/>
      <c r="C152" s="140"/>
      <c r="U152"/>
      <c r="V152"/>
      <c r="W152"/>
      <c r="X152"/>
      <c r="Y152"/>
      <c r="Z152"/>
      <c r="AA152"/>
      <c r="AB152"/>
      <c r="AC152"/>
    </row>
    <row r="153" spans="1:29" s="8" customFormat="1" ht="12.6" customHeight="1">
      <c r="A153" s="140"/>
      <c r="B153" s="140"/>
      <c r="C153" s="14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/>
      <c r="V153"/>
      <c r="W153"/>
      <c r="X153"/>
      <c r="Y153"/>
      <c r="Z153"/>
      <c r="AA153"/>
      <c r="AB153"/>
      <c r="AC153"/>
    </row>
    <row r="154" spans="1:29" s="8" customFormat="1" ht="12.6" customHeight="1">
      <c r="A154" s="140"/>
      <c r="B154" s="140"/>
      <c r="C154" s="13"/>
      <c r="E154" s="170"/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170"/>
      <c r="U154"/>
      <c r="V154"/>
      <c r="W154"/>
      <c r="X154"/>
      <c r="Y154"/>
      <c r="Z154"/>
      <c r="AA154"/>
      <c r="AB154"/>
      <c r="AC154"/>
    </row>
    <row r="155" spans="1:29" s="8" customFormat="1" ht="12.6" customHeight="1">
      <c r="A155" s="13"/>
      <c r="B155" s="13"/>
      <c r="C155" s="172"/>
      <c r="E155" s="170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/>
      <c r="V155"/>
      <c r="W155"/>
      <c r="X155"/>
      <c r="Y155"/>
      <c r="Z155"/>
      <c r="AA155"/>
      <c r="AB155"/>
      <c r="AC155"/>
    </row>
    <row r="156" spans="1:29" s="8" customFormat="1" ht="12.6" customHeight="1">
      <c r="A156" s="172"/>
      <c r="B156" s="172"/>
      <c r="C156" s="140"/>
      <c r="E156" s="170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/>
      <c r="U156"/>
      <c r="V156"/>
      <c r="W156"/>
      <c r="X156"/>
      <c r="Y156"/>
      <c r="Z156"/>
      <c r="AA156"/>
      <c r="AB156"/>
      <c r="AC156"/>
    </row>
    <row r="157" spans="1:29" s="8" customFormat="1" ht="12.6" customHeight="1">
      <c r="A157" s="140"/>
      <c r="B157" s="140"/>
      <c r="C157" s="140"/>
      <c r="E157" s="170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/>
      <c r="V157"/>
      <c r="W157"/>
      <c r="X157"/>
      <c r="Y157"/>
      <c r="Z157"/>
      <c r="AA157"/>
      <c r="AB157"/>
      <c r="AC157"/>
    </row>
    <row r="158" spans="1:29" s="8" customFormat="1" ht="12.6" customHeight="1">
      <c r="A158" s="140"/>
      <c r="B158" s="140"/>
      <c r="C158" s="140"/>
      <c r="E158" s="170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/>
      <c r="V158"/>
      <c r="W158"/>
      <c r="X158"/>
      <c r="Y158"/>
      <c r="Z158"/>
      <c r="AA158"/>
      <c r="AB158"/>
      <c r="AC158"/>
    </row>
    <row r="159" spans="1:29" s="8" customFormat="1" ht="12.6" customHeight="1">
      <c r="A159" s="140"/>
      <c r="B159" s="140"/>
      <c r="C159" s="172"/>
      <c r="E159" s="170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/>
      <c r="V159"/>
      <c r="W159"/>
      <c r="X159"/>
      <c r="Y159"/>
      <c r="Z159"/>
      <c r="AA159"/>
      <c r="AB159"/>
      <c r="AC159"/>
    </row>
    <row r="160" spans="1:29" s="8" customFormat="1" ht="12.6" customHeight="1">
      <c r="A160" s="172"/>
      <c r="B160" s="172"/>
      <c r="C160" s="13"/>
      <c r="E160" s="170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/>
      <c r="V160"/>
      <c r="W160"/>
      <c r="X160"/>
      <c r="Y160"/>
      <c r="Z160"/>
      <c r="AA160"/>
      <c r="AB160"/>
      <c r="AC160"/>
    </row>
    <row r="161" spans="1:230">
      <c r="A161" s="13"/>
      <c r="B161" s="13"/>
      <c r="C161" s="13"/>
    </row>
    <row r="162" spans="1:230">
      <c r="A162" s="13"/>
      <c r="B162" s="13"/>
      <c r="C162" s="13"/>
    </row>
    <row r="163" spans="1:230">
      <c r="A163" s="13"/>
      <c r="B163" s="13"/>
      <c r="C163" s="13"/>
    </row>
    <row r="164" spans="1:230">
      <c r="A164" s="13"/>
      <c r="B164" s="13"/>
      <c r="C164" s="13"/>
    </row>
    <row r="165" spans="1:230">
      <c r="A165" s="13"/>
      <c r="B165" s="13"/>
      <c r="C165" s="13"/>
    </row>
    <row r="166" spans="1:230" s="5" customFormat="1" ht="12.6" customHeight="1">
      <c r="A166" s="13"/>
      <c r="B166" s="13"/>
      <c r="C166" s="13"/>
      <c r="D166" s="4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/>
      <c r="V166"/>
      <c r="W166"/>
      <c r="X166"/>
      <c r="Y166"/>
      <c r="Z166"/>
      <c r="AA166"/>
      <c r="AB166"/>
      <c r="AC166"/>
    </row>
    <row r="167" spans="1:230" s="5" customFormat="1" ht="12.6" customHeight="1">
      <c r="A167" s="13"/>
      <c r="B167" s="13"/>
      <c r="C167" s="13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/>
      <c r="V167"/>
      <c r="W167"/>
      <c r="X167"/>
      <c r="Y167"/>
      <c r="Z167"/>
      <c r="AA167"/>
      <c r="AB167"/>
      <c r="AC167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</row>
    <row r="168" spans="1:230">
      <c r="A168" s="13"/>
      <c r="B168" s="13"/>
    </row>
    <row r="170" spans="1:230" ht="12.6" customHeight="1"/>
    <row r="173" spans="1:230">
      <c r="C173" s="2"/>
    </row>
    <row r="174" spans="1:230">
      <c r="A174" s="2"/>
      <c r="B174" s="2"/>
      <c r="C174" s="13"/>
    </row>
    <row r="175" spans="1:230">
      <c r="A175" s="13"/>
      <c r="B175" s="13"/>
    </row>
    <row r="181" ht="12.6" customHeight="1"/>
  </sheetData>
  <customSheetViews>
    <customSheetView guid="{9D7575BF-255B-11D2-8267-00A0D1027254}" showRuler="0" topLeftCell="A21">
      <selection activeCell="C37" sqref="C37"/>
      <colBreaks count="1" manualBreakCount="1">
        <brk id="14" max="58" man="1"/>
      </colBreaks>
      <pageMargins left="0.5" right="0.5" top="1" bottom="1" header="0.5" footer="0.5"/>
      <pageSetup scale="65" orientation="landscape" r:id="rId1"/>
      <headerFooter alignWithMargins="0">
        <oddFooter>&amp;L&amp;D &amp;T&amp;RO:\Naes\GenSvcs\TVA\TVA Model\&amp;F
&amp;A &amp;P</oddFooter>
      </headerFooter>
    </customSheetView>
    <customSheetView guid="{773475A7-2559-11D2-A5F6-0060080AEB13}" showPageBreaks="1" printArea="1" showRuler="0">
      <selection activeCell="B24" sqref="B24"/>
      <rowBreaks count="1" manualBreakCount="1">
        <brk id="72" max="26" man="1"/>
      </rowBreaks>
      <pageMargins left="0.5" right="0.5" top="0.5" bottom="0.5" header="0.5" footer="0.5"/>
      <printOptions horizontalCentered="1"/>
      <pageSetup scale="42" orientation="landscape" r:id="rId2"/>
      <headerFooter alignWithMargins="0">
        <oddFooter>&amp;L&amp;D &amp;T&amp;RO:\Naes\GenSvcs\TVA\TVA Model\&amp;F
&amp;A &amp;P</oddFooter>
      </headerFooter>
    </customSheetView>
    <customSheetView guid="{14FB3146-3CEF-11D2-B9CE-0060080D6A65}" showRuler="0" topLeftCell="A21">
      <selection activeCell="C37" sqref="C37"/>
      <colBreaks count="1" manualBreakCount="1">
        <brk id="14" max="58" man="1"/>
      </colBreaks>
      <pageMargins left="0.5" right="0.5" top="1" bottom="1" header="0.5" footer="0.5"/>
      <pageSetup scale="65" orientation="landscape" r:id="rId3"/>
      <headerFooter alignWithMargins="0">
        <oddFooter>&amp;L&amp;D &amp;T&amp;RO:\Naes\GenSvcs\TVA\TVA Model\&amp;F
&amp;A &amp;P</oddFooter>
      </headerFooter>
    </customSheetView>
  </customSheetViews>
  <printOptions horizontalCentered="1" verticalCentered="1"/>
  <pageMargins left="0.5" right="0.5" top="1" bottom="1" header="0.5" footer="0.5"/>
  <pageSetup scale="46" orientation="landscape" r:id="rId4"/>
  <headerFooter alignWithMargins="0">
    <oddFooter>&amp;L&amp;D &amp;T&amp;R&amp;A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58"/>
  <sheetViews>
    <sheetView zoomScaleNormal="75" workbookViewId="0"/>
  </sheetViews>
  <sheetFormatPr defaultRowHeight="13.2"/>
  <cols>
    <col min="7" max="7" width="11" bestFit="1" customWidth="1"/>
  </cols>
  <sheetData>
    <row r="1" spans="1:27" ht="24.6">
      <c r="A1" s="438" t="str">
        <f>'Project Assumptions'!$A$2</f>
        <v>PROJECT DOYLE</v>
      </c>
    </row>
    <row r="2" spans="1:27" ht="17.399999999999999">
      <c r="A2" s="439" t="s">
        <v>235</v>
      </c>
      <c r="B2" s="207"/>
      <c r="C2" s="258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</row>
    <row r="3" spans="1:27">
      <c r="A3" s="207"/>
      <c r="B3" s="207"/>
      <c r="C3" s="207"/>
      <c r="D3" s="207"/>
      <c r="E3" s="207"/>
      <c r="F3" s="207" t="s">
        <v>135</v>
      </c>
      <c r="G3" s="285">
        <f>'Book Income Statement'!C3</f>
        <v>1</v>
      </c>
      <c r="H3" s="285">
        <f>'Book Income Statement'!D3</f>
        <v>2</v>
      </c>
      <c r="I3" s="285">
        <f>'Book Income Statement'!E3</f>
        <v>3</v>
      </c>
      <c r="J3" s="285">
        <f>'Book Income Statement'!F3</f>
        <v>4</v>
      </c>
      <c r="K3" s="285">
        <f>'Book Income Statement'!G3</f>
        <v>5</v>
      </c>
      <c r="L3" s="285">
        <f>'Book Income Statement'!H3</f>
        <v>6</v>
      </c>
      <c r="M3" s="285">
        <f>'Book Income Statement'!I3</f>
        <v>7</v>
      </c>
      <c r="N3" s="285">
        <f>'Book Income Statement'!J3</f>
        <v>8</v>
      </c>
      <c r="O3" s="285">
        <f>'Book Income Statement'!K3</f>
        <v>9</v>
      </c>
      <c r="P3" s="285">
        <f>'Book Income Statement'!L3</f>
        <v>10</v>
      </c>
      <c r="Q3" s="285">
        <f>'Book Income Statement'!M3</f>
        <v>11</v>
      </c>
      <c r="R3" s="285">
        <f>'Book Income Statement'!N3</f>
        <v>12</v>
      </c>
      <c r="S3" s="285">
        <f>'Book Income Statement'!O3</f>
        <v>13</v>
      </c>
      <c r="T3" s="285">
        <f>'Book Income Statement'!P3</f>
        <v>14</v>
      </c>
      <c r="U3" s="285">
        <f>'Book Income Statement'!Q3</f>
        <v>15</v>
      </c>
      <c r="V3" s="285">
        <f>'Book Income Statement'!R3</f>
        <v>16</v>
      </c>
      <c r="W3" s="285"/>
      <c r="X3" s="285"/>
      <c r="Y3" s="285"/>
      <c r="Z3" s="285"/>
      <c r="AA3" s="207"/>
    </row>
    <row r="4" spans="1:27">
      <c r="A4" s="207"/>
      <c r="B4" s="207"/>
      <c r="C4" s="207"/>
      <c r="D4" s="207"/>
      <c r="E4" s="207"/>
      <c r="F4" s="207" t="s">
        <v>136</v>
      </c>
      <c r="G4" s="263">
        <f>'Book Income Statement'!C4</f>
        <v>2000</v>
      </c>
      <c r="H4" s="263">
        <f>'Book Income Statement'!D4</f>
        <v>2001</v>
      </c>
      <c r="I4" s="263">
        <f>'Book Income Statement'!E4</f>
        <v>2002</v>
      </c>
      <c r="J4" s="263">
        <f>'Book Income Statement'!F4</f>
        <v>2003</v>
      </c>
      <c r="K4" s="263">
        <f>'Book Income Statement'!G4</f>
        <v>2004</v>
      </c>
      <c r="L4" s="263">
        <f>'Book Income Statement'!H4</f>
        <v>2005</v>
      </c>
      <c r="M4" s="263">
        <f>'Book Income Statement'!I4</f>
        <v>2006</v>
      </c>
      <c r="N4" s="263">
        <f>'Book Income Statement'!J4</f>
        <v>2007</v>
      </c>
      <c r="O4" s="263">
        <f>'Book Income Statement'!K4</f>
        <v>2008</v>
      </c>
      <c r="P4" s="263">
        <f>'Book Income Statement'!L4</f>
        <v>2009</v>
      </c>
      <c r="Q4" s="263">
        <f>'Book Income Statement'!M4</f>
        <v>2010</v>
      </c>
      <c r="R4" s="263">
        <f>'Book Income Statement'!N4</f>
        <v>2011</v>
      </c>
      <c r="S4" s="263">
        <f>'Book Income Statement'!O4</f>
        <v>2012</v>
      </c>
      <c r="T4" s="263">
        <f>'Book Income Statement'!P4</f>
        <v>2013</v>
      </c>
      <c r="U4" s="263">
        <f>'Book Income Statement'!Q4</f>
        <v>2014</v>
      </c>
      <c r="V4" s="263">
        <f>'Book Income Statement'!R4</f>
        <v>2015</v>
      </c>
      <c r="W4" s="263"/>
      <c r="X4" s="263"/>
      <c r="Y4" s="263"/>
      <c r="Z4" s="263"/>
      <c r="AA4" s="406"/>
    </row>
    <row r="5" spans="1:27">
      <c r="A5" s="263" t="s">
        <v>148</v>
      </c>
      <c r="B5" s="109"/>
      <c r="C5" s="109"/>
      <c r="D5" s="109"/>
      <c r="E5" s="109"/>
      <c r="F5" s="109"/>
      <c r="G5" s="269"/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  <c r="Z5" s="269"/>
      <c r="AA5" s="269"/>
    </row>
    <row r="6" spans="1:27">
      <c r="A6" s="263"/>
      <c r="B6" s="109"/>
      <c r="C6" s="109"/>
      <c r="D6" s="109"/>
      <c r="E6" s="109"/>
      <c r="F6" s="10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</row>
    <row r="7" spans="1:27">
      <c r="A7" s="109"/>
      <c r="B7" s="109" t="s">
        <v>145</v>
      </c>
      <c r="C7" s="109"/>
      <c r="D7" s="109"/>
      <c r="E7" s="109"/>
      <c r="F7" s="390">
        <f>('Project Assumptions'!C21+'Project Assumptions'!C22)</f>
        <v>2046.59032</v>
      </c>
      <c r="G7" s="407">
        <f>F7</f>
        <v>2046.59032</v>
      </c>
      <c r="H7" s="407">
        <f t="shared" ref="H7:V7" si="0">G7</f>
        <v>2046.59032</v>
      </c>
      <c r="I7" s="407">
        <f t="shared" si="0"/>
        <v>2046.59032</v>
      </c>
      <c r="J7" s="407">
        <f t="shared" si="0"/>
        <v>2046.59032</v>
      </c>
      <c r="K7" s="407">
        <f t="shared" si="0"/>
        <v>2046.59032</v>
      </c>
      <c r="L7" s="407">
        <f t="shared" si="0"/>
        <v>2046.59032</v>
      </c>
      <c r="M7" s="407">
        <f t="shared" si="0"/>
        <v>2046.59032</v>
      </c>
      <c r="N7" s="407">
        <f t="shared" si="0"/>
        <v>2046.59032</v>
      </c>
      <c r="O7" s="407">
        <f t="shared" si="0"/>
        <v>2046.59032</v>
      </c>
      <c r="P7" s="407">
        <f t="shared" si="0"/>
        <v>2046.59032</v>
      </c>
      <c r="Q7" s="407">
        <f t="shared" si="0"/>
        <v>2046.59032</v>
      </c>
      <c r="R7" s="407">
        <f t="shared" si="0"/>
        <v>2046.59032</v>
      </c>
      <c r="S7" s="407">
        <f t="shared" si="0"/>
        <v>2046.59032</v>
      </c>
      <c r="T7" s="407">
        <f t="shared" si="0"/>
        <v>2046.59032</v>
      </c>
      <c r="U7" s="407">
        <f t="shared" si="0"/>
        <v>2046.59032</v>
      </c>
      <c r="V7" s="407">
        <f t="shared" si="0"/>
        <v>2046.59032</v>
      </c>
      <c r="W7" s="407"/>
      <c r="X7" s="407"/>
      <c r="Y7" s="407"/>
      <c r="Z7" s="407"/>
      <c r="AA7" s="269"/>
    </row>
    <row r="8" spans="1:27">
      <c r="A8" s="109"/>
      <c r="B8" s="109" t="s">
        <v>238</v>
      </c>
      <c r="C8" s="109"/>
      <c r="D8" s="109"/>
      <c r="E8" s="109"/>
      <c r="F8" s="259">
        <f>Depreciation!B37</f>
        <v>116365.33963071516</v>
      </c>
      <c r="G8" s="389">
        <f>+F8-Depreciation!D37</f>
        <v>112634.88128017672</v>
      </c>
      <c r="H8" s="389">
        <f>+G8-Depreciation!E37</f>
        <v>105173.96457909985</v>
      </c>
      <c r="I8" s="389">
        <f>+H8-Depreciation!F37</f>
        <v>97713.047878022975</v>
      </c>
      <c r="J8" s="389">
        <f>+I8-Depreciation!G37</f>
        <v>90252.131176946103</v>
      </c>
      <c r="K8" s="389">
        <f>+J8-Depreciation!H37</f>
        <v>82791.21447586923</v>
      </c>
      <c r="L8" s="389">
        <f>+K8-Depreciation!I37</f>
        <v>75607.718319064254</v>
      </c>
      <c r="M8" s="389">
        <f>+L8-Depreciation!J37</f>
        <v>68701.642706531173</v>
      </c>
      <c r="N8" s="389">
        <f>+M8-Depreciation!K37</f>
        <v>61795.567093998092</v>
      </c>
      <c r="O8" s="389">
        <f>+N8-Depreciation!L37</f>
        <v>54889.491481465011</v>
      </c>
      <c r="P8" s="389">
        <f>+O8-Depreciation!M37</f>
        <v>47983.41586893193</v>
      </c>
      <c r="Q8" s="389">
        <f>+P8-Depreciation!N37</f>
        <v>41077.340256398849</v>
      </c>
      <c r="R8" s="389">
        <f>+Q8-Depreciation!O37</f>
        <v>34171.264643865768</v>
      </c>
      <c r="S8" s="389">
        <f>+R8-Depreciation!P37</f>
        <v>27265.189031332688</v>
      </c>
      <c r="T8" s="389">
        <f>+S8-Depreciation!Q37</f>
        <v>20359.113418799607</v>
      </c>
      <c r="U8" s="389">
        <f>+T8-Depreciation!R37</f>
        <v>13453.037806266528</v>
      </c>
      <c r="V8" s="389">
        <f>+U8-Depreciation!S37</f>
        <v>9999.9999999999891</v>
      </c>
      <c r="W8" s="389"/>
      <c r="X8" s="389"/>
      <c r="Y8" s="389"/>
      <c r="Z8" s="389"/>
      <c r="AA8" s="269"/>
    </row>
    <row r="9" spans="1:27">
      <c r="A9" s="109"/>
      <c r="B9" s="109"/>
      <c r="C9" s="109"/>
      <c r="D9" s="109"/>
      <c r="E9" s="109"/>
      <c r="F9" s="269"/>
      <c r="G9" s="389"/>
      <c r="H9" s="389"/>
      <c r="I9" s="389"/>
      <c r="J9" s="389"/>
      <c r="K9" s="389"/>
      <c r="L9" s="389"/>
      <c r="M9" s="389"/>
      <c r="N9" s="389"/>
      <c r="O9" s="389"/>
      <c r="P9" s="389"/>
      <c r="Q9" s="389"/>
      <c r="R9" s="389"/>
      <c r="S9" s="389"/>
      <c r="T9" s="389"/>
      <c r="U9" s="389"/>
      <c r="V9" s="389"/>
      <c r="W9" s="269"/>
      <c r="X9" s="269"/>
      <c r="Y9" s="269"/>
      <c r="Z9" s="269"/>
      <c r="AA9" s="269"/>
    </row>
    <row r="10" spans="1:27">
      <c r="A10" s="263" t="s">
        <v>137</v>
      </c>
      <c r="B10" s="109"/>
      <c r="C10" s="109"/>
      <c r="D10" s="109"/>
      <c r="E10" s="109"/>
      <c r="F10" s="259">
        <f>F7+F8</f>
        <v>118411.92995071516</v>
      </c>
      <c r="G10" s="408">
        <f t="shared" ref="G10:V10" si="1">SUM(G7:G8)</f>
        <v>114681.47160017672</v>
      </c>
      <c r="H10" s="408">
        <f t="shared" si="1"/>
        <v>107220.55489909985</v>
      </c>
      <c r="I10" s="408">
        <f t="shared" si="1"/>
        <v>99759.638198022978</v>
      </c>
      <c r="J10" s="408">
        <f t="shared" si="1"/>
        <v>92298.721496946106</v>
      </c>
      <c r="K10" s="408">
        <f t="shared" si="1"/>
        <v>84837.804795869233</v>
      </c>
      <c r="L10" s="408">
        <f t="shared" si="1"/>
        <v>77654.308639064257</v>
      </c>
      <c r="M10" s="408">
        <f t="shared" si="1"/>
        <v>70748.233026531176</v>
      </c>
      <c r="N10" s="408">
        <f t="shared" si="1"/>
        <v>63842.157413998095</v>
      </c>
      <c r="O10" s="408">
        <f t="shared" si="1"/>
        <v>56936.081801465014</v>
      </c>
      <c r="P10" s="408">
        <f t="shared" si="1"/>
        <v>50030.006188931933</v>
      </c>
      <c r="Q10" s="408">
        <f t="shared" si="1"/>
        <v>43123.930576398852</v>
      </c>
      <c r="R10" s="408">
        <f t="shared" si="1"/>
        <v>36217.854963865771</v>
      </c>
      <c r="S10" s="408">
        <f t="shared" si="1"/>
        <v>29311.779351332687</v>
      </c>
      <c r="T10" s="408">
        <f t="shared" si="1"/>
        <v>22405.703738799606</v>
      </c>
      <c r="U10" s="408">
        <f t="shared" si="1"/>
        <v>15499.628126266527</v>
      </c>
      <c r="V10" s="408">
        <f t="shared" si="1"/>
        <v>12046.590319999988</v>
      </c>
      <c r="W10" s="408"/>
      <c r="X10" s="408"/>
      <c r="Y10" s="408"/>
      <c r="Z10" s="408"/>
      <c r="AA10" s="269"/>
    </row>
    <row r="11" spans="1:27">
      <c r="A11" s="109"/>
      <c r="B11" s="109"/>
      <c r="C11" s="109"/>
      <c r="D11" s="109"/>
      <c r="E11" s="109"/>
      <c r="F11" s="259"/>
      <c r="G11" s="269"/>
      <c r="H11" s="269"/>
      <c r="I11" s="409"/>
      <c r="J11" s="409"/>
      <c r="K11" s="409"/>
      <c r="L11" s="409"/>
      <c r="M11" s="409"/>
      <c r="N11" s="409"/>
      <c r="O11" s="409"/>
      <c r="P11" s="409"/>
      <c r="Q11" s="409"/>
      <c r="R11" s="409"/>
      <c r="S11" s="409"/>
      <c r="T11" s="409"/>
      <c r="U11" s="409"/>
      <c r="V11" s="409"/>
      <c r="W11" s="269"/>
      <c r="X11" s="269"/>
      <c r="Y11" s="269"/>
      <c r="Z11" s="269"/>
      <c r="AA11" s="269"/>
    </row>
    <row r="12" spans="1:27">
      <c r="A12" s="263" t="s">
        <v>138</v>
      </c>
      <c r="B12" s="109"/>
      <c r="C12" s="109"/>
      <c r="D12" s="109"/>
      <c r="E12" s="109"/>
      <c r="F12" s="259"/>
      <c r="G12" s="408"/>
      <c r="H12" s="408"/>
      <c r="I12" s="408"/>
      <c r="J12" s="408"/>
      <c r="K12" s="408"/>
      <c r="L12" s="408"/>
      <c r="M12" s="408"/>
      <c r="N12" s="408"/>
      <c r="O12" s="408"/>
      <c r="P12" s="408"/>
      <c r="Q12" s="408"/>
      <c r="R12" s="408"/>
      <c r="S12" s="408"/>
      <c r="T12" s="408"/>
      <c r="U12" s="408"/>
      <c r="V12" s="408"/>
      <c r="W12" s="269"/>
      <c r="X12" s="269"/>
      <c r="Y12" s="269"/>
      <c r="Z12" s="269"/>
      <c r="AA12" s="269"/>
    </row>
    <row r="13" spans="1:27">
      <c r="A13" s="109"/>
      <c r="B13" s="109" t="s">
        <v>144</v>
      </c>
      <c r="C13" s="109"/>
      <c r="D13" s="109"/>
      <c r="E13" s="109"/>
      <c r="F13" s="259">
        <v>0</v>
      </c>
      <c r="G13" s="259">
        <v>0</v>
      </c>
      <c r="H13" s="259">
        <v>0</v>
      </c>
      <c r="I13" s="259">
        <v>0</v>
      </c>
      <c r="J13" s="259">
        <v>0</v>
      </c>
      <c r="K13" s="259">
        <v>0</v>
      </c>
      <c r="L13" s="259">
        <v>0</v>
      </c>
      <c r="M13" s="259">
        <v>0</v>
      </c>
      <c r="N13" s="259">
        <v>0</v>
      </c>
      <c r="O13" s="259">
        <v>0</v>
      </c>
      <c r="P13" s="259">
        <v>0</v>
      </c>
      <c r="Q13" s="259">
        <v>0</v>
      </c>
      <c r="R13" s="259">
        <v>0</v>
      </c>
      <c r="S13" s="259">
        <v>0</v>
      </c>
      <c r="T13" s="259">
        <v>0</v>
      </c>
      <c r="U13" s="259">
        <v>0</v>
      </c>
      <c r="V13" s="259">
        <v>0</v>
      </c>
      <c r="W13" s="409"/>
      <c r="X13" s="409"/>
      <c r="Y13" s="409"/>
      <c r="Z13" s="409"/>
      <c r="AA13" s="269"/>
    </row>
    <row r="14" spans="1:27">
      <c r="A14" s="109"/>
      <c r="B14" s="109" t="s">
        <v>139</v>
      </c>
      <c r="C14" s="109"/>
      <c r="D14" s="109"/>
      <c r="E14" s="109"/>
      <c r="F14" s="259">
        <f>'Debt Amortization'!$D$63</f>
        <v>113344.92774122291</v>
      </c>
      <c r="G14" s="407">
        <f>'Debt Amortization'!D39</f>
        <v>110962.50131239486</v>
      </c>
      <c r="H14" s="407">
        <f>'Debt Amortization'!E39</f>
        <v>105981.08589235827</v>
      </c>
      <c r="I14" s="407">
        <f>'Debt Amortization'!F39</f>
        <v>100696.30227324145</v>
      </c>
      <c r="J14" s="407">
        <f>'Debt Amortization'!G39</f>
        <v>95089.675331720427</v>
      </c>
      <c r="K14" s="407">
        <f>'Debt Amortization'!H39</f>
        <v>89141.604809460769</v>
      </c>
      <c r="L14" s="407">
        <f>'Debt Amortization'!I39</f>
        <v>82831.2967923955</v>
      </c>
      <c r="M14" s="407">
        <f>'Debt Amortization'!J39</f>
        <v>76136.691017090954</v>
      </c>
      <c r="N14" s="407">
        <f>'Debt Amortization'!K39</f>
        <v>69034.383750070367</v>
      </c>
      <c r="O14" s="407">
        <f>'Debt Amortization'!L39</f>
        <v>61499.545970488223</v>
      </c>
      <c r="P14" s="407">
        <f>'Debt Amortization'!M39</f>
        <v>53505.836570129526</v>
      </c>
      <c r="Q14" s="407">
        <f>'Debt Amortization'!N39</f>
        <v>45025.31026728898</v>
      </c>
      <c r="R14" s="407">
        <f>'Debt Amortization'!O39</f>
        <v>36028.319912605453</v>
      </c>
      <c r="S14" s="407">
        <f>'Debt Amortization'!P39</f>
        <v>26483.412845321698</v>
      </c>
      <c r="T14" s="407">
        <f>'Debt Amortization'!Q39</f>
        <v>16357.220937640359</v>
      </c>
      <c r="U14" s="407">
        <f>'Debt Amortization'!R39</f>
        <v>5614.3439427812264</v>
      </c>
      <c r="V14" s="407">
        <f>'Debt Amortization'!S39</f>
        <v>-8.0035533756017685E-11</v>
      </c>
      <c r="W14" s="407"/>
      <c r="X14" s="407"/>
      <c r="Y14" s="407"/>
      <c r="Z14" s="407"/>
      <c r="AA14" s="269"/>
    </row>
    <row r="15" spans="1:27">
      <c r="A15" s="109"/>
      <c r="B15" s="109" t="s">
        <v>271</v>
      </c>
      <c r="C15" s="109"/>
      <c r="D15" s="109"/>
      <c r="E15" s="109"/>
      <c r="F15" s="259">
        <v>0</v>
      </c>
      <c r="G15" s="259">
        <v>0</v>
      </c>
      <c r="H15" s="259">
        <v>0</v>
      </c>
      <c r="I15" s="259">
        <v>0</v>
      </c>
      <c r="J15" s="259">
        <v>0</v>
      </c>
      <c r="K15" s="259">
        <v>0</v>
      </c>
      <c r="L15" s="259">
        <v>0</v>
      </c>
      <c r="M15" s="259">
        <v>0</v>
      </c>
      <c r="N15" s="259">
        <v>0</v>
      </c>
      <c r="O15" s="259">
        <v>0</v>
      </c>
      <c r="P15" s="259">
        <v>0</v>
      </c>
      <c r="Q15" s="259">
        <v>0</v>
      </c>
      <c r="R15" s="259">
        <v>0</v>
      </c>
      <c r="S15" s="259">
        <v>0</v>
      </c>
      <c r="T15" s="259">
        <v>0</v>
      </c>
      <c r="U15" s="259">
        <v>0</v>
      </c>
      <c r="V15" s="259">
        <v>0</v>
      </c>
      <c r="W15" s="407"/>
      <c r="X15" s="407"/>
      <c r="Y15" s="407"/>
      <c r="Z15" s="407"/>
      <c r="AA15" s="269"/>
    </row>
    <row r="16" spans="1:27">
      <c r="A16" s="263" t="s">
        <v>140</v>
      </c>
      <c r="B16" s="109"/>
      <c r="C16" s="269"/>
      <c r="D16" s="109"/>
      <c r="E16" s="109"/>
      <c r="F16" s="259">
        <f>SUM(F13:F15)</f>
        <v>113344.92774122291</v>
      </c>
      <c r="G16" s="259">
        <f t="shared" ref="G16:V16" si="2">SUM(G13:G15)</f>
        <v>110962.50131239486</v>
      </c>
      <c r="H16" s="259">
        <f t="shared" si="2"/>
        <v>105981.08589235827</v>
      </c>
      <c r="I16" s="259">
        <f t="shared" si="2"/>
        <v>100696.30227324145</v>
      </c>
      <c r="J16" s="259">
        <f t="shared" si="2"/>
        <v>95089.675331720427</v>
      </c>
      <c r="K16" s="259">
        <f t="shared" si="2"/>
        <v>89141.604809460769</v>
      </c>
      <c r="L16" s="259">
        <f t="shared" si="2"/>
        <v>82831.2967923955</v>
      </c>
      <c r="M16" s="259">
        <f t="shared" si="2"/>
        <v>76136.691017090954</v>
      </c>
      <c r="N16" s="259">
        <f t="shared" si="2"/>
        <v>69034.383750070367</v>
      </c>
      <c r="O16" s="259">
        <f t="shared" si="2"/>
        <v>61499.545970488223</v>
      </c>
      <c r="P16" s="259">
        <f t="shared" si="2"/>
        <v>53505.836570129526</v>
      </c>
      <c r="Q16" s="259">
        <f t="shared" si="2"/>
        <v>45025.31026728898</v>
      </c>
      <c r="R16" s="259">
        <f t="shared" si="2"/>
        <v>36028.319912605453</v>
      </c>
      <c r="S16" s="259">
        <f t="shared" si="2"/>
        <v>26483.412845321698</v>
      </c>
      <c r="T16" s="259">
        <f t="shared" si="2"/>
        <v>16357.220937640359</v>
      </c>
      <c r="U16" s="259">
        <f t="shared" si="2"/>
        <v>5614.3439427812264</v>
      </c>
      <c r="V16" s="259">
        <f t="shared" si="2"/>
        <v>-8.0035533756017685E-11</v>
      </c>
      <c r="W16" s="409"/>
      <c r="X16" s="409"/>
      <c r="Y16" s="409"/>
      <c r="Z16" s="409"/>
      <c r="AA16" s="269"/>
    </row>
    <row r="17" spans="1:27">
      <c r="A17" s="109"/>
      <c r="B17" s="109"/>
      <c r="C17" s="109"/>
      <c r="D17" s="109"/>
      <c r="E17" s="109"/>
      <c r="F17" s="259"/>
      <c r="G17" s="407"/>
      <c r="H17" s="407"/>
      <c r="I17" s="407"/>
      <c r="J17" s="407"/>
      <c r="K17" s="407"/>
      <c r="L17" s="407"/>
      <c r="M17" s="407"/>
      <c r="N17" s="407"/>
      <c r="O17" s="407"/>
      <c r="P17" s="407"/>
      <c r="Q17" s="407"/>
      <c r="R17" s="407"/>
      <c r="S17" s="407"/>
      <c r="T17" s="407"/>
      <c r="U17" s="407"/>
      <c r="V17" s="407"/>
      <c r="W17" s="269"/>
      <c r="X17" s="269"/>
      <c r="Y17" s="269"/>
      <c r="Z17" s="269"/>
      <c r="AA17" s="269"/>
    </row>
    <row r="18" spans="1:27">
      <c r="A18" s="263" t="s">
        <v>149</v>
      </c>
      <c r="B18" s="109"/>
      <c r="C18" s="109"/>
      <c r="D18" s="109"/>
      <c r="E18" s="109"/>
      <c r="F18" s="259"/>
      <c r="G18" s="269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  <c r="AA18" s="269"/>
    </row>
    <row r="19" spans="1:27">
      <c r="A19" s="109"/>
      <c r="B19" s="109" t="s">
        <v>141</v>
      </c>
      <c r="C19" s="109"/>
      <c r="D19" s="109"/>
      <c r="E19" s="109"/>
      <c r="F19" s="259">
        <f>'Project Assumptions'!$C$9</f>
        <v>3313.3769250269975</v>
      </c>
      <c r="G19" s="259">
        <f ca="1">'Project Assumptions'!$C$9+(SUM('Cash Flow Statement'!$D$17:'Cash Flow Statement'!D17))</f>
        <v>3313.3769250269975</v>
      </c>
      <c r="H19" s="259">
        <f ca="1">'Project Assumptions'!$C$9+(SUM('Cash Flow Statement'!$D$17:'Cash Flow Statement'!E17))</f>
        <v>3313.3769250269975</v>
      </c>
      <c r="I19" s="259">
        <f ca="1">'Project Assumptions'!$C$9+(SUM('Cash Flow Statement'!$D$17:'Cash Flow Statement'!F17))</f>
        <v>3313.3769250269975</v>
      </c>
      <c r="J19" s="259">
        <f ca="1">'Project Assumptions'!$C$9+(SUM('Cash Flow Statement'!$D$17:'Cash Flow Statement'!G17))</f>
        <v>3313.3769250269975</v>
      </c>
      <c r="K19" s="259">
        <f ca="1">'Project Assumptions'!$C$9+(SUM('Cash Flow Statement'!$D$17:'Cash Flow Statement'!H17))</f>
        <v>3313.3769250269975</v>
      </c>
      <c r="L19" s="259">
        <f ca="1">'Project Assumptions'!$C$9+(SUM('Cash Flow Statement'!$D$17:'Cash Flow Statement'!I17))</f>
        <v>3313.3769250269975</v>
      </c>
      <c r="M19" s="259">
        <f ca="1">'Project Assumptions'!$C$9+(SUM('Cash Flow Statement'!$D$17:'Cash Flow Statement'!J17))</f>
        <v>3313.3769250269975</v>
      </c>
      <c r="N19" s="259">
        <f ca="1">'Project Assumptions'!$C$9+(SUM('Cash Flow Statement'!$D$17:'Cash Flow Statement'!K17))</f>
        <v>3313.3769250269975</v>
      </c>
      <c r="O19" s="259">
        <f ca="1">'Project Assumptions'!$C$9+(SUM('Cash Flow Statement'!$D$17:'Cash Flow Statement'!L17))</f>
        <v>3313.3769250269975</v>
      </c>
      <c r="P19" s="259">
        <f ca="1">'Project Assumptions'!$C$9+(SUM('Cash Flow Statement'!$D$17:'Cash Flow Statement'!M17))</f>
        <v>3313.3769250269975</v>
      </c>
      <c r="Q19" s="259">
        <f ca="1">'Project Assumptions'!$C$9+(SUM('Cash Flow Statement'!$D$17:'Cash Flow Statement'!N17))</f>
        <v>3313.3769250269975</v>
      </c>
      <c r="R19" s="259">
        <f ca="1">'Project Assumptions'!$C$9+(SUM('Cash Flow Statement'!$D$17:'Cash Flow Statement'!O17))</f>
        <v>3313.3769250269975</v>
      </c>
      <c r="S19" s="259">
        <f ca="1">'Project Assumptions'!$C$9+(SUM('Cash Flow Statement'!$D$17:'Cash Flow Statement'!P17))</f>
        <v>3313.3769250269975</v>
      </c>
      <c r="T19" s="259">
        <f ca="1">'Project Assumptions'!$C$9+(SUM('Cash Flow Statement'!$D$17:'Cash Flow Statement'!Q17))</f>
        <v>3313.3769250269975</v>
      </c>
      <c r="U19" s="259">
        <f ca="1">'Project Assumptions'!$C$9+(SUM('Cash Flow Statement'!$D$17:'Cash Flow Statement'!R17))</f>
        <v>3313.3769250269975</v>
      </c>
      <c r="V19" s="259">
        <f ca="1">'Project Assumptions'!$C$9+(SUM('Cash Flow Statement'!$D$17:'Cash Flow Statement'!S17))</f>
        <v>3313.3769250269975</v>
      </c>
      <c r="W19" s="407"/>
      <c r="X19" s="407"/>
      <c r="Y19" s="407"/>
      <c r="Z19" s="407"/>
      <c r="AA19" s="269"/>
    </row>
    <row r="20" spans="1:27">
      <c r="A20" s="109"/>
      <c r="B20" s="109" t="s">
        <v>146</v>
      </c>
      <c r="C20" s="109"/>
      <c r="D20" s="109"/>
      <c r="E20" s="109"/>
      <c r="F20" s="260">
        <v>0</v>
      </c>
      <c r="G20" s="389">
        <f>'Book Income Statement'!C48</f>
        <v>-358.79631088708447</v>
      </c>
      <c r="H20" s="389">
        <f>'Book Income Statement'!D48</f>
        <v>-1997.6538778749891</v>
      </c>
      <c r="I20" s="389">
        <f>'Book Income Statement'!E48</f>
        <v>-1696.0314412299231</v>
      </c>
      <c r="J20" s="389">
        <f>'Book Income Statement'!F48</f>
        <v>-1374.8817654425238</v>
      </c>
      <c r="K20" s="389">
        <f>'Book Income Statement'!G48</f>
        <v>-1035.3889993242601</v>
      </c>
      <c r="L20" s="389">
        <f>'Book Income Statement'!H48</f>
        <v>-396.64887934595208</v>
      </c>
      <c r="M20" s="389">
        <f>'Book Income Statement'!I48</f>
        <v>261.72381559676978</v>
      </c>
      <c r="N20" s="389">
        <f>'Book Income Statement'!J48</f>
        <v>665.36568995356356</v>
      </c>
      <c r="O20" s="389">
        <f>'Book Income Statement'!K48</f>
        <v>1094.8354942920701</v>
      </c>
      <c r="P20" s="389">
        <f>'Book Income Statement'!L48</f>
        <v>1549.3324449736883</v>
      </c>
      <c r="Q20" s="389">
        <f>'Book Income Statement'!M48</f>
        <v>2031.5969714296807</v>
      </c>
      <c r="R20" s="389">
        <f>'Book Income Statement'!N48</f>
        <v>2542.741292978616</v>
      </c>
      <c r="S20" s="389">
        <f>'Book Income Statement'!O48</f>
        <v>3085.7052963724027</v>
      </c>
      <c r="T20" s="389">
        <f>'Book Income Statement'!P48</f>
        <v>3661.8128021682805</v>
      </c>
      <c r="U20" s="389">
        <f>'Book Income Statement'!Q48</f>
        <v>4272.503189278832</v>
      </c>
      <c r="V20" s="389">
        <f>'Book Income Statement'!R48</f>
        <v>14496.297140467241</v>
      </c>
      <c r="W20" s="389"/>
      <c r="X20" s="389"/>
      <c r="Y20" s="389"/>
      <c r="Z20" s="389"/>
      <c r="AA20" s="269"/>
    </row>
    <row r="21" spans="1:27">
      <c r="A21" s="109"/>
      <c r="B21" s="109" t="s">
        <v>143</v>
      </c>
      <c r="C21" s="109"/>
      <c r="D21" s="109"/>
      <c r="E21" s="109"/>
      <c r="F21" s="260">
        <v>0</v>
      </c>
      <c r="G21" s="389">
        <f>'Cash Flow Statement'!D19</f>
        <v>419.96750676858483</v>
      </c>
      <c r="H21" s="389">
        <f>'Cash Flow Statement'!E19</f>
        <v>1094.2094069242685</v>
      </c>
      <c r="I21" s="389">
        <f>'Cash Flow Statement'!F19</f>
        <v>591.06393320835377</v>
      </c>
      <c r="J21" s="389">
        <f>'Cash Flow Statement'!G19</f>
        <v>586.2642258721462</v>
      </c>
      <c r="K21" s="389">
        <f>'Cash Flow Statement'!H19</f>
        <v>542.43619016054254</v>
      </c>
      <c r="L21" s="389">
        <f>'Cash Flow Statement'!I19</f>
        <v>541.4197633579879</v>
      </c>
      <c r="M21" s="389">
        <f>'Cash Flow Statement'!J19</f>
        <v>538.18982540107572</v>
      </c>
      <c r="N21" s="389">
        <f>'Cash Flow Statement'!K19</f>
        <v>501.93470910208816</v>
      </c>
      <c r="O21" s="389">
        <f>'Cash Flow Statement'!L19</f>
        <v>503.0733262437152</v>
      </c>
      <c r="P21" s="389">
        <f>'Cash Flow Statement'!M19</f>
        <v>503.15372042816489</v>
      </c>
      <c r="Q21" s="389">
        <f>'Cash Flow Statement'!N19</f>
        <v>503.32772209631003</v>
      </c>
      <c r="R21" s="389">
        <f>'Cash Flow Statement'!O19</f>
        <v>503.02220589782155</v>
      </c>
      <c r="S21" s="389">
        <f>'Cash Flow Statement'!P19</f>
        <v>503.38907642536469</v>
      </c>
      <c r="T21" s="389">
        <f>'Cash Flow Statement'!Q19</f>
        <v>503.85528396344489</v>
      </c>
      <c r="U21" s="389">
        <f>'Cash Flow Statement'!R19</f>
        <v>503.84781775229567</v>
      </c>
      <c r="V21" s="389">
        <f>'Cash Flow Statement'!S19</f>
        <v>12288.97631831792</v>
      </c>
      <c r="W21" s="389"/>
      <c r="X21" s="389"/>
      <c r="Y21" s="389"/>
      <c r="Z21" s="389"/>
      <c r="AA21" s="269"/>
    </row>
    <row r="22" spans="1:27">
      <c r="A22" s="109"/>
      <c r="B22" s="109" t="s">
        <v>147</v>
      </c>
      <c r="C22" s="109"/>
      <c r="D22" s="109"/>
      <c r="E22" s="109"/>
      <c r="F22" s="260"/>
      <c r="G22" s="389">
        <f>F22+G20-G21</f>
        <v>-778.7638176556693</v>
      </c>
      <c r="H22" s="389">
        <f>G22+H20-H21</f>
        <v>-3870.6271024549269</v>
      </c>
      <c r="I22" s="389">
        <f t="shared" ref="I22:V22" si="3">H22+I20-I21</f>
        <v>-6157.7224768932037</v>
      </c>
      <c r="J22" s="389">
        <f t="shared" si="3"/>
        <v>-8118.8684682078738</v>
      </c>
      <c r="K22" s="389">
        <f t="shared" si="3"/>
        <v>-9696.6936576926764</v>
      </c>
      <c r="L22" s="389">
        <f t="shared" si="3"/>
        <v>-10634.762300396616</v>
      </c>
      <c r="M22" s="389">
        <f t="shared" si="3"/>
        <v>-10911.228310200922</v>
      </c>
      <c r="N22" s="389">
        <f t="shared" si="3"/>
        <v>-10747.797329349447</v>
      </c>
      <c r="O22" s="389">
        <f t="shared" si="3"/>
        <v>-10156.035161301092</v>
      </c>
      <c r="P22" s="389">
        <f t="shared" si="3"/>
        <v>-9109.8564367555682</v>
      </c>
      <c r="Q22" s="389">
        <f t="shared" si="3"/>
        <v>-7581.5871874221975</v>
      </c>
      <c r="R22" s="389">
        <f t="shared" si="3"/>
        <v>-5541.8681003414031</v>
      </c>
      <c r="S22" s="389">
        <f t="shared" si="3"/>
        <v>-2959.5518803943651</v>
      </c>
      <c r="T22" s="389">
        <f t="shared" si="3"/>
        <v>198.40563781047058</v>
      </c>
      <c r="U22" s="389">
        <f t="shared" si="3"/>
        <v>3967.0610093370069</v>
      </c>
      <c r="V22" s="389">
        <f t="shared" si="3"/>
        <v>6174.3818314863274</v>
      </c>
      <c r="W22" s="389"/>
      <c r="X22" s="389"/>
      <c r="Y22" s="389"/>
      <c r="Z22" s="389"/>
      <c r="AA22" s="269"/>
    </row>
    <row r="23" spans="1:27">
      <c r="A23" s="109"/>
      <c r="B23" s="109" t="s">
        <v>142</v>
      </c>
      <c r="C23" s="109"/>
      <c r="D23" s="109"/>
      <c r="E23" s="109"/>
      <c r="F23" s="259">
        <f>F19+F22</f>
        <v>3313.3769250269975</v>
      </c>
      <c r="G23" s="259">
        <f t="shared" ref="G23:V23" ca="1" si="4">G19+G22</f>
        <v>2534.6131073713282</v>
      </c>
      <c r="H23" s="259">
        <f t="shared" ca="1" si="4"/>
        <v>-557.25017742792943</v>
      </c>
      <c r="I23" s="259">
        <f t="shared" ca="1" si="4"/>
        <v>-2844.3455518662063</v>
      </c>
      <c r="J23" s="259">
        <f t="shared" ca="1" si="4"/>
        <v>-4805.4915431808768</v>
      </c>
      <c r="K23" s="259">
        <f t="shared" ca="1" si="4"/>
        <v>-6383.3167326656785</v>
      </c>
      <c r="L23" s="259">
        <f t="shared" ca="1" si="4"/>
        <v>-7321.3853753696185</v>
      </c>
      <c r="M23" s="259">
        <f t="shared" ca="1" si="4"/>
        <v>-7597.8513851739244</v>
      </c>
      <c r="N23" s="259">
        <f t="shared" ca="1" si="4"/>
        <v>-7434.420404322449</v>
      </c>
      <c r="O23" s="259">
        <f t="shared" ca="1" si="4"/>
        <v>-6842.6582362740937</v>
      </c>
      <c r="P23" s="259">
        <f t="shared" ca="1" si="4"/>
        <v>-5796.4795117285703</v>
      </c>
      <c r="Q23" s="259">
        <f t="shared" ca="1" si="4"/>
        <v>-4268.2102623951996</v>
      </c>
      <c r="R23" s="259">
        <f t="shared" ca="1" si="4"/>
        <v>-2228.4911753144056</v>
      </c>
      <c r="S23" s="259">
        <f t="shared" ca="1" si="4"/>
        <v>353.8250446326324</v>
      </c>
      <c r="T23" s="259">
        <f t="shared" ca="1" si="4"/>
        <v>3511.782562837468</v>
      </c>
      <c r="U23" s="259">
        <f t="shared" ca="1" si="4"/>
        <v>7280.4379343640048</v>
      </c>
      <c r="V23" s="259">
        <f t="shared" ca="1" si="4"/>
        <v>9487.7587565133254</v>
      </c>
      <c r="W23" s="259"/>
      <c r="X23" s="259"/>
      <c r="Y23" s="259"/>
      <c r="Z23" s="259"/>
      <c r="AA23" s="269"/>
    </row>
    <row r="24" spans="1:27">
      <c r="A24" s="109"/>
      <c r="B24" s="109"/>
      <c r="C24" s="109"/>
      <c r="D24" s="109"/>
      <c r="E24" s="109"/>
      <c r="F24" s="259"/>
      <c r="G24" s="269"/>
      <c r="H24" s="269"/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9"/>
    </row>
    <row r="25" spans="1:27">
      <c r="A25" s="263" t="s">
        <v>150</v>
      </c>
      <c r="B25" s="109"/>
      <c r="C25" s="109"/>
      <c r="D25" s="109"/>
      <c r="E25" s="109"/>
      <c r="F25" s="261">
        <f>F16+F23</f>
        <v>116658.30466624991</v>
      </c>
      <c r="G25" s="409">
        <f ca="1">G16+G23</f>
        <v>113497.11441976619</v>
      </c>
      <c r="H25" s="409">
        <f t="shared" ref="H25:V25" ca="1" si="5">H16+H23</f>
        <v>105423.83571493035</v>
      </c>
      <c r="I25" s="409">
        <f t="shared" ca="1" si="5"/>
        <v>97851.956721375245</v>
      </c>
      <c r="J25" s="409">
        <f t="shared" ca="1" si="5"/>
        <v>90284.183788539551</v>
      </c>
      <c r="K25" s="409">
        <f t="shared" ca="1" si="5"/>
        <v>82758.288076795085</v>
      </c>
      <c r="L25" s="409">
        <f t="shared" ca="1" si="5"/>
        <v>75509.911417025884</v>
      </c>
      <c r="M25" s="409">
        <f t="shared" ca="1" si="5"/>
        <v>68538.839631917028</v>
      </c>
      <c r="N25" s="409">
        <f t="shared" ca="1" si="5"/>
        <v>61599.963345747921</v>
      </c>
      <c r="O25" s="409">
        <f t="shared" ca="1" si="5"/>
        <v>54656.887734214128</v>
      </c>
      <c r="P25" s="409">
        <f t="shared" ca="1" si="5"/>
        <v>47709.357058400958</v>
      </c>
      <c r="Q25" s="409">
        <f t="shared" ca="1" si="5"/>
        <v>40757.100004893779</v>
      </c>
      <c r="R25" s="409">
        <f t="shared" ca="1" si="5"/>
        <v>33799.828737291049</v>
      </c>
      <c r="S25" s="409">
        <f t="shared" ca="1" si="5"/>
        <v>26837.237889954329</v>
      </c>
      <c r="T25" s="409">
        <f t="shared" ca="1" si="5"/>
        <v>19869.003500477826</v>
      </c>
      <c r="U25" s="409">
        <f t="shared" ca="1" si="5"/>
        <v>12894.781877145231</v>
      </c>
      <c r="V25" s="409">
        <f t="shared" ca="1" si="5"/>
        <v>9487.7587565132453</v>
      </c>
      <c r="W25" s="409"/>
      <c r="X25" s="409"/>
      <c r="Y25" s="409"/>
      <c r="Z25" s="409"/>
      <c r="AA25" s="269"/>
    </row>
    <row r="26" spans="1:27">
      <c r="A26" s="109"/>
      <c r="B26" s="109"/>
      <c r="C26" s="109"/>
      <c r="D26" s="109"/>
      <c r="E26" s="109"/>
      <c r="F26" s="25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</row>
    <row r="27" spans="1:27">
      <c r="A27" s="269"/>
      <c r="B27" s="269"/>
      <c r="C27" s="269"/>
      <c r="D27" s="269"/>
      <c r="E27" s="269"/>
      <c r="F27" s="407">
        <f>F10-F25</f>
        <v>1753.6252844652481</v>
      </c>
      <c r="G27" s="407">
        <f t="shared" ref="G27:V27" ca="1" si="6">G10-G25</f>
        <v>1184.3571804105304</v>
      </c>
      <c r="H27" s="407">
        <f t="shared" ca="1" si="6"/>
        <v>1796.7191841695021</v>
      </c>
      <c r="I27" s="407">
        <f t="shared" ca="1" si="6"/>
        <v>1907.6814766477328</v>
      </c>
      <c r="J27" s="407">
        <f t="shared" ca="1" si="6"/>
        <v>2014.5377084065549</v>
      </c>
      <c r="K27" s="407">
        <f t="shared" ca="1" si="6"/>
        <v>2079.5167190741486</v>
      </c>
      <c r="L27" s="407">
        <f t="shared" ca="1" si="6"/>
        <v>2144.397222038373</v>
      </c>
      <c r="M27" s="407">
        <f t="shared" ca="1" si="6"/>
        <v>2209.3933946141478</v>
      </c>
      <c r="N27" s="407">
        <f t="shared" ca="1" si="6"/>
        <v>2242.1940682501736</v>
      </c>
      <c r="O27" s="407">
        <f t="shared" ca="1" si="6"/>
        <v>2279.1940672508863</v>
      </c>
      <c r="P27" s="407">
        <f t="shared" ca="1" si="6"/>
        <v>2320.6491305309755</v>
      </c>
      <c r="Q27" s="407">
        <f t="shared" ca="1" si="6"/>
        <v>2366.8305715050737</v>
      </c>
      <c r="R27" s="407">
        <f t="shared" ca="1" si="6"/>
        <v>2418.0262265747224</v>
      </c>
      <c r="S27" s="407">
        <f t="shared" ca="1" si="6"/>
        <v>2474.5414613783578</v>
      </c>
      <c r="T27" s="407">
        <f t="shared" ca="1" si="6"/>
        <v>2536.7002383217805</v>
      </c>
      <c r="U27" s="407">
        <f t="shared" ca="1" si="6"/>
        <v>2604.8462491212958</v>
      </c>
      <c r="V27" s="407">
        <f t="shared" ca="1" si="6"/>
        <v>2558.8315634867431</v>
      </c>
      <c r="W27" s="407"/>
      <c r="X27" s="407"/>
      <c r="Y27" s="407"/>
      <c r="Z27" s="407"/>
      <c r="AA27" s="269"/>
    </row>
    <row r="28" spans="1:27">
      <c r="F28" s="10"/>
      <c r="S28" s="10"/>
    </row>
    <row r="29" spans="1:27">
      <c r="I29" s="10">
        <f ca="1">I27-H27</f>
        <v>110.96229247823067</v>
      </c>
      <c r="J29" s="10">
        <f t="shared" ref="J29:V29" ca="1" si="7">J27-I27</f>
        <v>106.8562317588221</v>
      </c>
      <c r="K29" s="10">
        <f t="shared" ca="1" si="7"/>
        <v>64.979010667593684</v>
      </c>
      <c r="L29" s="10">
        <f t="shared" ca="1" si="7"/>
        <v>64.880502964224434</v>
      </c>
      <c r="M29" s="10">
        <f t="shared" ca="1" si="7"/>
        <v>64.996172575774835</v>
      </c>
      <c r="N29" s="10">
        <f t="shared" ca="1" si="7"/>
        <v>32.800673636025749</v>
      </c>
      <c r="O29" s="10">
        <f t="shared" ca="1" si="7"/>
        <v>36.999999000712705</v>
      </c>
      <c r="P29" s="10">
        <f t="shared" ca="1" si="7"/>
        <v>41.455063280089234</v>
      </c>
      <c r="Q29" s="10">
        <f t="shared" ca="1" si="7"/>
        <v>46.181440974098223</v>
      </c>
      <c r="R29" s="10">
        <f t="shared" ca="1" si="7"/>
        <v>51.195655069648637</v>
      </c>
      <c r="S29" s="10">
        <f t="shared" ca="1" si="7"/>
        <v>56.515234803635394</v>
      </c>
      <c r="T29" s="10">
        <f t="shared" ca="1" si="7"/>
        <v>62.158776943422708</v>
      </c>
      <c r="U29" s="10">
        <f t="shared" ca="1" si="7"/>
        <v>68.146010799515352</v>
      </c>
      <c r="V29" s="10">
        <f t="shared" ca="1" si="7"/>
        <v>-46.014685634552734</v>
      </c>
    </row>
    <row r="33" spans="1:27" ht="15.6">
      <c r="A33" s="300" t="s">
        <v>275</v>
      </c>
      <c r="B33" s="207"/>
      <c r="C33" s="258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207"/>
      <c r="P33" s="207"/>
      <c r="Q33" s="207"/>
      <c r="R33" s="207"/>
      <c r="S33" s="207"/>
      <c r="T33" s="207"/>
      <c r="U33" s="207"/>
      <c r="V33" s="207"/>
      <c r="W33" s="207"/>
      <c r="X33" s="207"/>
      <c r="Y33" s="207"/>
      <c r="Z33" s="207"/>
      <c r="AA33" s="207"/>
    </row>
    <row r="34" spans="1:27">
      <c r="A34" s="207"/>
      <c r="B34" s="207"/>
      <c r="C34" s="207"/>
      <c r="D34" s="207"/>
      <c r="E34" s="207"/>
      <c r="F34" s="207" t="s">
        <v>135</v>
      </c>
      <c r="G34" s="285">
        <f>'Book Income Statement'!C3</f>
        <v>1</v>
      </c>
      <c r="H34" s="285">
        <f>'Book Income Statement'!D3</f>
        <v>2</v>
      </c>
      <c r="I34" s="285">
        <f>'Book Income Statement'!E3</f>
        <v>3</v>
      </c>
      <c r="J34" s="285">
        <f>'Book Income Statement'!F3</f>
        <v>4</v>
      </c>
      <c r="K34" s="285">
        <f>'Book Income Statement'!G3</f>
        <v>5</v>
      </c>
      <c r="L34" s="285">
        <f>'Book Income Statement'!H3</f>
        <v>6</v>
      </c>
      <c r="M34" s="285">
        <f>'Book Income Statement'!I3</f>
        <v>7</v>
      </c>
      <c r="N34" s="285">
        <f>'Book Income Statement'!J3</f>
        <v>8</v>
      </c>
      <c r="O34" s="285">
        <f>'Book Income Statement'!K3</f>
        <v>9</v>
      </c>
      <c r="P34" s="285">
        <f>'Book Income Statement'!L3</f>
        <v>10</v>
      </c>
      <c r="Q34" s="285">
        <f>'Book Income Statement'!M3</f>
        <v>11</v>
      </c>
      <c r="R34" s="285">
        <f>'Book Income Statement'!N3</f>
        <v>12</v>
      </c>
      <c r="S34" s="285">
        <f>'Book Income Statement'!O3</f>
        <v>13</v>
      </c>
      <c r="T34" s="285">
        <f>'Book Income Statement'!P3</f>
        <v>14</v>
      </c>
      <c r="U34" s="285">
        <f>'Book Income Statement'!Q3</f>
        <v>15</v>
      </c>
      <c r="V34" s="285">
        <f>'Book Income Statement'!R3</f>
        <v>16</v>
      </c>
      <c r="W34" s="285"/>
      <c r="X34" s="285"/>
      <c r="Y34" s="285"/>
      <c r="Z34" s="285"/>
      <c r="AA34" s="207"/>
    </row>
    <row r="35" spans="1:27">
      <c r="A35" s="207"/>
      <c r="B35" s="207"/>
      <c r="C35" s="207"/>
      <c r="D35" s="207"/>
      <c r="E35" s="207"/>
      <c r="F35" s="207" t="s">
        <v>136</v>
      </c>
      <c r="G35" s="263">
        <f>'Book Income Statement'!C4</f>
        <v>2000</v>
      </c>
      <c r="H35" s="263">
        <f>'Book Income Statement'!D4</f>
        <v>2001</v>
      </c>
      <c r="I35" s="263">
        <f>'Book Income Statement'!E4</f>
        <v>2002</v>
      </c>
      <c r="J35" s="263">
        <f>'Book Income Statement'!F4</f>
        <v>2003</v>
      </c>
      <c r="K35" s="263">
        <f>'Book Income Statement'!G4</f>
        <v>2004</v>
      </c>
      <c r="L35" s="263">
        <f>'Book Income Statement'!H4</f>
        <v>2005</v>
      </c>
      <c r="M35" s="263">
        <f>'Book Income Statement'!I4</f>
        <v>2006</v>
      </c>
      <c r="N35" s="263">
        <f>'Book Income Statement'!J4</f>
        <v>2007</v>
      </c>
      <c r="O35" s="263">
        <f>'Book Income Statement'!K4</f>
        <v>2008</v>
      </c>
      <c r="P35" s="263">
        <f>'Book Income Statement'!L4</f>
        <v>2009</v>
      </c>
      <c r="Q35" s="263">
        <f>'Book Income Statement'!M4</f>
        <v>2010</v>
      </c>
      <c r="R35" s="263">
        <f>'Book Income Statement'!N4</f>
        <v>2011</v>
      </c>
      <c r="S35" s="263">
        <f>'Book Income Statement'!O4</f>
        <v>2012</v>
      </c>
      <c r="T35" s="263">
        <f>'Book Income Statement'!P4</f>
        <v>2013</v>
      </c>
      <c r="U35" s="263">
        <f>'Book Income Statement'!Q4</f>
        <v>2014</v>
      </c>
      <c r="V35" s="263">
        <f>'Book Income Statement'!R4</f>
        <v>2015</v>
      </c>
      <c r="W35" s="263"/>
      <c r="X35" s="263"/>
      <c r="Y35" s="263"/>
      <c r="Z35" s="263"/>
      <c r="AA35" s="406"/>
    </row>
    <row r="36" spans="1:27">
      <c r="A36" s="263" t="s">
        <v>148</v>
      </c>
      <c r="B36" s="109"/>
      <c r="C36" s="109"/>
      <c r="D36" s="109"/>
      <c r="E36" s="109"/>
      <c r="F36" s="10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</row>
    <row r="37" spans="1:27">
      <c r="A37" s="263"/>
      <c r="B37" s="109"/>
      <c r="C37" s="109"/>
      <c r="D37" s="109"/>
      <c r="E37" s="109"/>
      <c r="F37" s="109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9"/>
    </row>
    <row r="38" spans="1:27">
      <c r="A38" s="109"/>
      <c r="B38" s="109" t="s">
        <v>145</v>
      </c>
      <c r="C38" s="109"/>
      <c r="D38" s="109"/>
      <c r="E38" s="109"/>
      <c r="F38" s="390">
        <f>F7*'Project Assumptions'!$N$59</f>
        <v>1023.29516</v>
      </c>
      <c r="G38" s="407">
        <f>F38</f>
        <v>1023.29516</v>
      </c>
      <c r="H38" s="407">
        <f t="shared" ref="H38:V38" si="8">G38</f>
        <v>1023.29516</v>
      </c>
      <c r="I38" s="407">
        <f t="shared" si="8"/>
        <v>1023.29516</v>
      </c>
      <c r="J38" s="407">
        <f t="shared" si="8"/>
        <v>1023.29516</v>
      </c>
      <c r="K38" s="407">
        <f t="shared" si="8"/>
        <v>1023.29516</v>
      </c>
      <c r="L38" s="407">
        <f t="shared" si="8"/>
        <v>1023.29516</v>
      </c>
      <c r="M38" s="407">
        <f t="shared" si="8"/>
        <v>1023.29516</v>
      </c>
      <c r="N38" s="407">
        <f t="shared" si="8"/>
        <v>1023.29516</v>
      </c>
      <c r="O38" s="407">
        <f t="shared" si="8"/>
        <v>1023.29516</v>
      </c>
      <c r="P38" s="407">
        <f t="shared" si="8"/>
        <v>1023.29516</v>
      </c>
      <c r="Q38" s="407">
        <f t="shared" si="8"/>
        <v>1023.29516</v>
      </c>
      <c r="R38" s="407">
        <f t="shared" si="8"/>
        <v>1023.29516</v>
      </c>
      <c r="S38" s="407">
        <f t="shared" si="8"/>
        <v>1023.29516</v>
      </c>
      <c r="T38" s="407">
        <f t="shared" si="8"/>
        <v>1023.29516</v>
      </c>
      <c r="U38" s="407">
        <f t="shared" si="8"/>
        <v>1023.29516</v>
      </c>
      <c r="V38" s="407">
        <f t="shared" si="8"/>
        <v>1023.29516</v>
      </c>
      <c r="W38" s="407"/>
      <c r="X38" s="407"/>
      <c r="Y38" s="407"/>
      <c r="Z38" s="407"/>
      <c r="AA38" s="269"/>
    </row>
    <row r="39" spans="1:27">
      <c r="A39" s="109"/>
      <c r="B39" s="109" t="s">
        <v>238</v>
      </c>
      <c r="C39" s="109"/>
      <c r="D39" s="109"/>
      <c r="E39" s="109"/>
      <c r="F39" s="259">
        <f>F8*'Project Assumptions'!$N$59</f>
        <v>58182.669815357578</v>
      </c>
      <c r="G39" s="259">
        <f>G8*'Project Assumptions'!$N$59</f>
        <v>56317.44064008836</v>
      </c>
      <c r="H39" s="259">
        <f>H8*'Project Assumptions'!$N$59</f>
        <v>52586.982289549924</v>
      </c>
      <c r="I39" s="259">
        <f>I8*'Project Assumptions'!$N$59</f>
        <v>48856.523939011488</v>
      </c>
      <c r="J39" s="259">
        <f>J8*'Project Assumptions'!$N$59</f>
        <v>45126.065588473051</v>
      </c>
      <c r="K39" s="259">
        <f>K8*'Project Assumptions'!$N$59</f>
        <v>41395.607237934615</v>
      </c>
      <c r="L39" s="259">
        <f>L8*'Project Assumptions'!$N$59</f>
        <v>37803.859159532127</v>
      </c>
      <c r="M39" s="259">
        <f>M8*'Project Assumptions'!$N$59</f>
        <v>34350.821353265586</v>
      </c>
      <c r="N39" s="259">
        <f>N8*'Project Assumptions'!$N$59</f>
        <v>30897.783546999046</v>
      </c>
      <c r="O39" s="259">
        <f>O8*'Project Assumptions'!$N$59</f>
        <v>27444.745740732506</v>
      </c>
      <c r="P39" s="259">
        <f>P8*'Project Assumptions'!$N$59</f>
        <v>23991.707934465965</v>
      </c>
      <c r="Q39" s="259">
        <f>Q8*'Project Assumptions'!$N$59</f>
        <v>20538.670128199425</v>
      </c>
      <c r="R39" s="259">
        <f>R8*'Project Assumptions'!$N$59</f>
        <v>17085.632321932884</v>
      </c>
      <c r="S39" s="259">
        <f>S8*'Project Assumptions'!$N$59</f>
        <v>13632.594515666344</v>
      </c>
      <c r="T39" s="259">
        <f>T8*'Project Assumptions'!$N$59</f>
        <v>10179.556709399803</v>
      </c>
      <c r="U39" s="259">
        <f>U8*'Project Assumptions'!$N$59</f>
        <v>6726.5189031332638</v>
      </c>
      <c r="V39" s="259">
        <f>V8*'Project Assumptions'!$N$59</f>
        <v>4999.9999999999945</v>
      </c>
      <c r="W39" s="389"/>
      <c r="X39" s="389"/>
      <c r="Y39" s="389"/>
      <c r="Z39" s="389"/>
      <c r="AA39" s="269"/>
    </row>
    <row r="40" spans="1:27">
      <c r="A40" s="109"/>
      <c r="B40" s="109"/>
      <c r="C40" s="109"/>
      <c r="D40" s="109"/>
      <c r="E40" s="109"/>
      <c r="F40" s="269"/>
      <c r="G40" s="389"/>
      <c r="H40" s="389"/>
      <c r="I40" s="389"/>
      <c r="J40" s="389"/>
      <c r="K40" s="389"/>
      <c r="L40" s="389"/>
      <c r="M40" s="389"/>
      <c r="N40" s="389"/>
      <c r="O40" s="389"/>
      <c r="P40" s="389"/>
      <c r="Q40" s="389"/>
      <c r="R40" s="389"/>
      <c r="S40" s="389"/>
      <c r="T40" s="389"/>
      <c r="U40" s="389"/>
      <c r="V40" s="389"/>
      <c r="W40" s="269"/>
      <c r="X40" s="269"/>
      <c r="Y40" s="269"/>
      <c r="Z40" s="269"/>
      <c r="AA40" s="269"/>
    </row>
    <row r="41" spans="1:27">
      <c r="A41" s="263" t="s">
        <v>137</v>
      </c>
      <c r="B41" s="109"/>
      <c r="C41" s="109"/>
      <c r="D41" s="109"/>
      <c r="E41" s="109"/>
      <c r="F41" s="259">
        <f>F38+F39</f>
        <v>59205.96497535758</v>
      </c>
      <c r="G41" s="408">
        <f t="shared" ref="G41:V41" si="9">SUM(G38:G39)</f>
        <v>57340.735800088361</v>
      </c>
      <c r="H41" s="408">
        <f t="shared" si="9"/>
        <v>53610.277449549925</v>
      </c>
      <c r="I41" s="408">
        <f t="shared" si="9"/>
        <v>49879.819099011489</v>
      </c>
      <c r="J41" s="408">
        <f t="shared" si="9"/>
        <v>46149.360748473053</v>
      </c>
      <c r="K41" s="408">
        <f t="shared" si="9"/>
        <v>42418.902397934617</v>
      </c>
      <c r="L41" s="408">
        <f t="shared" si="9"/>
        <v>38827.154319532128</v>
      </c>
      <c r="M41" s="408">
        <f t="shared" si="9"/>
        <v>35374.116513265588</v>
      </c>
      <c r="N41" s="408">
        <f t="shared" si="9"/>
        <v>31921.078706999047</v>
      </c>
      <c r="O41" s="408">
        <f t="shared" si="9"/>
        <v>28468.040900732507</v>
      </c>
      <c r="P41" s="408">
        <f t="shared" si="9"/>
        <v>25015.003094465967</v>
      </c>
      <c r="Q41" s="408">
        <f t="shared" si="9"/>
        <v>21561.965288199426</v>
      </c>
      <c r="R41" s="408">
        <f t="shared" si="9"/>
        <v>18108.927481932886</v>
      </c>
      <c r="S41" s="408">
        <f t="shared" si="9"/>
        <v>14655.889675666343</v>
      </c>
      <c r="T41" s="408">
        <f t="shared" si="9"/>
        <v>11202.851869399803</v>
      </c>
      <c r="U41" s="408">
        <f t="shared" si="9"/>
        <v>7749.8140631332635</v>
      </c>
      <c r="V41" s="408">
        <f t="shared" si="9"/>
        <v>6023.2951599999942</v>
      </c>
      <c r="W41" s="408"/>
      <c r="X41" s="408"/>
      <c r="Y41" s="408"/>
      <c r="Z41" s="408"/>
      <c r="AA41" s="269"/>
    </row>
    <row r="42" spans="1:27">
      <c r="A42" s="109"/>
      <c r="B42" s="109"/>
      <c r="C42" s="109"/>
      <c r="D42" s="109"/>
      <c r="E42" s="109"/>
      <c r="F42" s="259"/>
      <c r="G42" s="269"/>
      <c r="H42" s="269"/>
      <c r="I42" s="409"/>
      <c r="J42" s="409"/>
      <c r="K42" s="409"/>
      <c r="L42" s="409"/>
      <c r="M42" s="409"/>
      <c r="N42" s="409"/>
      <c r="O42" s="409"/>
      <c r="P42" s="409"/>
      <c r="Q42" s="409"/>
      <c r="R42" s="409"/>
      <c r="S42" s="409"/>
      <c r="T42" s="409"/>
      <c r="U42" s="409"/>
      <c r="V42" s="409"/>
      <c r="W42" s="269"/>
      <c r="X42" s="269"/>
      <c r="Y42" s="269"/>
      <c r="Z42" s="269"/>
      <c r="AA42" s="269"/>
    </row>
    <row r="43" spans="1:27">
      <c r="A43" s="263" t="s">
        <v>138</v>
      </c>
      <c r="B43" s="109"/>
      <c r="C43" s="109"/>
      <c r="D43" s="109"/>
      <c r="E43" s="109"/>
      <c r="F43" s="259"/>
      <c r="G43" s="408"/>
      <c r="H43" s="408"/>
      <c r="I43" s="408"/>
      <c r="J43" s="408"/>
      <c r="K43" s="408"/>
      <c r="L43" s="408"/>
      <c r="M43" s="408"/>
      <c r="N43" s="408"/>
      <c r="O43" s="408"/>
      <c r="P43" s="408"/>
      <c r="Q43" s="408"/>
      <c r="R43" s="408"/>
      <c r="S43" s="408"/>
      <c r="T43" s="408"/>
      <c r="U43" s="408"/>
      <c r="V43" s="408"/>
      <c r="W43" s="269"/>
      <c r="X43" s="269"/>
      <c r="Y43" s="269"/>
      <c r="Z43" s="269"/>
      <c r="AA43" s="269"/>
    </row>
    <row r="44" spans="1:27">
      <c r="A44" s="109"/>
      <c r="B44" s="109" t="s">
        <v>144</v>
      </c>
      <c r="C44" s="109"/>
      <c r="D44" s="109"/>
      <c r="E44" s="109"/>
      <c r="F44" s="259">
        <f>F13*'Project Assumptions'!$N$59</f>
        <v>0</v>
      </c>
      <c r="G44" s="409">
        <f>G13*'Project Assumptions'!$N$59</f>
        <v>0</v>
      </c>
      <c r="H44" s="409">
        <f>H13*'Project Assumptions'!$N$59</f>
        <v>0</v>
      </c>
      <c r="I44" s="409">
        <f>I13*'Project Assumptions'!$N$59</f>
        <v>0</v>
      </c>
      <c r="J44" s="409">
        <f>J13*'Project Assumptions'!$N$59</f>
        <v>0</v>
      </c>
      <c r="K44" s="409">
        <f>K13*'Project Assumptions'!$N$59</f>
        <v>0</v>
      </c>
      <c r="L44" s="409">
        <f>L13*'Project Assumptions'!$N$59</f>
        <v>0</v>
      </c>
      <c r="M44" s="409">
        <f>M13*'Project Assumptions'!$N$59</f>
        <v>0</v>
      </c>
      <c r="N44" s="409">
        <f>N13*'Project Assumptions'!$N$59</f>
        <v>0</v>
      </c>
      <c r="O44" s="409">
        <f>O13*'Project Assumptions'!$N$59</f>
        <v>0</v>
      </c>
      <c r="P44" s="409">
        <f>P13*'Project Assumptions'!$N$59</f>
        <v>0</v>
      </c>
      <c r="Q44" s="409">
        <f>Q13*'Project Assumptions'!$N$59</f>
        <v>0</v>
      </c>
      <c r="R44" s="409">
        <f>R13*'Project Assumptions'!$N$59</f>
        <v>0</v>
      </c>
      <c r="S44" s="409">
        <f>S13*'Project Assumptions'!$N$59</f>
        <v>0</v>
      </c>
      <c r="T44" s="409">
        <f>T13*'Project Assumptions'!$N$59</f>
        <v>0</v>
      </c>
      <c r="U44" s="409">
        <f>U13*'Project Assumptions'!$N$59</f>
        <v>0</v>
      </c>
      <c r="V44" s="409">
        <f>V13*'Project Assumptions'!$N$59</f>
        <v>0</v>
      </c>
      <c r="W44" s="409"/>
      <c r="X44" s="409"/>
      <c r="Y44" s="409"/>
      <c r="Z44" s="409"/>
      <c r="AA44" s="269"/>
    </row>
    <row r="45" spans="1:27">
      <c r="A45" s="109"/>
      <c r="B45" s="109" t="s">
        <v>139</v>
      </c>
      <c r="C45" s="109"/>
      <c r="D45" s="109"/>
      <c r="E45" s="109"/>
      <c r="F45" s="259">
        <f>F14*'Project Assumptions'!$N$59</f>
        <v>56672.463870611457</v>
      </c>
      <c r="G45" s="407">
        <f>G14*'Project Assumptions'!$N$59</f>
        <v>55481.25065619743</v>
      </c>
      <c r="H45" s="407">
        <f>H14*'Project Assumptions'!$N$59</f>
        <v>52990.542946179135</v>
      </c>
      <c r="I45" s="407">
        <f>I14*'Project Assumptions'!$N$59</f>
        <v>50348.151136620727</v>
      </c>
      <c r="J45" s="407">
        <f>J14*'Project Assumptions'!$N$59</f>
        <v>47544.837665860214</v>
      </c>
      <c r="K45" s="407">
        <f>K14*'Project Assumptions'!$N$59</f>
        <v>44570.802404730384</v>
      </c>
      <c r="L45" s="407">
        <f>L14*'Project Assumptions'!$N$59</f>
        <v>41415.64839619775</v>
      </c>
      <c r="M45" s="407">
        <f>M14*'Project Assumptions'!$N$59</f>
        <v>38068.345508545477</v>
      </c>
      <c r="N45" s="407">
        <f>N14*'Project Assumptions'!$N$59</f>
        <v>34517.191875035183</v>
      </c>
      <c r="O45" s="407">
        <f>O14*'Project Assumptions'!$N$59</f>
        <v>30749.772985244112</v>
      </c>
      <c r="P45" s="407">
        <f>P14*'Project Assumptions'!$N$59</f>
        <v>26752.918285064763</v>
      </c>
      <c r="Q45" s="407">
        <f>Q14*'Project Assumptions'!$N$59</f>
        <v>22512.65513364449</v>
      </c>
      <c r="R45" s="407">
        <f>R14*'Project Assumptions'!$N$59</f>
        <v>18014.159956302727</v>
      </c>
      <c r="S45" s="407">
        <f>S14*'Project Assumptions'!$N$59</f>
        <v>13241.706422660849</v>
      </c>
      <c r="T45" s="407">
        <f>T14*'Project Assumptions'!$N$59</f>
        <v>8178.6104688201794</v>
      </c>
      <c r="U45" s="407">
        <f>U14*'Project Assumptions'!$N$59</f>
        <v>2807.1719713906132</v>
      </c>
      <c r="V45" s="407">
        <f>V14*'Project Assumptions'!$N$59</f>
        <v>-4.0017766878008842E-11</v>
      </c>
      <c r="W45" s="407"/>
      <c r="X45" s="407"/>
      <c r="Y45" s="407"/>
      <c r="Z45" s="407"/>
      <c r="AA45" s="269"/>
    </row>
    <row r="46" spans="1:27">
      <c r="A46" s="109"/>
      <c r="B46" s="109" t="s">
        <v>271</v>
      </c>
      <c r="C46" s="109"/>
      <c r="D46" s="109"/>
      <c r="E46" s="109"/>
      <c r="F46" s="259">
        <f>F15*'Project Assumptions'!$N$59</f>
        <v>0</v>
      </c>
      <c r="G46" s="407">
        <f>G15*'Project Assumptions'!$N$59</f>
        <v>0</v>
      </c>
      <c r="H46" s="407">
        <f>H15*'Project Assumptions'!$N$59</f>
        <v>0</v>
      </c>
      <c r="I46" s="407">
        <f>I15*'Project Assumptions'!$N$59</f>
        <v>0</v>
      </c>
      <c r="J46" s="407">
        <f>J15*'Project Assumptions'!$N$59</f>
        <v>0</v>
      </c>
      <c r="K46" s="407">
        <f>K15*'Project Assumptions'!$N$59</f>
        <v>0</v>
      </c>
      <c r="L46" s="407">
        <f>L15*'Project Assumptions'!$N$59</f>
        <v>0</v>
      </c>
      <c r="M46" s="407">
        <f>M15*'Project Assumptions'!$N$59</f>
        <v>0</v>
      </c>
      <c r="N46" s="407">
        <f>N15*'Project Assumptions'!$N$59</f>
        <v>0</v>
      </c>
      <c r="O46" s="407">
        <f>O15*'Project Assumptions'!$N$59</f>
        <v>0</v>
      </c>
      <c r="P46" s="407">
        <f>P15*'Project Assumptions'!$N$59</f>
        <v>0</v>
      </c>
      <c r="Q46" s="407">
        <f>Q15*'Project Assumptions'!$N$59</f>
        <v>0</v>
      </c>
      <c r="R46" s="407">
        <f>R15*'Project Assumptions'!$N$59</f>
        <v>0</v>
      </c>
      <c r="S46" s="407">
        <f>S15*'Project Assumptions'!$N$59</f>
        <v>0</v>
      </c>
      <c r="T46" s="407">
        <f>T15*'Project Assumptions'!$N$59</f>
        <v>0</v>
      </c>
      <c r="U46" s="407">
        <f>U15*'Project Assumptions'!$N$59</f>
        <v>0</v>
      </c>
      <c r="V46" s="407">
        <f>V15*'Project Assumptions'!$N$59</f>
        <v>0</v>
      </c>
      <c r="W46" s="407"/>
      <c r="X46" s="407"/>
      <c r="Y46" s="407"/>
      <c r="Z46" s="407"/>
      <c r="AA46" s="269"/>
    </row>
    <row r="47" spans="1:27">
      <c r="A47" s="263" t="s">
        <v>140</v>
      </c>
      <c r="B47" s="109"/>
      <c r="C47" s="269"/>
      <c r="D47" s="109"/>
      <c r="E47" s="109"/>
      <c r="F47" s="259">
        <f t="shared" ref="F47:V47" si="10">SUM(F44:F46)</f>
        <v>56672.463870611457</v>
      </c>
      <c r="G47" s="259">
        <f t="shared" si="10"/>
        <v>55481.25065619743</v>
      </c>
      <c r="H47" s="259">
        <f t="shared" si="10"/>
        <v>52990.542946179135</v>
      </c>
      <c r="I47" s="259">
        <f t="shared" si="10"/>
        <v>50348.151136620727</v>
      </c>
      <c r="J47" s="259">
        <f t="shared" si="10"/>
        <v>47544.837665860214</v>
      </c>
      <c r="K47" s="259">
        <f t="shared" si="10"/>
        <v>44570.802404730384</v>
      </c>
      <c r="L47" s="259">
        <f t="shared" si="10"/>
        <v>41415.64839619775</v>
      </c>
      <c r="M47" s="259">
        <f t="shared" si="10"/>
        <v>38068.345508545477</v>
      </c>
      <c r="N47" s="259">
        <f t="shared" si="10"/>
        <v>34517.191875035183</v>
      </c>
      <c r="O47" s="259">
        <f t="shared" si="10"/>
        <v>30749.772985244112</v>
      </c>
      <c r="P47" s="259">
        <f t="shared" si="10"/>
        <v>26752.918285064763</v>
      </c>
      <c r="Q47" s="259">
        <f t="shared" si="10"/>
        <v>22512.65513364449</v>
      </c>
      <c r="R47" s="259">
        <f t="shared" si="10"/>
        <v>18014.159956302727</v>
      </c>
      <c r="S47" s="259">
        <f t="shared" si="10"/>
        <v>13241.706422660849</v>
      </c>
      <c r="T47" s="259">
        <f t="shared" si="10"/>
        <v>8178.6104688201794</v>
      </c>
      <c r="U47" s="259">
        <f t="shared" si="10"/>
        <v>2807.1719713906132</v>
      </c>
      <c r="V47" s="259">
        <f t="shared" si="10"/>
        <v>-4.0017766878008842E-11</v>
      </c>
      <c r="W47" s="409"/>
      <c r="X47" s="409"/>
      <c r="Y47" s="409"/>
      <c r="Z47" s="409"/>
      <c r="AA47" s="269"/>
    </row>
    <row r="48" spans="1:27">
      <c r="A48" s="109"/>
      <c r="B48" s="109"/>
      <c r="C48" s="109"/>
      <c r="D48" s="109"/>
      <c r="E48" s="109"/>
      <c r="F48" s="259"/>
      <c r="G48" s="407"/>
      <c r="H48" s="407"/>
      <c r="I48" s="407"/>
      <c r="J48" s="407"/>
      <c r="K48" s="407"/>
      <c r="L48" s="407"/>
      <c r="M48" s="407"/>
      <c r="N48" s="407"/>
      <c r="O48" s="407"/>
      <c r="P48" s="407"/>
      <c r="Q48" s="407"/>
      <c r="R48" s="407"/>
      <c r="S48" s="407"/>
      <c r="T48" s="407"/>
      <c r="U48" s="407"/>
      <c r="V48" s="407"/>
      <c r="W48" s="269"/>
      <c r="X48" s="269"/>
      <c r="Y48" s="269"/>
      <c r="Z48" s="269"/>
      <c r="AA48" s="269"/>
    </row>
    <row r="49" spans="1:27">
      <c r="A49" s="263" t="s">
        <v>149</v>
      </c>
      <c r="B49" s="109"/>
      <c r="C49" s="109"/>
      <c r="D49" s="109"/>
      <c r="E49" s="109"/>
      <c r="F49" s="25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  <c r="AA49" s="269"/>
    </row>
    <row r="50" spans="1:27">
      <c r="A50" s="109"/>
      <c r="B50" s="109" t="s">
        <v>141</v>
      </c>
      <c r="C50" s="109"/>
      <c r="D50" s="109"/>
      <c r="E50" s="109"/>
      <c r="F50" s="259">
        <v>1963</v>
      </c>
      <c r="G50" s="259">
        <f ca="1">$F$50+(SUM('Cash Flow Statement'!$D$17:'Cash Flow Statement'!D17))</f>
        <v>1963</v>
      </c>
      <c r="H50" s="259">
        <f ca="1">$F$50+(SUM('Cash Flow Statement'!$D$17:'Cash Flow Statement'!E17))</f>
        <v>1963</v>
      </c>
      <c r="I50" s="259">
        <f ca="1">$F$50+(SUM('Cash Flow Statement'!$D$17:'Cash Flow Statement'!F17))</f>
        <v>1963</v>
      </c>
      <c r="J50" s="259">
        <f ca="1">$F$50+(SUM('Cash Flow Statement'!$D$17:'Cash Flow Statement'!G17))</f>
        <v>1963</v>
      </c>
      <c r="K50" s="259">
        <f ca="1">$F$50+(SUM('Cash Flow Statement'!$D$17:'Cash Flow Statement'!H17))</f>
        <v>1963</v>
      </c>
      <c r="L50" s="259">
        <f ca="1">$F$50+(SUM('Cash Flow Statement'!$D$17:'Cash Flow Statement'!I17))</f>
        <v>1963</v>
      </c>
      <c r="M50" s="259">
        <f ca="1">$F$50+(SUM('Cash Flow Statement'!$D$17:'Cash Flow Statement'!J17))</f>
        <v>1963</v>
      </c>
      <c r="N50" s="259">
        <f ca="1">$F$50+(SUM('Cash Flow Statement'!$D$17:'Cash Flow Statement'!K17))</f>
        <v>1963</v>
      </c>
      <c r="O50" s="259">
        <f ca="1">$F$50+(SUM('Cash Flow Statement'!$D$17:'Cash Flow Statement'!L17))</f>
        <v>1963</v>
      </c>
      <c r="P50" s="259">
        <f ca="1">$F$50+(SUM('Cash Flow Statement'!$D$17:'Cash Flow Statement'!M17))</f>
        <v>1963</v>
      </c>
      <c r="Q50" s="259">
        <f ca="1">$F$50+(SUM('Cash Flow Statement'!$D$17:'Cash Flow Statement'!N17))</f>
        <v>1963</v>
      </c>
      <c r="R50" s="259">
        <f ca="1">$F$50+(SUM('Cash Flow Statement'!$D$17:'Cash Flow Statement'!O17))</f>
        <v>1963</v>
      </c>
      <c r="S50" s="259">
        <f ca="1">$F$50+(SUM('Cash Flow Statement'!$D$17:'Cash Flow Statement'!P17))</f>
        <v>1963</v>
      </c>
      <c r="T50" s="259">
        <f ca="1">$F$50+(SUM('Cash Flow Statement'!$D$17:'Cash Flow Statement'!Q17))</f>
        <v>1963</v>
      </c>
      <c r="U50" s="259">
        <f ca="1">$F$50+(SUM('Cash Flow Statement'!$D$17:'Cash Flow Statement'!R17))</f>
        <v>1963</v>
      </c>
      <c r="V50" s="259">
        <f ca="1">$F$50+(SUM('Cash Flow Statement'!$D$17:'Cash Flow Statement'!S17))</f>
        <v>1963</v>
      </c>
      <c r="W50" s="407"/>
      <c r="X50" s="407"/>
      <c r="Y50" s="407"/>
      <c r="Z50" s="407"/>
      <c r="AA50" s="269"/>
    </row>
    <row r="51" spans="1:27">
      <c r="A51" s="109"/>
      <c r="B51" s="109" t="s">
        <v>146</v>
      </c>
      <c r="C51" s="109"/>
      <c r="D51" s="109"/>
      <c r="E51" s="109"/>
      <c r="F51" s="260">
        <v>0</v>
      </c>
      <c r="G51" s="389">
        <f>G20*'Project Assumptions'!$N$59</f>
        <v>-179.39815544354224</v>
      </c>
      <c r="H51" s="389">
        <f>H20*'Project Assumptions'!$N$59</f>
        <v>-998.82693893749456</v>
      </c>
      <c r="I51" s="389">
        <f>I20*'Project Assumptions'!$N$59</f>
        <v>-848.01572061496154</v>
      </c>
      <c r="J51" s="389">
        <f>J20*'Project Assumptions'!$N$59</f>
        <v>-687.44088272126191</v>
      </c>
      <c r="K51" s="389">
        <f>K20*'Project Assumptions'!$N$59</f>
        <v>-517.69449966213006</v>
      </c>
      <c r="L51" s="389">
        <f>L20*'Project Assumptions'!$N$59</f>
        <v>-198.32443967297604</v>
      </c>
      <c r="M51" s="389">
        <f>M20*'Project Assumptions'!$N$59</f>
        <v>130.86190779838489</v>
      </c>
      <c r="N51" s="389">
        <f>N20*'Project Assumptions'!$N$59</f>
        <v>332.68284497678178</v>
      </c>
      <c r="O51" s="389">
        <f>O20*'Project Assumptions'!$N$59</f>
        <v>547.41774714603503</v>
      </c>
      <c r="P51" s="389">
        <f>P20*'Project Assumptions'!$N$59</f>
        <v>774.66622248684416</v>
      </c>
      <c r="Q51" s="389">
        <f>Q20*'Project Assumptions'!$N$59</f>
        <v>1015.7984857148404</v>
      </c>
      <c r="R51" s="389">
        <f>R20*'Project Assumptions'!$N$59</f>
        <v>1271.370646489308</v>
      </c>
      <c r="S51" s="389">
        <f>S20*'Project Assumptions'!$N$59</f>
        <v>1542.8526481862013</v>
      </c>
      <c r="T51" s="389">
        <f>T20*'Project Assumptions'!$N$59</f>
        <v>1830.9064010841403</v>
      </c>
      <c r="U51" s="389">
        <f>U20*'Project Assumptions'!$N$59</f>
        <v>2136.251594639416</v>
      </c>
      <c r="V51" s="389">
        <f>V20*'Project Assumptions'!$N$59</f>
        <v>7248.1485702336204</v>
      </c>
      <c r="W51" s="389"/>
      <c r="X51" s="389"/>
      <c r="Y51" s="389"/>
      <c r="Z51" s="389"/>
      <c r="AA51" s="269"/>
    </row>
    <row r="52" spans="1:27">
      <c r="A52" s="109"/>
      <c r="B52" s="109" t="s">
        <v>143</v>
      </c>
      <c r="C52" s="109"/>
      <c r="D52" s="109"/>
      <c r="E52" s="109"/>
      <c r="F52" s="260">
        <v>0</v>
      </c>
      <c r="G52" s="389">
        <f>G21*'Project Assumptions'!$N$59</f>
        <v>209.98375338429241</v>
      </c>
      <c r="H52" s="389">
        <f>H21*'Project Assumptions'!$N$59</f>
        <v>547.10470346213424</v>
      </c>
      <c r="I52" s="389">
        <f>I21*'Project Assumptions'!$N$59</f>
        <v>295.53196660417689</v>
      </c>
      <c r="J52" s="389">
        <f>J21*'Project Assumptions'!$N$59</f>
        <v>293.1321129360731</v>
      </c>
      <c r="K52" s="389">
        <f>K21*'Project Assumptions'!$N$59</f>
        <v>271.21809508027127</v>
      </c>
      <c r="L52" s="389">
        <f>L21*'Project Assumptions'!$N$59</f>
        <v>270.70988167899395</v>
      </c>
      <c r="M52" s="389">
        <f>M21*'Project Assumptions'!$N$59</f>
        <v>269.09491270053786</v>
      </c>
      <c r="N52" s="389">
        <f>N21*'Project Assumptions'!$N$59</f>
        <v>250.96735455104408</v>
      </c>
      <c r="O52" s="389">
        <f>O21*'Project Assumptions'!$N$59</f>
        <v>251.5366631218576</v>
      </c>
      <c r="P52" s="389">
        <f>P21*'Project Assumptions'!$N$59</f>
        <v>251.57686021408244</v>
      </c>
      <c r="Q52" s="389">
        <f>Q21*'Project Assumptions'!$N$59</f>
        <v>251.66386104815501</v>
      </c>
      <c r="R52" s="389">
        <f>R21*'Project Assumptions'!$N$59</f>
        <v>251.51110294891078</v>
      </c>
      <c r="S52" s="389">
        <f>S21*'Project Assumptions'!$N$59</f>
        <v>251.69453821268235</v>
      </c>
      <c r="T52" s="389">
        <f>T21*'Project Assumptions'!$N$59</f>
        <v>251.92764198172245</v>
      </c>
      <c r="U52" s="389">
        <f>U21*'Project Assumptions'!$N$59</f>
        <v>251.92390887614783</v>
      </c>
      <c r="V52" s="389">
        <f>V21*'Project Assumptions'!$N$59</f>
        <v>6144.4881591589601</v>
      </c>
      <c r="W52" s="389"/>
      <c r="X52" s="389"/>
      <c r="Y52" s="389"/>
      <c r="Z52" s="389"/>
      <c r="AA52" s="269"/>
    </row>
    <row r="53" spans="1:27">
      <c r="A53" s="109"/>
      <c r="B53" s="109" t="s">
        <v>147</v>
      </c>
      <c r="C53" s="109"/>
      <c r="D53" s="109"/>
      <c r="E53" s="109"/>
      <c r="F53" s="260"/>
      <c r="G53" s="389">
        <f>G22*'Project Assumptions'!$N$59</f>
        <v>-389.38190882783465</v>
      </c>
      <c r="H53" s="389">
        <f>H22*'Project Assumptions'!$N$59</f>
        <v>-1935.3135512274634</v>
      </c>
      <c r="I53" s="389">
        <f>I22*'Project Assumptions'!$N$59</f>
        <v>-3078.8612384466019</v>
      </c>
      <c r="J53" s="389">
        <f>J22*'Project Assumptions'!$N$59</f>
        <v>-4059.4342341039369</v>
      </c>
      <c r="K53" s="389">
        <f>K22*'Project Assumptions'!$N$59</f>
        <v>-4848.3468288463382</v>
      </c>
      <c r="L53" s="389">
        <f>L22*'Project Assumptions'!$N$59</f>
        <v>-5317.3811501983082</v>
      </c>
      <c r="M53" s="389">
        <f>M22*'Project Assumptions'!$N$59</f>
        <v>-5455.6141551004612</v>
      </c>
      <c r="N53" s="389">
        <f>N22*'Project Assumptions'!$N$59</f>
        <v>-5373.8986646747235</v>
      </c>
      <c r="O53" s="389">
        <f>O22*'Project Assumptions'!$N$59</f>
        <v>-5078.0175806505458</v>
      </c>
      <c r="P53" s="389">
        <f>P22*'Project Assumptions'!$N$59</f>
        <v>-4554.9282183777841</v>
      </c>
      <c r="Q53" s="389">
        <f>Q22*'Project Assumptions'!$N$59</f>
        <v>-3790.7935937110988</v>
      </c>
      <c r="R53" s="389">
        <f>R22*'Project Assumptions'!$N$59</f>
        <v>-2770.9340501707015</v>
      </c>
      <c r="S53" s="389">
        <f>S22*'Project Assumptions'!$N$59</f>
        <v>-1479.7759401971825</v>
      </c>
      <c r="T53" s="389">
        <f>T22*'Project Assumptions'!$N$59</f>
        <v>99.20281890523529</v>
      </c>
      <c r="U53" s="389">
        <f>U22*'Project Assumptions'!$N$59</f>
        <v>1983.5305046685035</v>
      </c>
      <c r="V53" s="389">
        <f>V22*'Project Assumptions'!$N$59</f>
        <v>3087.1909157431637</v>
      </c>
      <c r="W53" s="389"/>
      <c r="X53" s="389"/>
      <c r="Y53" s="389"/>
      <c r="Z53" s="389"/>
      <c r="AA53" s="269"/>
    </row>
    <row r="54" spans="1:27">
      <c r="A54" s="109"/>
      <c r="B54" s="109" t="s">
        <v>142</v>
      </c>
      <c r="C54" s="109"/>
      <c r="D54" s="109"/>
      <c r="E54" s="109"/>
      <c r="F54" s="259">
        <f t="shared" ref="F54:V54" si="11">F50+F53</f>
        <v>1963</v>
      </c>
      <c r="G54" s="259">
        <f t="shared" ca="1" si="11"/>
        <v>1573.6180911721654</v>
      </c>
      <c r="H54" s="259">
        <f t="shared" ca="1" si="11"/>
        <v>27.686448772536551</v>
      </c>
      <c r="I54" s="259">
        <f t="shared" ca="1" si="11"/>
        <v>-1115.8612384466019</v>
      </c>
      <c r="J54" s="259">
        <f t="shared" ca="1" si="11"/>
        <v>-2096.4342341039369</v>
      </c>
      <c r="K54" s="259">
        <f t="shared" ca="1" si="11"/>
        <v>-2885.3468288463382</v>
      </c>
      <c r="L54" s="259">
        <f t="shared" ca="1" si="11"/>
        <v>-3354.3811501983082</v>
      </c>
      <c r="M54" s="259">
        <f t="shared" ca="1" si="11"/>
        <v>-3492.6141551004612</v>
      </c>
      <c r="N54" s="259">
        <f t="shared" ca="1" si="11"/>
        <v>-3410.8986646747235</v>
      </c>
      <c r="O54" s="259">
        <f t="shared" ca="1" si="11"/>
        <v>-3115.0175806505458</v>
      </c>
      <c r="P54" s="259">
        <f t="shared" ca="1" si="11"/>
        <v>-2591.9282183777841</v>
      </c>
      <c r="Q54" s="259">
        <f t="shared" ca="1" si="11"/>
        <v>-1827.7935937110988</v>
      </c>
      <c r="R54" s="259">
        <f t="shared" ca="1" si="11"/>
        <v>-807.93405017070154</v>
      </c>
      <c r="S54" s="259">
        <f t="shared" ca="1" si="11"/>
        <v>483.22405980281746</v>
      </c>
      <c r="T54" s="259">
        <f t="shared" ca="1" si="11"/>
        <v>2062.2028189052353</v>
      </c>
      <c r="U54" s="259">
        <f t="shared" ca="1" si="11"/>
        <v>3946.5305046685035</v>
      </c>
      <c r="V54" s="259">
        <f t="shared" ca="1" si="11"/>
        <v>5050.1909157431637</v>
      </c>
      <c r="W54" s="259"/>
      <c r="X54" s="259"/>
      <c r="Y54" s="259"/>
      <c r="Z54" s="259"/>
      <c r="AA54" s="269"/>
    </row>
    <row r="55" spans="1:27">
      <c r="A55" s="109"/>
      <c r="B55" s="109"/>
      <c r="C55" s="109"/>
      <c r="D55" s="109"/>
      <c r="E55" s="109"/>
      <c r="F55" s="259"/>
      <c r="G55" s="269"/>
      <c r="H55" s="269"/>
      <c r="I55" s="269"/>
      <c r="J55" s="269"/>
      <c r="K55" s="269"/>
      <c r="L55" s="269"/>
      <c r="M55" s="269"/>
      <c r="N55" s="269"/>
      <c r="O55" s="269"/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  <c r="AA55" s="269"/>
    </row>
    <row r="56" spans="1:27">
      <c r="A56" s="263" t="s">
        <v>150</v>
      </c>
      <c r="B56" s="109"/>
      <c r="C56" s="109"/>
      <c r="D56" s="109"/>
      <c r="E56" s="109"/>
      <c r="F56" s="261">
        <f>F47+F54</f>
        <v>58635.463870611457</v>
      </c>
      <c r="G56" s="409">
        <f ca="1">G47+G54</f>
        <v>57054.868747369597</v>
      </c>
      <c r="H56" s="409">
        <f t="shared" ref="H56:V56" ca="1" si="12">H47+H54</f>
        <v>53018.229394951675</v>
      </c>
      <c r="I56" s="409">
        <f t="shared" ca="1" si="12"/>
        <v>49232.289898174124</v>
      </c>
      <c r="J56" s="409">
        <f t="shared" ca="1" si="12"/>
        <v>45448.403431756276</v>
      </c>
      <c r="K56" s="409">
        <f t="shared" ca="1" si="12"/>
        <v>41685.455575884043</v>
      </c>
      <c r="L56" s="409">
        <f t="shared" ca="1" si="12"/>
        <v>38061.267245999443</v>
      </c>
      <c r="M56" s="409">
        <f t="shared" ca="1" si="12"/>
        <v>34575.731353445015</v>
      </c>
      <c r="N56" s="409">
        <f t="shared" ca="1" si="12"/>
        <v>31106.293210360462</v>
      </c>
      <c r="O56" s="409">
        <f t="shared" ca="1" si="12"/>
        <v>27634.755404593565</v>
      </c>
      <c r="P56" s="409">
        <f t="shared" ca="1" si="12"/>
        <v>24160.99006668698</v>
      </c>
      <c r="Q56" s="409">
        <f t="shared" ca="1" si="12"/>
        <v>20684.86153993339</v>
      </c>
      <c r="R56" s="409">
        <f t="shared" ca="1" si="12"/>
        <v>17206.225906132026</v>
      </c>
      <c r="S56" s="409">
        <f t="shared" ca="1" si="12"/>
        <v>13724.930482463667</v>
      </c>
      <c r="T56" s="409">
        <f t="shared" ca="1" si="12"/>
        <v>10240.813287725414</v>
      </c>
      <c r="U56" s="409">
        <f t="shared" ca="1" si="12"/>
        <v>6753.7024760591166</v>
      </c>
      <c r="V56" s="409">
        <f t="shared" ca="1" si="12"/>
        <v>5050.1909157431237</v>
      </c>
      <c r="W56" s="409"/>
      <c r="X56" s="409"/>
      <c r="Y56" s="409"/>
      <c r="Z56" s="409"/>
      <c r="AA56" s="269"/>
    </row>
    <row r="57" spans="1:27">
      <c r="A57" s="109"/>
      <c r="B57" s="109"/>
      <c r="C57" s="109"/>
      <c r="D57" s="109"/>
      <c r="E57" s="109"/>
      <c r="F57" s="259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</row>
    <row r="58" spans="1:27">
      <c r="A58" s="269"/>
      <c r="B58" s="269"/>
      <c r="C58" s="269"/>
      <c r="D58" s="269"/>
      <c r="E58" s="269"/>
      <c r="F58" s="407">
        <f>F41-F56</f>
        <v>570.50110474612302</v>
      </c>
      <c r="G58" s="407">
        <f t="shared" ref="G58:V58" ca="1" si="13">G41-G56</f>
        <v>285.86705271876417</v>
      </c>
      <c r="H58" s="407">
        <f t="shared" ca="1" si="13"/>
        <v>592.04805459825002</v>
      </c>
      <c r="I58" s="407">
        <f t="shared" ca="1" si="13"/>
        <v>647.52920083736535</v>
      </c>
      <c r="J58" s="407">
        <f t="shared" ca="1" si="13"/>
        <v>700.9573167167764</v>
      </c>
      <c r="K58" s="407">
        <f t="shared" ca="1" si="13"/>
        <v>733.44682205057325</v>
      </c>
      <c r="L58" s="407">
        <f t="shared" ca="1" si="13"/>
        <v>765.88707353268546</v>
      </c>
      <c r="M58" s="407">
        <f t="shared" ca="1" si="13"/>
        <v>798.38515982057288</v>
      </c>
      <c r="N58" s="407">
        <f t="shared" ca="1" si="13"/>
        <v>814.78549663858576</v>
      </c>
      <c r="O58" s="407">
        <f t="shared" ca="1" si="13"/>
        <v>833.28549613894211</v>
      </c>
      <c r="P58" s="407">
        <f t="shared" ca="1" si="13"/>
        <v>854.01302777898673</v>
      </c>
      <c r="Q58" s="407">
        <f t="shared" ca="1" si="13"/>
        <v>877.10374826603584</v>
      </c>
      <c r="R58" s="407">
        <f t="shared" ca="1" si="13"/>
        <v>902.70157580086016</v>
      </c>
      <c r="S58" s="407">
        <f t="shared" ca="1" si="13"/>
        <v>930.95919320267603</v>
      </c>
      <c r="T58" s="407">
        <f t="shared" ca="1" si="13"/>
        <v>962.03858167438921</v>
      </c>
      <c r="U58" s="407">
        <f t="shared" ca="1" si="13"/>
        <v>996.11158707414688</v>
      </c>
      <c r="V58" s="407">
        <f t="shared" ca="1" si="13"/>
        <v>973.10424425687052</v>
      </c>
      <c r="W58" s="407"/>
      <c r="X58" s="407"/>
      <c r="Y58" s="407"/>
      <c r="Z58" s="407"/>
      <c r="AA58" s="269"/>
    </row>
  </sheetData>
  <printOptions horizontalCentered="1" verticalCentered="1"/>
  <pageMargins left="0.75" right="0.75" top="1" bottom="1" header="0.5" footer="0.5"/>
  <pageSetup scale="60" orientation="landscape" verticalDpi="300" r:id="rId1"/>
  <headerFooter alignWithMargins="0">
    <oddFooter>&amp;L&amp;D   &amp;T&amp;R&amp;A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T62"/>
  <sheetViews>
    <sheetView zoomScaleNormal="75" zoomScaleSheetLayoutView="75" workbookViewId="0"/>
  </sheetViews>
  <sheetFormatPr defaultRowHeight="13.2"/>
  <cols>
    <col min="1" max="1" width="30.5546875" customWidth="1"/>
    <col min="2" max="2" width="17.33203125" customWidth="1"/>
    <col min="19" max="19" width="10.44140625" bestFit="1" customWidth="1"/>
  </cols>
  <sheetData>
    <row r="1" spans="1:228" ht="24.6">
      <c r="A1" s="438" t="str">
        <f>'Project Assumptions'!$A$2</f>
        <v>PROJECT DOYLE</v>
      </c>
    </row>
    <row r="2" spans="1:228" ht="17.399999999999999">
      <c r="A2" s="439" t="s">
        <v>4</v>
      </c>
    </row>
    <row r="3" spans="1:228" s="1" customFormat="1" ht="12.6" customHeight="1">
      <c r="A3" s="33"/>
      <c r="B3"/>
      <c r="C3" s="5">
        <f>'Book Income Statement'!C3</f>
        <v>1</v>
      </c>
      <c r="D3" s="1">
        <f>'Book Income Statement'!D3</f>
        <v>2</v>
      </c>
      <c r="E3" s="1">
        <f>'Book Income Statement'!E3</f>
        <v>3</v>
      </c>
      <c r="F3" s="1">
        <f>'Book Income Statement'!F3</f>
        <v>4</v>
      </c>
      <c r="G3" s="1">
        <f>'Book Income Statement'!G3</f>
        <v>5</v>
      </c>
      <c r="H3" s="1">
        <f>'Book Income Statement'!H3</f>
        <v>6</v>
      </c>
      <c r="I3" s="3">
        <f>'Book Income Statement'!I3</f>
        <v>7</v>
      </c>
      <c r="J3" s="1">
        <f>'Book Income Statement'!J3</f>
        <v>8</v>
      </c>
      <c r="K3" s="1">
        <f>'Book Income Statement'!K3</f>
        <v>9</v>
      </c>
      <c r="L3" s="1">
        <f>'Book Income Statement'!L3</f>
        <v>10</v>
      </c>
      <c r="M3" s="1">
        <f>'Book Income Statement'!M3</f>
        <v>11</v>
      </c>
      <c r="N3" s="1">
        <f>'Book Income Statement'!N3</f>
        <v>12</v>
      </c>
      <c r="O3" s="3">
        <f>'Book Income Statement'!O3</f>
        <v>13</v>
      </c>
      <c r="P3" s="1">
        <f>'Book Income Statement'!P3</f>
        <v>14</v>
      </c>
      <c r="Q3" s="1">
        <f>'Book Income Statement'!Q3</f>
        <v>15</v>
      </c>
      <c r="R3" s="1">
        <f>'Book Income Statement'!R3</f>
        <v>16</v>
      </c>
      <c r="S3"/>
      <c r="T3"/>
      <c r="U3"/>
      <c r="V3"/>
      <c r="W3"/>
      <c r="X3"/>
      <c r="Y3"/>
      <c r="Z3"/>
      <c r="AA3"/>
      <c r="AC3" s="9"/>
      <c r="AD3"/>
    </row>
    <row r="4" spans="1:228" s="1" customFormat="1" ht="12.6" customHeight="1">
      <c r="A4" s="2"/>
      <c r="C4" s="60">
        <f>'Book Income Statement'!C4</f>
        <v>2000</v>
      </c>
      <c r="D4" s="60">
        <f>'Book Income Statement'!D4</f>
        <v>2001</v>
      </c>
      <c r="E4" s="60">
        <f>'Book Income Statement'!E4</f>
        <v>2002</v>
      </c>
      <c r="F4" s="60">
        <f>'Book Income Statement'!F4</f>
        <v>2003</v>
      </c>
      <c r="G4" s="60">
        <f>'Book Income Statement'!G4</f>
        <v>2004</v>
      </c>
      <c r="H4" s="60">
        <f>'Book Income Statement'!H4</f>
        <v>2005</v>
      </c>
      <c r="I4" s="60">
        <f>'Book Income Statement'!I4</f>
        <v>2006</v>
      </c>
      <c r="J4" s="60">
        <f>'Book Income Statement'!J4</f>
        <v>2007</v>
      </c>
      <c r="K4" s="60">
        <f>'Book Income Statement'!K4</f>
        <v>2008</v>
      </c>
      <c r="L4" s="60">
        <f>'Book Income Statement'!L4</f>
        <v>2009</v>
      </c>
      <c r="M4" s="60">
        <f>'Book Income Statement'!M4</f>
        <v>2010</v>
      </c>
      <c r="N4" s="60">
        <f>'Book Income Statement'!N4</f>
        <v>2011</v>
      </c>
      <c r="O4" s="60">
        <f>'Book Income Statement'!O4</f>
        <v>2012</v>
      </c>
      <c r="P4" s="60">
        <f>'Book Income Statement'!P4</f>
        <v>2013</v>
      </c>
      <c r="Q4" s="60">
        <f>'Book Income Statement'!Q4</f>
        <v>2014</v>
      </c>
      <c r="R4" s="60">
        <f>'Book Income Statement'!R4</f>
        <v>2015</v>
      </c>
      <c r="S4"/>
      <c r="T4"/>
      <c r="U4"/>
      <c r="V4"/>
      <c r="W4"/>
      <c r="X4"/>
      <c r="Y4"/>
      <c r="Z4"/>
      <c r="AA4"/>
      <c r="AB4" s="60"/>
      <c r="AC4" s="60"/>
      <c r="AD4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228" s="1" customFormat="1" ht="12.6" customHeight="1">
      <c r="A5" s="329" t="s">
        <v>170</v>
      </c>
      <c r="C5" s="171">
        <f>'Book Income Statement'!C5</f>
        <v>6.3250000000000002</v>
      </c>
      <c r="D5" s="171">
        <f>'Book Income Statement'!D5</f>
        <v>12</v>
      </c>
      <c r="E5" s="171">
        <f>'Book Income Statement'!E5</f>
        <v>12</v>
      </c>
      <c r="F5" s="171">
        <f>'Book Income Statement'!F5</f>
        <v>12</v>
      </c>
      <c r="G5" s="171">
        <f>'Book Income Statement'!G5</f>
        <v>12</v>
      </c>
      <c r="H5" s="171">
        <f>'Book Income Statement'!H5</f>
        <v>12</v>
      </c>
      <c r="I5" s="171">
        <f>'Book Income Statement'!I5</f>
        <v>12</v>
      </c>
      <c r="J5" s="171">
        <f>'Book Income Statement'!J5</f>
        <v>12</v>
      </c>
      <c r="K5" s="171">
        <f>'Book Income Statement'!K5</f>
        <v>12</v>
      </c>
      <c r="L5" s="171">
        <f>'Book Income Statement'!L5</f>
        <v>12</v>
      </c>
      <c r="M5" s="171">
        <f>'Book Income Statement'!M5</f>
        <v>12</v>
      </c>
      <c r="N5" s="171">
        <f>'Book Income Statement'!N5</f>
        <v>12</v>
      </c>
      <c r="O5" s="171">
        <f>'Book Income Statement'!O5</f>
        <v>12</v>
      </c>
      <c r="P5" s="171">
        <f>'Book Income Statement'!P5</f>
        <v>12</v>
      </c>
      <c r="Q5" s="171">
        <f>'Book Income Statement'!Q5</f>
        <v>12</v>
      </c>
      <c r="R5" s="171">
        <f>'Book Income Statement'!R5</f>
        <v>8</v>
      </c>
      <c r="S5"/>
      <c r="T5"/>
      <c r="U5"/>
      <c r="V5"/>
      <c r="W5"/>
      <c r="X5"/>
      <c r="Y5"/>
      <c r="Z5"/>
      <c r="AA5"/>
      <c r="AB5" s="60"/>
      <c r="AC5" s="60"/>
      <c r="AD5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 spans="1:228" s="143" customFormat="1" ht="15.6">
      <c r="A6" s="196" t="s">
        <v>99</v>
      </c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/>
      <c r="T6"/>
      <c r="U6"/>
      <c r="V6"/>
      <c r="W6"/>
      <c r="X6"/>
      <c r="Y6"/>
      <c r="Z6"/>
      <c r="AA6"/>
    </row>
    <row r="7" spans="1:228" s="5" customFormat="1" ht="12.6" hidden="1" customHeight="1">
      <c r="A7" s="214" t="s">
        <v>56</v>
      </c>
      <c r="C7" s="163">
        <v>0</v>
      </c>
      <c r="D7" s="163">
        <v>0</v>
      </c>
      <c r="E7" s="163">
        <v>0</v>
      </c>
      <c r="F7" s="163">
        <v>0</v>
      </c>
      <c r="G7" s="163">
        <v>0</v>
      </c>
      <c r="H7" s="163">
        <v>0</v>
      </c>
      <c r="I7" s="163">
        <v>0</v>
      </c>
      <c r="J7" s="163">
        <v>0</v>
      </c>
      <c r="K7" s="163">
        <v>0</v>
      </c>
      <c r="L7" s="163">
        <v>0</v>
      </c>
      <c r="M7" s="163">
        <v>0</v>
      </c>
      <c r="N7" s="163">
        <v>0</v>
      </c>
      <c r="O7" s="163">
        <v>0</v>
      </c>
      <c r="P7" s="163">
        <v>0</v>
      </c>
      <c r="Q7" s="163">
        <v>0</v>
      </c>
      <c r="R7" s="163">
        <v>0</v>
      </c>
      <c r="S7"/>
      <c r="T7"/>
      <c r="U7"/>
      <c r="V7"/>
      <c r="W7"/>
      <c r="X7"/>
      <c r="Y7"/>
      <c r="Z7"/>
      <c r="AA7"/>
    </row>
    <row r="8" spans="1:228" s="5" customFormat="1" ht="12.6" hidden="1" customHeight="1">
      <c r="A8" s="214" t="s">
        <v>57</v>
      </c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/>
      <c r="T8"/>
      <c r="U8"/>
      <c r="V8"/>
      <c r="W8"/>
      <c r="X8"/>
      <c r="Y8"/>
      <c r="Z8"/>
      <c r="AA8"/>
    </row>
    <row r="9" spans="1:228" s="5" customFormat="1" ht="12.6" hidden="1" customHeight="1">
      <c r="A9" s="214" t="s">
        <v>58</v>
      </c>
      <c r="C9" s="164">
        <v>7</v>
      </c>
      <c r="D9" s="164">
        <f t="shared" ref="D9:R9" si="0">C9</f>
        <v>7</v>
      </c>
      <c r="E9" s="164">
        <f t="shared" si="0"/>
        <v>7</v>
      </c>
      <c r="F9" s="164">
        <f t="shared" si="0"/>
        <v>7</v>
      </c>
      <c r="G9" s="164">
        <f t="shared" si="0"/>
        <v>7</v>
      </c>
      <c r="H9" s="164">
        <f t="shared" si="0"/>
        <v>7</v>
      </c>
      <c r="I9" s="164">
        <f t="shared" si="0"/>
        <v>7</v>
      </c>
      <c r="J9" s="164">
        <f t="shared" si="0"/>
        <v>7</v>
      </c>
      <c r="K9" s="164">
        <f t="shared" si="0"/>
        <v>7</v>
      </c>
      <c r="L9" s="164">
        <f t="shared" si="0"/>
        <v>7</v>
      </c>
      <c r="M9" s="164">
        <f t="shared" si="0"/>
        <v>7</v>
      </c>
      <c r="N9" s="164">
        <f t="shared" si="0"/>
        <v>7</v>
      </c>
      <c r="O9" s="164">
        <f t="shared" si="0"/>
        <v>7</v>
      </c>
      <c r="P9" s="164">
        <f t="shared" si="0"/>
        <v>7</v>
      </c>
      <c r="Q9" s="164">
        <f t="shared" si="0"/>
        <v>7</v>
      </c>
      <c r="R9" s="164">
        <f t="shared" si="0"/>
        <v>7</v>
      </c>
      <c r="S9"/>
      <c r="T9"/>
      <c r="U9"/>
      <c r="V9"/>
      <c r="W9"/>
      <c r="X9"/>
      <c r="Y9"/>
      <c r="Z9"/>
      <c r="AA9"/>
    </row>
    <row r="10" spans="1:228" s="212" customFormat="1" ht="12.6" hidden="1" customHeight="1">
      <c r="A10" s="214" t="s">
        <v>49</v>
      </c>
      <c r="C10" s="352">
        <f>IF(C3&lt;='Project Assumptions'!$I$15+1,'Project Assumptions'!$I$12*(1-C7),0)</f>
        <v>336</v>
      </c>
      <c r="D10" s="352">
        <f>IF(D3&lt;='Project Assumptions'!$I$15+1,'Project Assumptions'!$I$12*(1-D7),0)</f>
        <v>336</v>
      </c>
      <c r="E10" s="352">
        <f>IF(E3&lt;='Project Assumptions'!$I$15+1,'Project Assumptions'!$I$12*(1-E7),0)</f>
        <v>336</v>
      </c>
      <c r="F10" s="352">
        <f>IF(F3&lt;='Project Assumptions'!$I$15+1,'Project Assumptions'!$I$12*(1-F7),0)</f>
        <v>336</v>
      </c>
      <c r="G10" s="352">
        <f>IF(G3&lt;='Project Assumptions'!$I$15+1,'Project Assumptions'!$I$12*(1-G7),0)</f>
        <v>336</v>
      </c>
      <c r="H10" s="352">
        <f>IF(H3&lt;='Project Assumptions'!$I$15+1,'Project Assumptions'!$I$12*(1-H7),0)</f>
        <v>336</v>
      </c>
      <c r="I10" s="352">
        <f>IF(I3&lt;='Project Assumptions'!$I$15+1,'Project Assumptions'!$I$12*(1-I7),0)</f>
        <v>336</v>
      </c>
      <c r="J10" s="352">
        <f>IF(J3&lt;='Project Assumptions'!$I$15+1,'Project Assumptions'!$I$12*(1-J7),0)</f>
        <v>336</v>
      </c>
      <c r="K10" s="352">
        <f>IF(K3&lt;='Project Assumptions'!$I$15+1,'Project Assumptions'!$I$12*(1-K7),0)</f>
        <v>336</v>
      </c>
      <c r="L10" s="352">
        <f>IF(L3&lt;='Project Assumptions'!$I$15+1,'Project Assumptions'!$I$12*(1-L7),0)</f>
        <v>336</v>
      </c>
      <c r="M10" s="352">
        <f>IF(M3&lt;='Project Assumptions'!$I$15+1,'Project Assumptions'!$I$12*(1-M7),0)</f>
        <v>336</v>
      </c>
      <c r="N10" s="352">
        <f>IF(N3&lt;='Project Assumptions'!$I$15+1,'Project Assumptions'!$I$12*(1-N7),0)</f>
        <v>336</v>
      </c>
      <c r="O10" s="352">
        <f>IF(O3&lt;='Project Assumptions'!$I$15+1,'Project Assumptions'!$I$12*(1-O7),0)</f>
        <v>336</v>
      </c>
      <c r="P10" s="352">
        <f>IF(P3&lt;='Project Assumptions'!$I$15+1,'Project Assumptions'!$I$12*(1-P7),0)</f>
        <v>336</v>
      </c>
      <c r="Q10" s="352">
        <f>IF(Q3&lt;='Project Assumptions'!$I$15+1,'Project Assumptions'!$I$12*(1-Q7),0)</f>
        <v>336</v>
      </c>
      <c r="R10" s="352">
        <f>IF(R3&lt;='Project Assumptions'!$I$15+1,'Project Assumptions'!$I$12*(1-R7),0)</f>
        <v>336</v>
      </c>
      <c r="S10"/>
      <c r="T10"/>
      <c r="U10"/>
      <c r="V10"/>
      <c r="W10"/>
      <c r="X10"/>
      <c r="Y10"/>
      <c r="Z10"/>
      <c r="AA10"/>
    </row>
    <row r="11" spans="1:228" s="212" customFormat="1" ht="12.6" hidden="1" customHeight="1">
      <c r="A11" s="214"/>
      <c r="C11" s="352"/>
      <c r="D11" s="352"/>
      <c r="E11" s="352"/>
      <c r="F11" s="352"/>
      <c r="G11" s="352"/>
      <c r="H11" s="352"/>
      <c r="I11" s="352"/>
      <c r="J11" s="352"/>
      <c r="K11" s="352"/>
      <c r="L11" s="352"/>
      <c r="M11" s="352"/>
      <c r="N11" s="352"/>
      <c r="O11" s="352"/>
      <c r="P11" s="352"/>
      <c r="Q11" s="352"/>
      <c r="R11" s="352"/>
      <c r="S11"/>
      <c r="T11"/>
      <c r="U11"/>
      <c r="V11"/>
      <c r="W11"/>
      <c r="X11"/>
      <c r="Y11"/>
      <c r="Z11"/>
      <c r="AA11"/>
    </row>
    <row r="12" spans="1:228" s="212" customFormat="1" ht="12.6" customHeight="1">
      <c r="A12" s="214" t="s">
        <v>214</v>
      </c>
      <c r="C12" s="352">
        <f>IF(C3&gt;'Project Assumptions'!$I$15+1,0,C10)</f>
        <v>336</v>
      </c>
      <c r="D12" s="352">
        <f>IF(D3&gt;'Project Assumptions'!$I$15+1,0,D10)</f>
        <v>336</v>
      </c>
      <c r="E12" s="352">
        <f>IF(E3&gt;'Project Assumptions'!$I$15+1,0,E10)</f>
        <v>336</v>
      </c>
      <c r="F12" s="352">
        <f>IF(F3&gt;'Project Assumptions'!$I$15+1,0,F10)</f>
        <v>336</v>
      </c>
      <c r="G12" s="352">
        <f>IF(G3&gt;'Project Assumptions'!$I$15+1,0,G10)</f>
        <v>336</v>
      </c>
      <c r="H12" s="352">
        <f>IF(H3&gt;'Project Assumptions'!$I$15+1,0,H10)</f>
        <v>336</v>
      </c>
      <c r="I12" s="352">
        <f>IF(I3&gt;'Project Assumptions'!$I$15+1,0,I10)</f>
        <v>336</v>
      </c>
      <c r="J12" s="352">
        <f>IF(J3&gt;'Project Assumptions'!$I$15+1,0,J10)</f>
        <v>336</v>
      </c>
      <c r="K12" s="352">
        <f>IF(K3&gt;'Project Assumptions'!$I$15+1,0,K10)</f>
        <v>336</v>
      </c>
      <c r="L12" s="352">
        <f>IF(L3&gt;'Project Assumptions'!$I$15+1,0,L10)</f>
        <v>336</v>
      </c>
      <c r="M12" s="352">
        <f>IF(M3&gt;'Project Assumptions'!$I$15+1,0,M10)</f>
        <v>336</v>
      </c>
      <c r="N12" s="352">
        <f>IF(N3&gt;'Project Assumptions'!$I$15+1,0,N10)</f>
        <v>336</v>
      </c>
      <c r="O12" s="352">
        <f>IF(O3&gt;'Project Assumptions'!$I$15+1,0,O10)</f>
        <v>336</v>
      </c>
      <c r="P12" s="352">
        <f>IF(P3&gt;'Project Assumptions'!$I$15+1,0,P10)</f>
        <v>336</v>
      </c>
      <c r="Q12" s="352">
        <f>IF(Q3&gt;'Project Assumptions'!$I$15+1,0,Q10)</f>
        <v>336</v>
      </c>
      <c r="R12" s="352">
        <f>IF(R3&gt;'Project Assumptions'!$I$15+1,0,R10)</f>
        <v>336</v>
      </c>
      <c r="S12"/>
      <c r="T12"/>
      <c r="U12"/>
      <c r="V12"/>
      <c r="W12"/>
      <c r="X12"/>
      <c r="Y12"/>
      <c r="Z12"/>
      <c r="AA12"/>
      <c r="AB12" s="352"/>
      <c r="AC12" s="352"/>
      <c r="AD12" s="352"/>
      <c r="AE12" s="352"/>
      <c r="AF12" s="352"/>
      <c r="AG12" s="352"/>
      <c r="AH12" s="352"/>
      <c r="AI12" s="352"/>
      <c r="AJ12" s="352"/>
      <c r="AK12" s="352"/>
      <c r="AL12" s="352"/>
      <c r="AM12" s="352"/>
      <c r="AN12" s="352"/>
      <c r="AO12" s="352"/>
      <c r="AP12" s="352"/>
      <c r="AQ12" s="352"/>
      <c r="AR12" s="352"/>
      <c r="AS12" s="352"/>
      <c r="AT12" s="352"/>
      <c r="AU12" s="352"/>
      <c r="AV12" s="352"/>
      <c r="AW12" s="352"/>
      <c r="AX12" s="352"/>
      <c r="AY12" s="352"/>
      <c r="AZ12" s="352"/>
      <c r="BA12" s="352"/>
      <c r="BB12" s="352"/>
      <c r="BC12" s="352"/>
      <c r="BD12" s="352"/>
      <c r="BE12" s="352"/>
      <c r="BF12" s="352"/>
      <c r="BG12" s="352"/>
      <c r="BH12" s="352"/>
      <c r="BI12" s="352"/>
      <c r="BJ12" s="352"/>
      <c r="BK12" s="352"/>
      <c r="BL12" s="352"/>
      <c r="BM12" s="352"/>
      <c r="BN12" s="352"/>
      <c r="BO12" s="352"/>
      <c r="BP12" s="352"/>
      <c r="BQ12" s="352"/>
      <c r="BR12" s="352"/>
      <c r="BS12" s="352"/>
      <c r="BT12" s="352"/>
      <c r="BU12" s="352"/>
      <c r="BV12" s="352"/>
      <c r="BW12" s="352"/>
      <c r="BX12" s="352"/>
      <c r="BY12" s="352"/>
      <c r="BZ12" s="352"/>
      <c r="CA12" s="352"/>
      <c r="CB12" s="352"/>
      <c r="CC12" s="352"/>
      <c r="CD12" s="352"/>
      <c r="CE12" s="352"/>
      <c r="CF12" s="352"/>
      <c r="CG12" s="352"/>
      <c r="CH12" s="352"/>
      <c r="CI12" s="352"/>
      <c r="CJ12" s="352"/>
      <c r="CK12" s="352"/>
      <c r="CL12" s="352"/>
      <c r="CM12" s="352"/>
      <c r="CN12" s="352"/>
      <c r="CO12" s="352"/>
      <c r="CP12" s="352"/>
      <c r="CQ12" s="352"/>
      <c r="CR12" s="352"/>
      <c r="CS12" s="352"/>
      <c r="CT12" s="352"/>
      <c r="CU12" s="352"/>
      <c r="CV12" s="352"/>
      <c r="CW12" s="352"/>
      <c r="CX12" s="352"/>
      <c r="CY12" s="352"/>
      <c r="CZ12" s="352"/>
      <c r="DA12" s="352"/>
      <c r="DB12" s="352"/>
      <c r="DC12" s="352"/>
      <c r="DD12" s="352"/>
      <c r="DE12" s="352"/>
      <c r="DF12" s="352"/>
      <c r="DG12" s="352"/>
      <c r="DH12" s="352"/>
      <c r="DI12" s="352"/>
      <c r="DJ12" s="352"/>
      <c r="DK12" s="352"/>
      <c r="DL12" s="352"/>
      <c r="DM12" s="352"/>
      <c r="DN12" s="352"/>
      <c r="DO12" s="352"/>
      <c r="DP12" s="352"/>
      <c r="DQ12" s="352"/>
      <c r="DR12" s="352"/>
      <c r="DS12" s="352"/>
      <c r="DT12" s="352"/>
      <c r="DU12" s="352"/>
      <c r="DV12" s="352"/>
      <c r="DW12" s="352"/>
      <c r="DX12" s="352"/>
      <c r="DY12" s="352"/>
      <c r="DZ12" s="352"/>
      <c r="EA12" s="352"/>
      <c r="EB12" s="352"/>
      <c r="EC12" s="352"/>
      <c r="ED12" s="352"/>
      <c r="EE12" s="352"/>
      <c r="EF12" s="352"/>
      <c r="EG12" s="352"/>
      <c r="EH12" s="352"/>
      <c r="EI12" s="352"/>
      <c r="EJ12" s="352"/>
      <c r="EK12" s="352"/>
      <c r="EL12" s="352"/>
      <c r="EM12" s="352"/>
      <c r="EN12" s="352"/>
      <c r="EO12" s="352"/>
      <c r="EP12" s="352"/>
      <c r="EQ12" s="352"/>
      <c r="ER12" s="352"/>
      <c r="ES12" s="352"/>
      <c r="ET12" s="352"/>
      <c r="EU12" s="352"/>
      <c r="EV12" s="352"/>
      <c r="EW12" s="352"/>
      <c r="EX12" s="352"/>
      <c r="EY12" s="352"/>
      <c r="EZ12" s="352"/>
      <c r="FA12" s="352"/>
      <c r="FB12" s="352"/>
      <c r="FC12" s="352"/>
      <c r="FD12" s="352"/>
      <c r="FE12" s="352"/>
      <c r="FF12" s="352"/>
      <c r="FG12" s="352"/>
      <c r="FH12" s="352"/>
      <c r="FI12" s="352"/>
      <c r="FJ12" s="352"/>
      <c r="FK12" s="352"/>
      <c r="FL12" s="352"/>
      <c r="FM12" s="352"/>
      <c r="FN12" s="352"/>
      <c r="FO12" s="352"/>
      <c r="FP12" s="352"/>
      <c r="FQ12" s="352"/>
      <c r="FR12" s="352"/>
      <c r="FS12" s="352"/>
      <c r="FT12" s="352"/>
      <c r="FU12" s="352"/>
      <c r="FV12" s="352"/>
      <c r="FW12" s="352"/>
      <c r="FX12" s="352"/>
      <c r="FY12" s="352"/>
      <c r="FZ12" s="352"/>
      <c r="GA12" s="352"/>
      <c r="GB12" s="352"/>
      <c r="GC12" s="352"/>
      <c r="GD12" s="352"/>
      <c r="GE12" s="352"/>
      <c r="GF12" s="352"/>
      <c r="GG12" s="352"/>
      <c r="GH12" s="352"/>
      <c r="GI12" s="352"/>
      <c r="GJ12" s="352"/>
      <c r="GK12" s="352"/>
      <c r="GL12" s="352"/>
      <c r="GM12" s="352"/>
      <c r="GN12" s="352"/>
      <c r="GO12" s="352"/>
      <c r="GP12" s="352"/>
      <c r="GQ12" s="352"/>
      <c r="GR12" s="352"/>
      <c r="GS12" s="352"/>
      <c r="GT12" s="352"/>
      <c r="GU12" s="352"/>
      <c r="GV12" s="352"/>
      <c r="GW12" s="352"/>
      <c r="GX12" s="352"/>
      <c r="GY12" s="352"/>
      <c r="GZ12" s="352"/>
      <c r="HA12" s="352"/>
      <c r="HB12" s="352"/>
      <c r="HC12" s="352"/>
      <c r="HD12" s="352"/>
      <c r="HE12" s="352"/>
      <c r="HF12" s="352"/>
      <c r="HG12" s="352"/>
      <c r="HH12" s="352"/>
      <c r="HI12" s="352"/>
      <c r="HJ12" s="352"/>
      <c r="HK12" s="352"/>
      <c r="HL12" s="352"/>
      <c r="HM12" s="352"/>
      <c r="HN12" s="352"/>
      <c r="HO12" s="352"/>
      <c r="HP12" s="352"/>
      <c r="HQ12" s="352"/>
      <c r="HR12" s="352"/>
      <c r="HS12" s="352"/>
      <c r="HT12" s="352"/>
    </row>
    <row r="13" spans="1:228" s="212" customFormat="1" ht="12.6" customHeight="1">
      <c r="A13" s="214" t="s">
        <v>213</v>
      </c>
      <c r="C13" s="320">
        <f>IF(C3&lt;='Project Assumptions'!$I$15,'Project Assumptions'!$I$14,IF(AND($C$5&lt;12,C3='Project Assumptions'!$I$15+1),0,'Project Assumptions'!$I$15))</f>
        <v>1400</v>
      </c>
      <c r="D13" s="320">
        <f>IF(D3&lt;='Project Assumptions'!$I$15,'Project Assumptions'!$I$14,IF(AND($C$5&lt;12,D3='Project Assumptions'!$I$15+1),0,'Project Assumptions'!$I$15))</f>
        <v>1400</v>
      </c>
      <c r="E13" s="320">
        <f>IF(E3&lt;='Project Assumptions'!$I$15,'Project Assumptions'!$I$14,IF(AND($C$5&lt;12,E3='Project Assumptions'!$I$15+1),0,'Project Assumptions'!$I$15))</f>
        <v>1400</v>
      </c>
      <c r="F13" s="320">
        <f>IF(F3&lt;='Project Assumptions'!$I$15,'Project Assumptions'!$I$14,IF(AND($C$5&lt;12,F3='Project Assumptions'!$I$15+1),0,'Project Assumptions'!$I$15))</f>
        <v>1400</v>
      </c>
      <c r="G13" s="320">
        <f>IF(G3&lt;='Project Assumptions'!$I$15,'Project Assumptions'!$I$14,IF(AND($C$5&lt;12,G3='Project Assumptions'!$I$15+1),0,'Project Assumptions'!$I$15))</f>
        <v>1400</v>
      </c>
      <c r="H13" s="320">
        <f>IF(H3&lt;='Project Assumptions'!$I$15,'Project Assumptions'!$I$14,IF(AND($C$5&lt;12,H3='Project Assumptions'!$I$15+1),0,'Project Assumptions'!$I$15))</f>
        <v>1400</v>
      </c>
      <c r="I13" s="320">
        <f>IF(I3&lt;='Project Assumptions'!$I$15,'Project Assumptions'!$I$14,IF(AND($C$5&lt;12,I3='Project Assumptions'!$I$15+1),0,'Project Assumptions'!$I$15))</f>
        <v>1400</v>
      </c>
      <c r="J13" s="320">
        <f>IF(J3&lt;='Project Assumptions'!$I$15,'Project Assumptions'!$I$14,IF(AND($C$5&lt;12,J3='Project Assumptions'!$I$15+1),0,'Project Assumptions'!$I$15))</f>
        <v>1400</v>
      </c>
      <c r="K13" s="320">
        <f>IF(K3&lt;='Project Assumptions'!$I$15,'Project Assumptions'!$I$14,IF(AND($C$5&lt;12,K3='Project Assumptions'!$I$15+1),0,'Project Assumptions'!$I$15))</f>
        <v>1400</v>
      </c>
      <c r="L13" s="320">
        <f>IF(L3&lt;='Project Assumptions'!$I$15,'Project Assumptions'!$I$14,IF(AND($C$5&lt;12,L3='Project Assumptions'!$I$15+1),0,'Project Assumptions'!$I$15))</f>
        <v>1400</v>
      </c>
      <c r="M13" s="320">
        <f>IF(M3&lt;='Project Assumptions'!$I$15,'Project Assumptions'!$I$14,IF(AND($C$5&lt;12,M3='Project Assumptions'!$I$15+1),0,'Project Assumptions'!$I$15))</f>
        <v>1400</v>
      </c>
      <c r="N13" s="320">
        <f>IF(N3&lt;='Project Assumptions'!$I$15,'Project Assumptions'!$I$14,IF(AND($C$5&lt;12,N3='Project Assumptions'!$I$15+1),0,'Project Assumptions'!$I$15))</f>
        <v>1400</v>
      </c>
      <c r="O13" s="320">
        <f>IF(O3&lt;='Project Assumptions'!$I$15,'Project Assumptions'!$I$14,IF(AND($C$5&lt;12,O3='Project Assumptions'!$I$15+1),0,'Project Assumptions'!$I$15))</f>
        <v>1400</v>
      </c>
      <c r="P13" s="320">
        <f>IF(P3&lt;='Project Assumptions'!$I$15,'Project Assumptions'!$I$14,IF(AND($C$5&lt;12,P3='Project Assumptions'!$I$15+1),0,'Project Assumptions'!$I$15))</f>
        <v>1400</v>
      </c>
      <c r="Q13" s="320">
        <f>IF(Q3&lt;='Project Assumptions'!$I$15,'Project Assumptions'!$I$14,IF(AND($C$5&lt;12,Q3='Project Assumptions'!$I$15+1),0,'Project Assumptions'!$I$15))</f>
        <v>1400</v>
      </c>
      <c r="R13" s="320">
        <f>IF(R3&lt;='Project Assumptions'!$I$15,'Project Assumptions'!$I$14,IF(AND($C$5&lt;12,R3='Project Assumptions'!$I$15+1),0,'Project Assumptions'!$I$15))</f>
        <v>0</v>
      </c>
      <c r="S13"/>
      <c r="T13"/>
      <c r="U13"/>
      <c r="V13"/>
      <c r="W13"/>
      <c r="X13"/>
      <c r="Y13"/>
      <c r="Z13"/>
      <c r="AA13"/>
    </row>
    <row r="14" spans="1:228" s="212" customFormat="1" ht="12.6" customHeight="1">
      <c r="A14" s="214" t="s">
        <v>91</v>
      </c>
      <c r="C14" s="318">
        <f>C12*C13</f>
        <v>470400</v>
      </c>
      <c r="D14" s="318">
        <f t="shared" ref="D14:R14" si="1">D12*D13</f>
        <v>470400</v>
      </c>
      <c r="E14" s="318">
        <f t="shared" si="1"/>
        <v>470400</v>
      </c>
      <c r="F14" s="318">
        <f t="shared" si="1"/>
        <v>470400</v>
      </c>
      <c r="G14" s="318">
        <f t="shared" si="1"/>
        <v>470400</v>
      </c>
      <c r="H14" s="318">
        <f t="shared" si="1"/>
        <v>470400</v>
      </c>
      <c r="I14" s="318">
        <f t="shared" si="1"/>
        <v>470400</v>
      </c>
      <c r="J14" s="318">
        <f t="shared" si="1"/>
        <v>470400</v>
      </c>
      <c r="K14" s="318">
        <f t="shared" si="1"/>
        <v>470400</v>
      </c>
      <c r="L14" s="318">
        <f t="shared" si="1"/>
        <v>470400</v>
      </c>
      <c r="M14" s="318">
        <f t="shared" si="1"/>
        <v>470400</v>
      </c>
      <c r="N14" s="318">
        <f t="shared" si="1"/>
        <v>470400</v>
      </c>
      <c r="O14" s="318">
        <f t="shared" si="1"/>
        <v>470400</v>
      </c>
      <c r="P14" s="318">
        <f t="shared" si="1"/>
        <v>470400</v>
      </c>
      <c r="Q14" s="318">
        <f t="shared" si="1"/>
        <v>470400</v>
      </c>
      <c r="R14" s="318">
        <f t="shared" si="1"/>
        <v>0</v>
      </c>
      <c r="S14"/>
      <c r="T14"/>
      <c r="U14"/>
      <c r="V14"/>
      <c r="W14"/>
      <c r="X14"/>
      <c r="Y14"/>
      <c r="Z14"/>
      <c r="AA14"/>
    </row>
    <row r="15" spans="1:228" s="5" customFormat="1" ht="12.6" customHeight="1">
      <c r="A15" s="13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/>
      <c r="T15"/>
      <c r="U15"/>
      <c r="V15"/>
      <c r="W15"/>
      <c r="X15"/>
      <c r="Y15"/>
      <c r="Z15"/>
      <c r="AA15"/>
    </row>
    <row r="16" spans="1:228" s="5" customFormat="1" ht="12.6" customHeight="1">
      <c r="A16" s="196" t="s">
        <v>212</v>
      </c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/>
      <c r="T16"/>
      <c r="U16"/>
      <c r="V16"/>
      <c r="W16"/>
      <c r="X16"/>
      <c r="Y16"/>
      <c r="Z16"/>
      <c r="AA16"/>
    </row>
    <row r="17" spans="1:28" s="207" customFormat="1" ht="12.6" customHeight="1">
      <c r="A17" s="214" t="s">
        <v>211</v>
      </c>
      <c r="C17" s="224">
        <f>C14</f>
        <v>470400</v>
      </c>
      <c r="D17" s="224">
        <f t="shared" ref="D17:R17" si="2">D14</f>
        <v>470400</v>
      </c>
      <c r="E17" s="224">
        <f t="shared" si="2"/>
        <v>470400</v>
      </c>
      <c r="F17" s="224">
        <f t="shared" si="2"/>
        <v>470400</v>
      </c>
      <c r="G17" s="224">
        <f t="shared" si="2"/>
        <v>470400</v>
      </c>
      <c r="H17" s="224">
        <f t="shared" si="2"/>
        <v>470400</v>
      </c>
      <c r="I17" s="224">
        <f t="shared" si="2"/>
        <v>470400</v>
      </c>
      <c r="J17" s="224">
        <f t="shared" si="2"/>
        <v>470400</v>
      </c>
      <c r="K17" s="224">
        <f t="shared" si="2"/>
        <v>470400</v>
      </c>
      <c r="L17" s="224">
        <f t="shared" si="2"/>
        <v>470400</v>
      </c>
      <c r="M17" s="224">
        <f t="shared" si="2"/>
        <v>470400</v>
      </c>
      <c r="N17" s="224">
        <f t="shared" si="2"/>
        <v>470400</v>
      </c>
      <c r="O17" s="224">
        <f t="shared" si="2"/>
        <v>470400</v>
      </c>
      <c r="P17" s="224">
        <f t="shared" si="2"/>
        <v>470400</v>
      </c>
      <c r="Q17" s="224">
        <f t="shared" si="2"/>
        <v>470400</v>
      </c>
      <c r="R17" s="224">
        <f t="shared" si="2"/>
        <v>0</v>
      </c>
      <c r="S17"/>
      <c r="T17"/>
      <c r="U17"/>
      <c r="V17"/>
      <c r="W17"/>
      <c r="X17"/>
      <c r="Y17"/>
      <c r="Z17"/>
      <c r="AA17"/>
    </row>
    <row r="18" spans="1:28" s="212" customFormat="1" ht="12.6" customHeight="1">
      <c r="A18" s="214" t="s">
        <v>97</v>
      </c>
      <c r="C18" s="372">
        <f>IF(C3&gt;'Project Assumptions'!$I$15+1,0,IF(C17=0,0,'Project Assumptions'!$I$13*(1+C8)))</f>
        <v>12047.470238095237</v>
      </c>
      <c r="D18" s="372">
        <f>IF(D3&gt;'Project Assumptions'!$I$15+1,0,IF(D17=0,0,'Project Assumptions'!$I$13*(1+D8)))</f>
        <v>12047.470238095237</v>
      </c>
      <c r="E18" s="372">
        <f>IF(E3&gt;'Project Assumptions'!$I$15+1,0,IF(E17=0,0,'Project Assumptions'!$I$13*(1+E8)))</f>
        <v>12047.470238095237</v>
      </c>
      <c r="F18" s="372">
        <f>IF(F3&gt;'Project Assumptions'!$I$15+1,0,IF(F17=0,0,'Project Assumptions'!$I$13*(1+F8)))</f>
        <v>12047.470238095237</v>
      </c>
      <c r="G18" s="372">
        <f>IF(G3&gt;'Project Assumptions'!$I$15+1,0,IF(G17=0,0,'Project Assumptions'!$I$13*(1+G8)))</f>
        <v>12047.470238095237</v>
      </c>
      <c r="H18" s="372">
        <f>IF(H3&gt;'Project Assumptions'!$I$15+1,0,IF(H17=0,0,'Project Assumptions'!$I$13*(1+H8)))</f>
        <v>12047.470238095237</v>
      </c>
      <c r="I18" s="372">
        <f>IF(I3&gt;'Project Assumptions'!$I$15+1,0,IF(I17=0,0,'Project Assumptions'!$I$13*(1+I8)))</f>
        <v>12047.470238095237</v>
      </c>
      <c r="J18" s="372">
        <f>IF(J3&gt;'Project Assumptions'!$I$15+1,0,IF(J17=0,0,'Project Assumptions'!$I$13*(1+J8)))</f>
        <v>12047.470238095237</v>
      </c>
      <c r="K18" s="372">
        <f>IF(K3&gt;'Project Assumptions'!$I$15+1,0,IF(K17=0,0,'Project Assumptions'!$I$13*(1+K8)))</f>
        <v>12047.470238095237</v>
      </c>
      <c r="L18" s="372">
        <f>IF(L3&gt;'Project Assumptions'!$I$15+1,0,IF(L17=0,0,'Project Assumptions'!$I$13*(1+L8)))</f>
        <v>12047.470238095237</v>
      </c>
      <c r="M18" s="372">
        <f>IF(M3&gt;'Project Assumptions'!$I$15+1,0,IF(M17=0,0,'Project Assumptions'!$I$13*(1+M8)))</f>
        <v>12047.470238095237</v>
      </c>
      <c r="N18" s="372">
        <f>IF(N3&gt;'Project Assumptions'!$I$15+1,0,IF(N17=0,0,'Project Assumptions'!$I$13*(1+N8)))</f>
        <v>12047.470238095237</v>
      </c>
      <c r="O18" s="372">
        <f>IF(O3&gt;'Project Assumptions'!$I$15+1,0,IF(O17=0,0,'Project Assumptions'!$I$13*(1+O8)))</f>
        <v>12047.470238095237</v>
      </c>
      <c r="P18" s="372">
        <f>IF(P3&gt;'Project Assumptions'!$I$15+1,0,IF(P17=0,0,'Project Assumptions'!$I$13*(1+P8)))</f>
        <v>12047.470238095237</v>
      </c>
      <c r="Q18" s="372">
        <f>IF(Q3&gt;'Project Assumptions'!$I$15+1,0,IF(Q17=0,0,'Project Assumptions'!$I$13*(1+Q8)))</f>
        <v>12047.470238095237</v>
      </c>
      <c r="R18" s="372">
        <f>IF(R3&gt;'Project Assumptions'!$I$15+1,0,IF(R17=0,0,'Project Assumptions'!$I$13*(1+R8)))</f>
        <v>0</v>
      </c>
      <c r="S18"/>
      <c r="T18"/>
      <c r="U18"/>
      <c r="V18"/>
      <c r="W18"/>
      <c r="X18"/>
      <c r="Y18"/>
      <c r="Z18"/>
      <c r="AA18"/>
    </row>
    <row r="19" spans="1:28" s="212" customFormat="1" ht="12.6" customHeight="1">
      <c r="A19" s="214" t="s">
        <v>50</v>
      </c>
      <c r="C19" s="318">
        <f>IF(C3&gt;'Project Assumptions'!$I$15+1,0,C18*C17/1000000)</f>
        <v>5667.1299999999992</v>
      </c>
      <c r="D19" s="318">
        <f>IF(D3&gt;'Project Assumptions'!$I$15+1,0,D18*D17/1000000)</f>
        <v>5667.1299999999992</v>
      </c>
      <c r="E19" s="318">
        <f>IF(E3&gt;'Project Assumptions'!$I$15+1,0,E18*E17/1000000)</f>
        <v>5667.1299999999992</v>
      </c>
      <c r="F19" s="318">
        <f>IF(F3&gt;'Project Assumptions'!$I$15+1,0,F18*F17/1000000)</f>
        <v>5667.1299999999992</v>
      </c>
      <c r="G19" s="318">
        <f>IF(G3&gt;'Project Assumptions'!$I$15+1,0,G18*G17/1000000)</f>
        <v>5667.1299999999992</v>
      </c>
      <c r="H19" s="318">
        <f>IF(H3&gt;'Project Assumptions'!$I$15+1,0,H18*H17/1000000)</f>
        <v>5667.1299999999992</v>
      </c>
      <c r="I19" s="318">
        <f>IF(I3&gt;'Project Assumptions'!$I$15+1,0,I18*I17/1000000)</f>
        <v>5667.1299999999992</v>
      </c>
      <c r="J19" s="318">
        <f>IF(J3&gt;'Project Assumptions'!$I$15+1,0,J18*J17/1000000)</f>
        <v>5667.1299999999992</v>
      </c>
      <c r="K19" s="318">
        <f>IF(K3&gt;'Project Assumptions'!$I$15+1,0,K18*K17/1000000)</f>
        <v>5667.1299999999992</v>
      </c>
      <c r="L19" s="318">
        <f>IF(L3&gt;'Project Assumptions'!$I$15+1,0,L18*L17/1000000)</f>
        <v>5667.1299999999992</v>
      </c>
      <c r="M19" s="318">
        <f>IF(M3&gt;'Project Assumptions'!$I$15+1,0,M18*M17/1000000)</f>
        <v>5667.1299999999992</v>
      </c>
      <c r="N19" s="318">
        <f>IF(N3&gt;'Project Assumptions'!$I$15+1,0,N18*N17/1000000)</f>
        <v>5667.1299999999992</v>
      </c>
      <c r="O19" s="318">
        <f>IF(O3&gt;'Project Assumptions'!$I$15+1,0,O18*O17/1000000)</f>
        <v>5667.1299999999992</v>
      </c>
      <c r="P19" s="318">
        <f>IF(P3&gt;'Project Assumptions'!$I$15+1,0,P18*P17/1000000)</f>
        <v>5667.1299999999992</v>
      </c>
      <c r="Q19" s="318">
        <f>IF(Q3&gt;'Project Assumptions'!$I$15+1,0,Q18*Q17/1000000)</f>
        <v>5667.1299999999992</v>
      </c>
      <c r="R19" s="318">
        <f>IF(R3&gt;'Project Assumptions'!$I$15+1,0,R18*R17/1000000)</f>
        <v>0</v>
      </c>
      <c r="S19"/>
      <c r="T19"/>
      <c r="U19"/>
      <c r="V19"/>
      <c r="W19"/>
      <c r="X19"/>
      <c r="Y19"/>
      <c r="Z19"/>
      <c r="AA19"/>
    </row>
    <row r="20" spans="1:28" s="212" customFormat="1" ht="12.6" customHeight="1">
      <c r="A20" s="214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/>
      <c r="T20"/>
      <c r="U20"/>
      <c r="V20"/>
      <c r="W20"/>
      <c r="X20"/>
      <c r="Y20"/>
      <c r="Z20"/>
      <c r="AA20"/>
      <c r="AB20" s="352"/>
    </row>
    <row r="21" spans="1:28" s="212" customFormat="1" ht="12.6" customHeight="1">
      <c r="A21" s="214" t="s">
        <v>98</v>
      </c>
      <c r="C21" s="213">
        <f>IF(C3&gt;'Project Assumptions'!$I$15+1,0,IF(AND($C$5&lt;12,C3='Project Assumptions'!$I$15+1),0,IF('Project Assumptions'!$C$70="Fixed",'PPA Assumptions'!C$21*C19,'PPA Assumptions'!C$26*C19)))</f>
        <v>12807.7138</v>
      </c>
      <c r="D21" s="213">
        <f>IF(D3&gt;'Project Assumptions'!$I$15+1,0,IF(AND($C$5&lt;12,D3='Project Assumptions'!$I$15+1),0,IF('Project Assumptions'!$C$70="Fixed",'PPA Assumptions'!D$21*D19,'PPA Assumptions'!D$26*D19)))</f>
        <v>12977.727699999998</v>
      </c>
      <c r="E21" s="213">
        <f>IF(E3&gt;'Project Assumptions'!$I$15+1,0,IF(AND($C$5&lt;12,E3='Project Assumptions'!$I$15+1),0,IF('Project Assumptions'!$C$70="Fixed",'PPA Assumptions'!E$21*E19,'PPA Assumptions'!E$26*E19)))</f>
        <v>13261.084199999998</v>
      </c>
      <c r="F21" s="213">
        <f>IF(F3&gt;'Project Assumptions'!$I$15+1,0,IF(AND($C$5&lt;12,F3='Project Assumptions'!$I$15+1),0,IF('Project Assumptions'!$C$70="Fixed",'PPA Assumptions'!F$21*F19,'PPA Assumptions'!F$26*F19)))</f>
        <v>13431.098099999999</v>
      </c>
      <c r="G21" s="213">
        <f>IF(G3&gt;'Project Assumptions'!$I$15+1,0,IF(AND($C$5&lt;12,G3='Project Assumptions'!$I$15+1),0,IF('Project Assumptions'!$C$70="Fixed",'PPA Assumptions'!G$21*G19,'PPA Assumptions'!G$26*G19)))</f>
        <v>13714.454599999997</v>
      </c>
      <c r="H21" s="213">
        <f>IF(H3&gt;'Project Assumptions'!$I$15+1,0,IF(AND($C$5&lt;12,H3='Project Assumptions'!$I$15+1),0,IF('Project Assumptions'!$C$70="Fixed",'PPA Assumptions'!H$21*H19,'PPA Assumptions'!H$26*H19)))</f>
        <v>13884.468499999999</v>
      </c>
      <c r="I21" s="213">
        <f>IF(I3&gt;'Project Assumptions'!$I$15+1,0,IF(AND($C$5&lt;12,I3='Project Assumptions'!$I$15+1),0,IF('Project Assumptions'!$C$70="Fixed",'PPA Assumptions'!I$21*I19,'PPA Assumptions'!I$26*I19)))</f>
        <v>14281.167599999999</v>
      </c>
      <c r="J21" s="213">
        <f>IF(J3&gt;'Project Assumptions'!$I$15+1,0,IF(AND($C$5&lt;12,J3='Project Assumptions'!$I$15+1),0,IF('Project Assumptions'!$C$70="Fixed",'PPA Assumptions'!J$21*J19,'PPA Assumptions'!J$26*J19)))</f>
        <v>14734.537999999999</v>
      </c>
      <c r="K21" s="213">
        <f>IF(K3&gt;'Project Assumptions'!$I$15+1,0,IF(AND($C$5&lt;12,K3='Project Assumptions'!$I$15+1),0,IF('Project Assumptions'!$C$70="Fixed",'PPA Assumptions'!K$21*K19,'PPA Assumptions'!K$26*K19)))</f>
        <v>15074.565799999998</v>
      </c>
      <c r="L21" s="213">
        <f>IF(L3&gt;'Project Assumptions'!$I$15+1,0,IF(AND($C$5&lt;12,L3='Project Assumptions'!$I$15+1),0,IF('Project Assumptions'!$C$70="Fixed",'PPA Assumptions'!L$21*L19,'PPA Assumptions'!L$26*L19)))</f>
        <v>15527.936199999998</v>
      </c>
      <c r="M21" s="213">
        <f>IF(M3&gt;'Project Assumptions'!$I$15+1,0,IF(AND($C$5&lt;12,M3='Project Assumptions'!$I$15+1),0,IF('Project Assumptions'!$C$70="Fixed",'PPA Assumptions'!M$21*M19,'PPA Assumptions'!M$26*M19)))</f>
        <v>15981.306599999996</v>
      </c>
      <c r="N21" s="213">
        <f>IF(N3&gt;'Project Assumptions'!$I$15+1,0,IF(AND($C$5&lt;12,N3='Project Assumptions'!$I$15+1),0,IF('Project Assumptions'!$C$70="Fixed",'PPA Assumptions'!N$21*N19,'PPA Assumptions'!N$26*N19)))</f>
        <v>16491.348299999998</v>
      </c>
      <c r="O21" s="213">
        <f>IF(O3&gt;'Project Assumptions'!$I$15+1,0,IF(AND($C$5&lt;12,O3='Project Assumptions'!$I$15+1),0,IF('Project Assumptions'!$C$70="Fixed",'PPA Assumptions'!O$21*O19,'PPA Assumptions'!O$26*O19)))</f>
        <v>16944.718699999998</v>
      </c>
      <c r="P21" s="213">
        <f>IF(P3&gt;'Project Assumptions'!$I$15+1,0,IF(AND($C$5&lt;12,P3='Project Assumptions'!$I$15+1),0,IF('Project Assumptions'!$C$70="Fixed",'PPA Assumptions'!P$21*P19,'PPA Assumptions'!P$26*P19)))</f>
        <v>17398.089099999997</v>
      </c>
      <c r="Q21" s="213">
        <f>IF(Q3&gt;'Project Assumptions'!$I$15+1,0,IF(AND($C$5&lt;12,Q3='Project Assumptions'!$I$15+1),0,IF('Project Assumptions'!$C$70="Fixed",'PPA Assumptions'!Q$21*Q19,'PPA Assumptions'!Q$26*Q19)))</f>
        <v>17908.130799999999</v>
      </c>
      <c r="R21" s="213">
        <f>IF(R3&gt;'Project Assumptions'!$I$15+1,0,IF(AND($C$5&lt;12,R3='Project Assumptions'!$I$15+1),0,IF('Project Assumptions'!$C$70="Fixed",'PPA Assumptions'!R$21*R19,'PPA Assumptions'!R$26*R19)))</f>
        <v>0</v>
      </c>
      <c r="S21"/>
      <c r="T21"/>
      <c r="U21"/>
      <c r="V21"/>
      <c r="W21"/>
      <c r="X21"/>
      <c r="Y21"/>
      <c r="Z21"/>
      <c r="AA21"/>
    </row>
    <row r="22" spans="1:28" s="140" customFormat="1" ht="12.6" customHeight="1">
      <c r="S22"/>
      <c r="T22"/>
      <c r="U22"/>
      <c r="V22"/>
      <c r="W22"/>
      <c r="X22"/>
      <c r="Y22"/>
      <c r="Z22"/>
      <c r="AA22"/>
    </row>
    <row r="31" spans="1:28" ht="12.6" customHeight="1"/>
    <row r="32" spans="1:28" ht="12.6" customHeight="1"/>
    <row r="33" spans="3:27" ht="12.6" customHeight="1"/>
    <row r="34" spans="3:27" ht="12.6" customHeight="1"/>
    <row r="35" spans="3:27" ht="12.6" customHeight="1"/>
    <row r="36" spans="3:27" ht="12.6" customHeight="1"/>
    <row r="37" spans="3:27" ht="12.6" customHeight="1"/>
    <row r="38" spans="3:27" ht="12.6" customHeight="1"/>
    <row r="42" spans="3:27" ht="12.6" customHeight="1"/>
    <row r="43" spans="3:27" ht="12.6" customHeight="1"/>
    <row r="46" spans="3:27" s="207" customFormat="1" ht="12.6" customHeight="1"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/>
      <c r="T46"/>
      <c r="U46"/>
      <c r="V46"/>
      <c r="W46"/>
      <c r="X46"/>
      <c r="Y46"/>
      <c r="Z46"/>
      <c r="AA46"/>
    </row>
    <row r="47" spans="3:27" s="207" customFormat="1" ht="12.6" customHeight="1"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/>
      <c r="T47"/>
      <c r="U47"/>
      <c r="V47"/>
      <c r="W47"/>
      <c r="X47"/>
      <c r="Y47"/>
      <c r="Z47"/>
      <c r="AA47"/>
    </row>
    <row r="48" spans="3:27" s="207" customFormat="1" ht="12.6" customHeight="1">
      <c r="C48" s="371"/>
      <c r="D48" s="371"/>
      <c r="E48" s="371"/>
      <c r="F48" s="371"/>
      <c r="G48" s="371"/>
      <c r="H48" s="371"/>
      <c r="I48" s="371"/>
      <c r="J48" s="371"/>
      <c r="K48" s="371"/>
      <c r="L48" s="371"/>
      <c r="M48" s="371"/>
      <c r="N48" s="371"/>
      <c r="O48" s="371"/>
      <c r="P48" s="371"/>
      <c r="Q48" s="371"/>
      <c r="R48" s="371"/>
      <c r="S48"/>
      <c r="T48"/>
      <c r="U48"/>
      <c r="V48"/>
      <c r="W48"/>
      <c r="X48"/>
      <c r="Y48"/>
      <c r="Z48"/>
      <c r="AA48"/>
    </row>
    <row r="49" spans="1:52" s="212" customFormat="1" ht="12.6" customHeight="1">
      <c r="A49" s="214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/>
      <c r="T49"/>
      <c r="U49"/>
      <c r="V49"/>
      <c r="W49"/>
      <c r="X49"/>
      <c r="Y49"/>
      <c r="Z49"/>
      <c r="AA49"/>
    </row>
    <row r="50" spans="1:52" s="207" customFormat="1" ht="12" customHeight="1"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/>
      <c r="T50"/>
      <c r="U50"/>
      <c r="V50"/>
      <c r="W50"/>
      <c r="X50"/>
      <c r="Y50"/>
      <c r="Z50"/>
      <c r="AA50"/>
    </row>
    <row r="51" spans="1:52" s="207" customFormat="1" ht="12.6" customHeight="1">
      <c r="C51" s="341"/>
      <c r="D51" s="341"/>
      <c r="E51" s="341"/>
      <c r="F51" s="341"/>
      <c r="G51" s="341"/>
      <c r="H51" s="341"/>
      <c r="I51" s="341"/>
      <c r="J51" s="341"/>
      <c r="K51" s="341"/>
      <c r="L51" s="341"/>
      <c r="M51" s="341"/>
      <c r="N51" s="341"/>
      <c r="O51" s="341"/>
      <c r="P51" s="341"/>
      <c r="Q51" s="341"/>
      <c r="R51" s="341"/>
      <c r="S51"/>
      <c r="T51"/>
      <c r="U51"/>
      <c r="V51"/>
      <c r="W51"/>
      <c r="X51"/>
      <c r="Y51"/>
      <c r="Z51"/>
      <c r="AA51"/>
    </row>
    <row r="52" spans="1:52" s="140" customFormat="1" ht="12.6" customHeight="1"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/>
      <c r="T52"/>
      <c r="U52"/>
      <c r="V52"/>
      <c r="W52"/>
      <c r="X52"/>
      <c r="Y52"/>
      <c r="Z52"/>
      <c r="AA52"/>
    </row>
    <row r="54" spans="1:52" s="212" customFormat="1" ht="12.6" customHeight="1">
      <c r="A54" s="211"/>
      <c r="B54" s="207"/>
      <c r="S54"/>
      <c r="T54"/>
      <c r="U54"/>
      <c r="V54"/>
      <c r="W54"/>
      <c r="X54"/>
      <c r="Y54"/>
      <c r="Z54"/>
      <c r="AA54"/>
      <c r="AC54" s="328"/>
      <c r="AD54" s="207"/>
    </row>
    <row r="55" spans="1:52" s="212" customFormat="1" ht="12.6" customHeight="1">
      <c r="A55" s="329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0"/>
      <c r="N55" s="330"/>
      <c r="O55" s="330"/>
      <c r="P55" s="330"/>
      <c r="Q55" s="330"/>
      <c r="R55" s="330"/>
      <c r="S55"/>
      <c r="T55"/>
      <c r="U55"/>
      <c r="V55"/>
      <c r="W55"/>
      <c r="X55"/>
      <c r="Y55"/>
      <c r="Z55"/>
      <c r="AA55"/>
      <c r="AB55" s="330"/>
      <c r="AC55" s="330"/>
      <c r="AD55" s="207"/>
      <c r="AE55" s="330"/>
      <c r="AF55" s="330"/>
      <c r="AG55" s="330"/>
      <c r="AH55" s="330"/>
      <c r="AI55" s="330"/>
      <c r="AJ55" s="330"/>
      <c r="AK55" s="330"/>
      <c r="AL55" s="330"/>
      <c r="AM55" s="330"/>
      <c r="AN55" s="330"/>
      <c r="AO55" s="330"/>
      <c r="AP55" s="330"/>
      <c r="AQ55" s="330"/>
      <c r="AR55" s="330"/>
      <c r="AS55" s="330"/>
      <c r="AT55" s="330"/>
      <c r="AU55" s="330"/>
      <c r="AV55" s="330"/>
      <c r="AW55" s="330"/>
      <c r="AX55" s="330"/>
      <c r="AY55" s="330"/>
      <c r="AZ55" s="330"/>
    </row>
    <row r="56" spans="1:52" s="207" customFormat="1">
      <c r="C56" s="373"/>
      <c r="D56" s="373"/>
      <c r="E56" s="373"/>
      <c r="F56" s="373"/>
      <c r="G56" s="373"/>
      <c r="H56" s="373"/>
      <c r="I56" s="373"/>
      <c r="J56" s="373"/>
      <c r="K56" s="373"/>
      <c r="L56" s="373"/>
      <c r="M56" s="373"/>
      <c r="N56" s="373"/>
      <c r="O56" s="373"/>
      <c r="P56" s="373"/>
      <c r="Q56" s="373"/>
      <c r="R56" s="373"/>
      <c r="S56"/>
      <c r="T56"/>
      <c r="U56"/>
      <c r="V56"/>
      <c r="W56"/>
      <c r="X56"/>
      <c r="Y56"/>
      <c r="Z56"/>
      <c r="AA56"/>
    </row>
    <row r="57" spans="1:52" s="207" customFormat="1">
      <c r="C57" s="373"/>
      <c r="D57" s="373"/>
      <c r="E57" s="373"/>
      <c r="F57" s="373"/>
      <c r="G57" s="373"/>
      <c r="H57" s="373"/>
      <c r="I57" s="373"/>
      <c r="J57" s="373"/>
      <c r="K57" s="373"/>
      <c r="L57" s="373"/>
      <c r="M57" s="373"/>
      <c r="N57" s="373"/>
      <c r="O57" s="373"/>
      <c r="P57" s="373"/>
      <c r="Q57" s="373"/>
      <c r="R57" s="373"/>
      <c r="S57"/>
      <c r="T57"/>
      <c r="U57"/>
      <c r="V57"/>
      <c r="W57"/>
      <c r="X57"/>
      <c r="Y57"/>
      <c r="Z57"/>
      <c r="AA57"/>
    </row>
    <row r="58" spans="1:52" s="207" customFormat="1">
      <c r="C58" s="373"/>
      <c r="D58" s="373"/>
      <c r="E58" s="373"/>
      <c r="F58" s="373"/>
      <c r="G58" s="373"/>
      <c r="H58" s="373"/>
      <c r="I58" s="373"/>
      <c r="J58" s="373"/>
      <c r="K58" s="373"/>
      <c r="L58" s="373"/>
      <c r="M58" s="373"/>
      <c r="N58" s="373"/>
      <c r="O58" s="373"/>
      <c r="P58" s="373"/>
      <c r="Q58" s="373"/>
      <c r="R58" s="373"/>
      <c r="S58"/>
      <c r="T58"/>
      <c r="U58"/>
      <c r="V58"/>
      <c r="W58"/>
      <c r="X58"/>
      <c r="Y58"/>
      <c r="Z58"/>
      <c r="AA58"/>
    </row>
    <row r="59" spans="1:52" s="207" customFormat="1" ht="15">
      <c r="C59" s="374"/>
      <c r="D59" s="374"/>
      <c r="E59" s="374"/>
      <c r="F59" s="374"/>
      <c r="G59" s="374"/>
      <c r="H59" s="374"/>
      <c r="I59" s="374"/>
      <c r="J59" s="374"/>
      <c r="K59" s="374"/>
      <c r="L59" s="374"/>
      <c r="M59" s="374"/>
      <c r="N59" s="374"/>
      <c r="O59" s="374"/>
      <c r="P59" s="374"/>
      <c r="Q59" s="374"/>
      <c r="R59" s="374"/>
      <c r="S59"/>
      <c r="T59"/>
      <c r="U59"/>
      <c r="V59"/>
      <c r="W59"/>
      <c r="X59"/>
      <c r="Y59"/>
      <c r="Z59"/>
      <c r="AA59"/>
    </row>
    <row r="60" spans="1:52" s="207" customFormat="1">
      <c r="C60" s="373"/>
      <c r="D60" s="373"/>
      <c r="E60" s="373"/>
      <c r="F60" s="373"/>
      <c r="G60" s="373"/>
      <c r="H60" s="373"/>
      <c r="I60" s="373"/>
      <c r="J60" s="373"/>
      <c r="K60" s="373"/>
      <c r="L60" s="373"/>
      <c r="M60" s="373"/>
      <c r="N60" s="373"/>
      <c r="O60" s="373"/>
      <c r="P60" s="373"/>
      <c r="Q60" s="373"/>
      <c r="R60" s="373"/>
      <c r="S60"/>
      <c r="T60"/>
      <c r="U60"/>
      <c r="V60"/>
      <c r="W60"/>
      <c r="X60"/>
      <c r="Y60"/>
      <c r="Z60"/>
      <c r="AA60"/>
    </row>
    <row r="61" spans="1:52" s="207" customFormat="1">
      <c r="S61"/>
      <c r="T61"/>
      <c r="U61"/>
      <c r="V61"/>
      <c r="W61"/>
      <c r="X61"/>
      <c r="Y61"/>
      <c r="Z61"/>
      <c r="AA61"/>
    </row>
    <row r="62" spans="1:52" s="207" customFormat="1"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75"/>
      <c r="O62" s="375"/>
      <c r="P62" s="375"/>
      <c r="Q62" s="375"/>
      <c r="R62" s="375"/>
      <c r="S62"/>
      <c r="T62"/>
      <c r="U62"/>
      <c r="V62"/>
      <c r="W62"/>
      <c r="X62"/>
      <c r="Y62"/>
      <c r="Z62"/>
      <c r="AA62"/>
    </row>
  </sheetData>
  <customSheetViews>
    <customSheetView guid="{9D7575BF-255B-11D2-8267-00A0D1027254}" hiddenRows="1" showRuler="0">
      <selection activeCell="B16" sqref="B16"/>
      <colBreaks count="1" manualBreakCount="1">
        <brk id="14" max="1048575" man="1"/>
      </colBreaks>
      <pageMargins left="0.75" right="0.75" top="1" bottom="1" header="0.5" footer="0.5"/>
      <pageSetup scale="81" orientation="landscape" r:id="rId1"/>
      <headerFooter alignWithMargins="0">
        <oddFooter>&amp;L&amp;D   &amp;T&amp;RO:\Naes\GenSvcs\TVA\TVA Model\&amp;F
&amp;A &amp;P</oddFooter>
      </headerFooter>
    </customSheetView>
    <customSheetView guid="{14FB3146-3CEF-11D2-B9CE-0060080D6A65}" hiddenRows="1" showRuler="0">
      <selection activeCell="B16" sqref="B16"/>
      <colBreaks count="1" manualBreakCount="1">
        <brk id="14" max="1048575" man="1"/>
      </colBreaks>
      <pageMargins left="0.75" right="0.75" top="1" bottom="1" header="0.5" footer="0.5"/>
      <pageSetup scale="81" orientation="landscape" r:id="rId2"/>
      <headerFooter alignWithMargins="0">
        <oddFooter>&amp;L&amp;D   &amp;T&amp;RO:\Naes\GenSvcs\TVA\TVA Model\&amp;F
&amp;A &amp;P</oddFooter>
      </headerFooter>
    </customSheetView>
  </customSheetViews>
  <printOptions horizontalCentered="1" verticalCentered="1"/>
  <pageMargins left="0.75" right="0.75" top="1" bottom="1" header="0.5" footer="0.5"/>
  <pageSetup scale="63" orientation="landscape" r:id="rId3"/>
  <headerFooter alignWithMargins="0">
    <oddFooter>&amp;L&amp;D   &amp;T&amp;RO:\Naes\GenSvcs\TVA\TVA Model\&amp;F
&amp;A &amp;P</oddFooter>
  </headerFooter>
  <colBreaks count="1" manualBreakCount="1">
    <brk id="1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Z185"/>
  <sheetViews>
    <sheetView zoomScaleNormal="75" zoomScaleSheetLayoutView="100" workbookViewId="0">
      <selection activeCell="D17" sqref="D17"/>
    </sheetView>
  </sheetViews>
  <sheetFormatPr defaultRowHeight="13.2"/>
  <cols>
    <col min="1" max="1" width="42.6640625" bestFit="1" customWidth="1"/>
    <col min="2" max="2" width="6.33203125" bestFit="1" customWidth="1"/>
    <col min="3" max="18" width="7.6640625" customWidth="1"/>
    <col min="19" max="27" width="9" bestFit="1" customWidth="1"/>
  </cols>
  <sheetData>
    <row r="1" spans="1:52" ht="24.6">
      <c r="A1" s="438" t="str">
        <f>'Project Assumptions'!$A$2</f>
        <v>PROJECT DOYLE</v>
      </c>
    </row>
    <row r="2" spans="1:52" ht="17.399999999999999">
      <c r="A2" s="439" t="s">
        <v>96</v>
      </c>
    </row>
    <row r="3" spans="1:52">
      <c r="C3" s="10">
        <f>'Book Income Statement'!C3</f>
        <v>1</v>
      </c>
      <c r="D3" s="10">
        <f>'Book Income Statement'!D3</f>
        <v>2</v>
      </c>
      <c r="E3" s="10">
        <f>'Book Income Statement'!E3</f>
        <v>3</v>
      </c>
      <c r="F3" s="10">
        <f>'Book Income Statement'!F3</f>
        <v>4</v>
      </c>
      <c r="G3" s="10">
        <f>'Book Income Statement'!G3</f>
        <v>5</v>
      </c>
      <c r="H3" s="10">
        <f>'Book Income Statement'!H3</f>
        <v>6</v>
      </c>
      <c r="I3" s="10">
        <f>'Book Income Statement'!I3</f>
        <v>7</v>
      </c>
      <c r="J3" s="10">
        <f>'Book Income Statement'!J3</f>
        <v>8</v>
      </c>
      <c r="K3" s="10">
        <f>'Book Income Statement'!K3</f>
        <v>9</v>
      </c>
      <c r="L3" s="10">
        <f>'Book Income Statement'!L3</f>
        <v>10</v>
      </c>
      <c r="M3" s="10">
        <f>'Book Income Statement'!M3</f>
        <v>11</v>
      </c>
      <c r="N3" s="10">
        <f>'Book Income Statement'!N3</f>
        <v>12</v>
      </c>
      <c r="O3" s="10">
        <f>'Book Income Statement'!O3</f>
        <v>13</v>
      </c>
      <c r="P3" s="10">
        <f>'Book Income Statement'!P3</f>
        <v>14</v>
      </c>
      <c r="Q3" s="10">
        <f>'Book Income Statement'!Q3</f>
        <v>15</v>
      </c>
      <c r="R3" s="10">
        <f>'Book Income Statement'!R3</f>
        <v>16</v>
      </c>
    </row>
    <row r="4" spans="1:52">
      <c r="C4" s="60">
        <f>'Book Income Statement'!C4</f>
        <v>2000</v>
      </c>
      <c r="D4" s="60">
        <f>'Book Income Statement'!D4</f>
        <v>2001</v>
      </c>
      <c r="E4" s="60">
        <f>'Book Income Statement'!E4</f>
        <v>2002</v>
      </c>
      <c r="F4" s="60">
        <f>'Book Income Statement'!F4</f>
        <v>2003</v>
      </c>
      <c r="G4" s="60">
        <f>'Book Income Statement'!G4</f>
        <v>2004</v>
      </c>
      <c r="H4" s="60">
        <f>'Book Income Statement'!H4</f>
        <v>2005</v>
      </c>
      <c r="I4" s="60">
        <f>'Book Income Statement'!I4</f>
        <v>2006</v>
      </c>
      <c r="J4" s="60">
        <f>'Book Income Statement'!J4</f>
        <v>2007</v>
      </c>
      <c r="K4" s="60">
        <f>'Book Income Statement'!K4</f>
        <v>2008</v>
      </c>
      <c r="L4" s="60">
        <f>'Book Income Statement'!L4</f>
        <v>2009</v>
      </c>
      <c r="M4" s="60">
        <f>'Book Income Statement'!M4</f>
        <v>2010</v>
      </c>
      <c r="N4" s="60">
        <f>'Book Income Statement'!N4</f>
        <v>2011</v>
      </c>
      <c r="O4" s="60">
        <f>'Book Income Statement'!O4</f>
        <v>2012</v>
      </c>
      <c r="P4" s="60">
        <f>'Book Income Statement'!P4</f>
        <v>2013</v>
      </c>
      <c r="Q4" s="60">
        <f>'Book Income Statement'!Q4</f>
        <v>2014</v>
      </c>
      <c r="R4" s="60">
        <f>'Book Income Statement'!R4</f>
        <v>2015</v>
      </c>
    </row>
    <row r="5" spans="1:52" s="212" customFormat="1" ht="12.6" customHeight="1">
      <c r="A5" s="329" t="s">
        <v>170</v>
      </c>
      <c r="C5" s="171">
        <f>'Book Income Statement'!C5</f>
        <v>6.3250000000000002</v>
      </c>
      <c r="D5" s="171">
        <f>'Book Income Statement'!D5</f>
        <v>12</v>
      </c>
      <c r="E5" s="171">
        <f>'Book Income Statement'!E5</f>
        <v>12</v>
      </c>
      <c r="F5" s="171">
        <f>'Book Income Statement'!F5</f>
        <v>12</v>
      </c>
      <c r="G5" s="171">
        <f>'Book Income Statement'!G5</f>
        <v>12</v>
      </c>
      <c r="H5" s="171">
        <f>'Book Income Statement'!H5</f>
        <v>12</v>
      </c>
      <c r="I5" s="171">
        <f>'Book Income Statement'!I5</f>
        <v>12</v>
      </c>
      <c r="J5" s="171">
        <f>'Book Income Statement'!J5</f>
        <v>12</v>
      </c>
      <c r="K5" s="171">
        <f>'Book Income Statement'!K5</f>
        <v>12</v>
      </c>
      <c r="L5" s="171">
        <f>'Book Income Statement'!L5</f>
        <v>12</v>
      </c>
      <c r="M5" s="171">
        <f>'Book Income Statement'!M5</f>
        <v>12</v>
      </c>
      <c r="N5" s="171">
        <f>'Book Income Statement'!N5</f>
        <v>12</v>
      </c>
      <c r="O5" s="171">
        <f>'Book Income Statement'!O5</f>
        <v>12</v>
      </c>
      <c r="P5" s="171">
        <f>'Book Income Statement'!P5</f>
        <v>12</v>
      </c>
      <c r="Q5" s="171">
        <f>'Book Income Statement'!Q5</f>
        <v>12</v>
      </c>
      <c r="R5" s="171">
        <f>'Book Income Statement'!R5</f>
        <v>8</v>
      </c>
      <c r="S5"/>
      <c r="T5"/>
      <c r="U5"/>
      <c r="V5"/>
      <c r="W5"/>
      <c r="X5"/>
      <c r="Y5"/>
      <c r="Z5"/>
      <c r="AA5"/>
      <c r="AB5" s="330"/>
      <c r="AC5" s="330"/>
      <c r="AD5" s="207"/>
      <c r="AE5" s="330"/>
      <c r="AF5" s="330"/>
      <c r="AG5" s="330"/>
      <c r="AH5" s="330"/>
      <c r="AI5" s="330"/>
      <c r="AJ5" s="330"/>
      <c r="AK5" s="330"/>
      <c r="AL5" s="330"/>
      <c r="AM5" s="330"/>
      <c r="AN5" s="330"/>
      <c r="AO5" s="330"/>
      <c r="AP5" s="330"/>
      <c r="AQ5" s="330"/>
      <c r="AR5" s="330"/>
      <c r="AS5" s="330"/>
      <c r="AT5" s="330"/>
      <c r="AU5" s="330"/>
      <c r="AV5" s="330"/>
      <c r="AW5" s="330"/>
      <c r="AX5" s="330"/>
      <c r="AY5" s="330"/>
      <c r="AZ5" s="330"/>
    </row>
    <row r="6" spans="1:52" s="143" customFormat="1" ht="15.6">
      <c r="A6" s="194" t="s">
        <v>216</v>
      </c>
      <c r="S6"/>
      <c r="T6"/>
      <c r="U6"/>
      <c r="V6"/>
      <c r="W6"/>
      <c r="X6"/>
      <c r="Y6"/>
      <c r="Z6"/>
      <c r="AA6"/>
    </row>
    <row r="7" spans="1:52" s="361" customFormat="1" ht="12.6" customHeight="1">
      <c r="A7" s="361" t="s">
        <v>93</v>
      </c>
      <c r="C7" s="363">
        <f>'Project Assumptions'!$I$28</f>
        <v>2.9380000000000002</v>
      </c>
      <c r="D7" s="362">
        <f>IF(D3&gt;'Project Assumptions'!$I$15+1,0,C7*(1+D8))</f>
        <v>2.9380000000000002</v>
      </c>
      <c r="E7" s="362">
        <f>IF(E3&gt;'Project Assumptions'!$I$15+1,0,D7*(1+E8))</f>
        <v>2.9380000000000002</v>
      </c>
      <c r="F7" s="362">
        <f>IF(F3&gt;'Project Assumptions'!$I$15+1,0,E7*(1+F8))</f>
        <v>2.9380000000000002</v>
      </c>
      <c r="G7" s="362">
        <f>IF(G3&gt;'Project Assumptions'!$I$15+1,0,F7*(1+G8))</f>
        <v>2.9380000000000002</v>
      </c>
      <c r="H7" s="362">
        <f>IF(H3&gt;'Project Assumptions'!$I$15+1,0,G7*(1+H8))</f>
        <v>2.9380000000000002</v>
      </c>
      <c r="I7" s="362">
        <f>IF(I3&gt;'Project Assumptions'!$I$15+1,0,H7*(1+I8))</f>
        <v>2.9380000000000002</v>
      </c>
      <c r="J7" s="362">
        <f>IF(J3&gt;'Project Assumptions'!$I$15+1,0,I7*(1+J8))</f>
        <v>2.9380000000000002</v>
      </c>
      <c r="K7" s="362">
        <f>IF(K3&gt;'Project Assumptions'!$I$15+1,0,J7*(1+K8))</f>
        <v>2.9380000000000002</v>
      </c>
      <c r="L7" s="362">
        <f>IF(L3&gt;'Project Assumptions'!$I$15+1,0,K7*(1+L8))</f>
        <v>2.9380000000000002</v>
      </c>
      <c r="M7" s="362">
        <f>IF(M3&gt;'Project Assumptions'!$I$15+1,0,L7*(1+M8))</f>
        <v>2.9380000000000002</v>
      </c>
      <c r="N7" s="362">
        <f>IF(N3&gt;'Project Assumptions'!$I$15+1,0,M7*(1+N8))</f>
        <v>2.9380000000000002</v>
      </c>
      <c r="O7" s="362">
        <f>IF(O3&gt;'Project Assumptions'!$I$15+1,0,N7*(1+O8))</f>
        <v>2.9380000000000002</v>
      </c>
      <c r="P7" s="362">
        <f>IF(P3&gt;'Project Assumptions'!$I$15+1,0,O7*(1+P8))</f>
        <v>2.9380000000000002</v>
      </c>
      <c r="Q7" s="362">
        <f>IF(Q3&gt;'Project Assumptions'!$I$15+1,0,P7*(1+Q8))</f>
        <v>2.9380000000000002</v>
      </c>
      <c r="R7" s="362">
        <f>IF(R3&gt;'Project Assumptions'!$I$15+1,0,Q7*(1+R8))</f>
        <v>2.9380000000000002</v>
      </c>
      <c r="S7"/>
      <c r="T7"/>
      <c r="U7"/>
      <c r="V7"/>
      <c r="W7"/>
      <c r="X7"/>
      <c r="Y7"/>
      <c r="Z7"/>
      <c r="AA7"/>
    </row>
    <row r="8" spans="1:52" s="361" customFormat="1" ht="12.6" customHeight="1">
      <c r="A8" s="361" t="s">
        <v>94</v>
      </c>
      <c r="C8" s="362"/>
      <c r="D8" s="363">
        <f>'Project Assumptions'!$I$29</f>
        <v>0</v>
      </c>
      <c r="E8" s="362">
        <f>IF(E3&gt;'Project Assumptions'!$I$15+1,0,D8)</f>
        <v>0</v>
      </c>
      <c r="F8" s="362">
        <f>IF(F3&gt;'Project Assumptions'!$I$15+1,0,E8)</f>
        <v>0</v>
      </c>
      <c r="G8" s="362">
        <f>IF(G3&gt;'Project Assumptions'!$I$15+1,0,F8)</f>
        <v>0</v>
      </c>
      <c r="H8" s="362">
        <f>IF(H3&gt;'Project Assumptions'!$I$15+1,0,G8)</f>
        <v>0</v>
      </c>
      <c r="I8" s="362">
        <f>IF(I3&gt;'Project Assumptions'!$I$15+1,0,H8)</f>
        <v>0</v>
      </c>
      <c r="J8" s="362">
        <f>IF(J3&gt;'Project Assumptions'!$I$15+1,0,I8)</f>
        <v>0</v>
      </c>
      <c r="K8" s="362">
        <f>IF(K3&gt;'Project Assumptions'!$I$15+1,0,J8)</f>
        <v>0</v>
      </c>
      <c r="L8" s="362">
        <f>IF(L3&gt;'Project Assumptions'!$I$15+1,0,K8)</f>
        <v>0</v>
      </c>
      <c r="M8" s="362">
        <f>IF(M3&gt;'Project Assumptions'!$I$15+1,0,L8)</f>
        <v>0</v>
      </c>
      <c r="N8" s="362">
        <f>IF(N3&gt;'Project Assumptions'!$I$15+1,0,M8)</f>
        <v>0</v>
      </c>
      <c r="O8" s="362">
        <f>IF(O3&gt;'Project Assumptions'!$I$15+1,0,N8)</f>
        <v>0</v>
      </c>
      <c r="P8" s="362">
        <f>IF(P3&gt;'Project Assumptions'!$I$15+1,0,O8)</f>
        <v>0</v>
      </c>
      <c r="Q8" s="362">
        <f>IF(Q3&gt;'Project Assumptions'!$I$15+1,0,P8)</f>
        <v>0</v>
      </c>
      <c r="R8" s="362">
        <f>IF(R3&gt;'Project Assumptions'!$I$15+1,0,Q8)</f>
        <v>0</v>
      </c>
      <c r="S8"/>
      <c r="T8"/>
      <c r="U8"/>
      <c r="V8"/>
      <c r="W8"/>
      <c r="X8"/>
      <c r="Y8"/>
      <c r="Z8"/>
      <c r="AA8"/>
    </row>
    <row r="9" spans="1:52" s="361" customFormat="1" ht="12" customHeight="1">
      <c r="C9" s="364"/>
      <c r="D9" s="365"/>
      <c r="E9" s="365"/>
      <c r="F9" s="365"/>
      <c r="G9" s="365"/>
      <c r="H9" s="365"/>
      <c r="I9" s="365"/>
      <c r="J9" s="365"/>
      <c r="K9" s="365"/>
      <c r="L9" s="365"/>
      <c r="M9" s="365"/>
      <c r="N9" s="365"/>
      <c r="O9" s="365"/>
      <c r="P9" s="365"/>
      <c r="Q9" s="365"/>
      <c r="R9" s="365"/>
      <c r="S9"/>
      <c r="T9"/>
      <c r="U9"/>
      <c r="V9"/>
      <c r="W9"/>
      <c r="X9"/>
      <c r="Y9"/>
      <c r="Z9"/>
      <c r="AA9"/>
    </row>
    <row r="10" spans="1:52" s="366" customFormat="1" ht="15.6">
      <c r="A10" s="194" t="s">
        <v>100</v>
      </c>
      <c r="S10"/>
      <c r="T10"/>
      <c r="U10"/>
      <c r="V10"/>
      <c r="W10"/>
      <c r="X10"/>
      <c r="Y10"/>
      <c r="Z10"/>
      <c r="AA10"/>
    </row>
    <row r="11" spans="1:52" s="359" customFormat="1" ht="12.6" customHeight="1">
      <c r="A11" s="358" t="s">
        <v>51</v>
      </c>
      <c r="C11" s="360">
        <f>IF(C3&gt;'Project Assumptions'!$I$15+1,0,IF(Operations!C17=0,0,(Operations!C21)/Operations!C17*1000))</f>
        <v>27.227282738095237</v>
      </c>
      <c r="D11" s="360">
        <f>IF(D3&gt;'Project Assumptions'!$I$15+1,0,IF(Operations!D17=0,0,(Operations!D21)/Operations!D17*1000))</f>
        <v>27.588706845238089</v>
      </c>
      <c r="E11" s="360">
        <f>IF(E3&gt;'Project Assumptions'!$I$15+1,0,IF(Operations!E17=0,0,(Operations!E21)/Operations!E17*1000))</f>
        <v>28.191080357142852</v>
      </c>
      <c r="F11" s="360">
        <f>IF(F3&gt;'Project Assumptions'!$I$15+1,0,IF(Operations!F17=0,0,(Operations!F21)/Operations!F17*1000))</f>
        <v>28.552504464285715</v>
      </c>
      <c r="G11" s="360">
        <f>IF(G3&gt;'Project Assumptions'!$I$15+1,0,IF(Operations!G17=0,0,(Operations!G21)/Operations!G17*1000))</f>
        <v>29.15487797619047</v>
      </c>
      <c r="H11" s="360">
        <f>IF(H3&gt;'Project Assumptions'!$I$15+1,0,IF(Operations!H17=0,0,(Operations!H21)/Operations!H17*1000))</f>
        <v>29.516302083333333</v>
      </c>
      <c r="I11" s="360">
        <f>IF(I3&gt;'Project Assumptions'!$I$15+1,0,IF(Operations!I17=0,0,(Operations!I21)/Operations!I17*1000))</f>
        <v>30.359624999999998</v>
      </c>
      <c r="J11" s="360">
        <f>IF(J3&gt;'Project Assumptions'!$I$15+1,0,IF(Operations!J17=0,0,(Operations!J21)/Operations!J17*1000))</f>
        <v>31.323422619047616</v>
      </c>
      <c r="K11" s="360">
        <f>IF(K3&gt;'Project Assumptions'!$I$15+1,0,IF(Operations!K17=0,0,(Operations!K21)/Operations!K17*1000))</f>
        <v>32.046270833333331</v>
      </c>
      <c r="L11" s="360">
        <f>IF(L3&gt;'Project Assumptions'!$I$15+1,0,IF(Operations!L17=0,0,(Operations!L21)/Operations!L17*1000))</f>
        <v>33.010068452380949</v>
      </c>
      <c r="M11" s="360">
        <f>IF(M3&gt;'Project Assumptions'!$I$15+1,0,IF(Operations!M17=0,0,(Operations!M21)/Operations!M17*1000))</f>
        <v>33.97386607142856</v>
      </c>
      <c r="N11" s="360">
        <f>IF(N3&gt;'Project Assumptions'!$I$15+1,0,IF(Operations!N17=0,0,(Operations!N21)/Operations!N17*1000))</f>
        <v>35.058138392857138</v>
      </c>
      <c r="O11" s="360">
        <f>IF(O3&gt;'Project Assumptions'!$I$15+1,0,IF(Operations!O17=0,0,(Operations!O21)/Operations!O17*1000))</f>
        <v>36.021936011904756</v>
      </c>
      <c r="P11" s="360">
        <f>IF(P3&gt;'Project Assumptions'!$I$15+1,0,IF(Operations!P17=0,0,(Operations!P21)/Operations!P17*1000))</f>
        <v>36.985733630952375</v>
      </c>
      <c r="Q11" s="360">
        <f>IF(Q3&gt;'Project Assumptions'!$I$15+1,0,IF(Operations!Q17=0,0,(Operations!Q21)/Operations!Q17*1000))</f>
        <v>38.070005952380946</v>
      </c>
      <c r="R11" s="360">
        <f>IF(R3&gt;'Project Assumptions'!$I$15+1,0,IF(Operations!R17=0,0,(Operations!R21)/Operations!R17*1000))</f>
        <v>0</v>
      </c>
      <c r="S11"/>
      <c r="T11"/>
      <c r="U11"/>
      <c r="V11"/>
      <c r="W11"/>
      <c r="X11"/>
      <c r="Y11"/>
      <c r="Z11"/>
      <c r="AA11"/>
    </row>
    <row r="12" spans="1:52" s="357" customFormat="1" ht="12.6" customHeight="1">
      <c r="A12" s="356" t="s">
        <v>198</v>
      </c>
      <c r="B12" s="359" t="str">
        <f>IF('Project Assumptions'!$C$72="Assumed", "Off","On")</f>
        <v>On</v>
      </c>
      <c r="C12" s="355">
        <f>IF($B$12="Off","",IF(C3&gt;'Project Assumptions'!$I$15+1,0,IF(Operations!C17=0,0,('Book Income Statement'!C19+'Book Income Statement'!C22)/Operations!C17*1000)))</f>
        <v>1.7607142857142859</v>
      </c>
      <c r="D12" s="355">
        <f>IF($B$12="Off","",IF(D3&gt;'Project Assumptions'!$I$15+1,0,IF(Operations!D17=0,0,('Book Income Statement'!D19+'Book Income Statement'!D22)/Operations!D17*1000)))</f>
        <v>1.7959285714285715</v>
      </c>
      <c r="E12" s="355">
        <f>IF($B$12="Off","",IF(E3&gt;'Project Assumptions'!$I$15+1,0,IF(Operations!E17=0,0,('Book Income Statement'!E19+'Book Income Statement'!E22)/Operations!E17*1000)))</f>
        <v>1.831847142857143</v>
      </c>
      <c r="F12" s="355">
        <f>IF($B$12="Off","",IF(F3&gt;'Project Assumptions'!$I$15+1,0,IF(Operations!F17=0,0,('Book Income Statement'!F19+'Book Income Statement'!F22)/Operations!F17*1000)))</f>
        <v>1.8684840857142864</v>
      </c>
      <c r="G12" s="355">
        <f>IF($B$12="Off","",IF(G3&gt;'Project Assumptions'!$I$15+1,0,IF(Operations!G17=0,0,('Book Income Statement'!G19+'Book Income Statement'!G22)/Operations!G17*1000)))</f>
        <v>1.9058537674285723</v>
      </c>
      <c r="H12" s="355">
        <f>IF($B$12="Off","",IF(H3&gt;'Project Assumptions'!$I$15+1,0,IF(Operations!H17=0,0,('Book Income Statement'!H19+'Book Income Statement'!H22)/Operations!H17*1000)))</f>
        <v>1.9439708427771436</v>
      </c>
      <c r="I12" s="355">
        <f>IF($B$12="Off","",IF(I3&gt;'Project Assumptions'!$I$15+1,0,IF(Operations!I17=0,0,('Book Income Statement'!I19+'Book Income Statement'!I22)/Operations!I17*1000)))</f>
        <v>1.9828502596326865</v>
      </c>
      <c r="J12" s="355">
        <f>IF($B$12="Off","",IF(J3&gt;'Project Assumptions'!$I$15+1,0,IF(Operations!J17=0,0,('Book Income Statement'!J19+'Book Income Statement'!J22)/Operations!J17*1000)))</f>
        <v>2.0225072648253404</v>
      </c>
      <c r="K12" s="355">
        <f>IF($B$12="Off","",IF(K3&gt;'Project Assumptions'!$I$15+1,0,IF(Operations!K17=0,0,('Book Income Statement'!K19+'Book Income Statement'!K22)/Operations!K17*1000)))</f>
        <v>2.0629574101218475</v>
      </c>
      <c r="L12" s="355">
        <f>IF($B$12="Off","",IF(L3&gt;'Project Assumptions'!$I$15+1,0,IF(Operations!L17=0,0,('Book Income Statement'!L19+'Book Income Statement'!L22)/Operations!L17*1000)))</f>
        <v>2.1042165583242842</v>
      </c>
      <c r="M12" s="355">
        <f>IF($B$12="Off","",IF(M3&gt;'Project Assumptions'!$I$15+1,0,IF(Operations!M17=0,0,('Book Income Statement'!M19+'Book Income Statement'!M22)/Operations!M17*1000)))</f>
        <v>2.14630088949077</v>
      </c>
      <c r="N12" s="355">
        <f>IF($B$12="Off","",IF(N3&gt;'Project Assumptions'!$I$15+1,0,IF(Operations!N17=0,0,('Book Income Statement'!N19+'Book Income Statement'!N22)/Operations!N17*1000)))</f>
        <v>2.189226907280585</v>
      </c>
      <c r="O12" s="355">
        <f>IF($B$12="Off","",IF(O3&gt;'Project Assumptions'!$I$15+1,0,IF(Operations!O17=0,0,('Book Income Statement'!O19+'Book Income Statement'!O22)/Operations!O17*1000)))</f>
        <v>2.2330114454261967</v>
      </c>
      <c r="P12" s="355">
        <f>IF($B$12="Off","",IF(P3&gt;'Project Assumptions'!$I$15+1,0,IF(Operations!P17=0,0,('Book Income Statement'!P19+'Book Income Statement'!P22)/Operations!P17*1000)))</f>
        <v>2.2776716743347212</v>
      </c>
      <c r="Q12" s="355">
        <f>IF($B$12="Off","",IF(Q3&gt;'Project Assumptions'!$I$15+1,0,IF(Operations!Q17=0,0,('Book Income Statement'!Q19+'Book Income Statement'!Q22)/Operations!Q17*1000)))</f>
        <v>2.3232251078214152</v>
      </c>
      <c r="R12" s="355">
        <f>IF($B$12="Off","",IF(R3&gt;'Project Assumptions'!$I$15+1,0,IF(Operations!R17=0,0,('Book Income Statement'!R19+'Book Income Statement'!R22)/Operations!R17*1000)))</f>
        <v>0</v>
      </c>
      <c r="S12"/>
      <c r="T12"/>
      <c r="U12"/>
      <c r="V12"/>
      <c r="W12"/>
      <c r="X12"/>
      <c r="Y12"/>
      <c r="Z12"/>
      <c r="AA12"/>
    </row>
    <row r="13" spans="1:52" s="359" customFormat="1" ht="12.6" customHeight="1">
      <c r="A13" s="358" t="s">
        <v>197</v>
      </c>
      <c r="B13" s="359" t="str">
        <f>IF('Project Assumptions'!$C$72="Assumed", "On","Off")</f>
        <v>Off</v>
      </c>
      <c r="C13" s="355" t="str">
        <f>IF($B$13="Off","",'Project Assumptions'!$C$73)</f>
        <v/>
      </c>
      <c r="D13" s="355" t="str">
        <f>IF($B$13="Off","",IF(D3&gt;'Project Assumptions'!$I$15+1,0,C13*(1+'Project Assumptions'!$C$74)))</f>
        <v/>
      </c>
      <c r="E13" s="355" t="str">
        <f>IF($B$13="Off","",IF(E3&gt;'Project Assumptions'!$I$15+1,0,D13*(1+'Project Assumptions'!$C$74)))</f>
        <v/>
      </c>
      <c r="F13" s="355" t="str">
        <f>IF($B$13="Off","",IF(F3&gt;'Project Assumptions'!$I$15+1,0,E13*(1+'Project Assumptions'!$C$74)))</f>
        <v/>
      </c>
      <c r="G13" s="355" t="str">
        <f>IF($B$13="Off","",IF(G3&gt;'Project Assumptions'!$I$15+1,0,F13*(1+'Project Assumptions'!$C$74)))</f>
        <v/>
      </c>
      <c r="H13" s="355" t="str">
        <f>IF($B$13="Off","",IF(H3&gt;'Project Assumptions'!$I$15+1,0,G13*(1+'Project Assumptions'!$C$74)))</f>
        <v/>
      </c>
      <c r="I13" s="355" t="str">
        <f>IF($B$13="Off","",IF(I3&gt;'Project Assumptions'!$I$15+1,0,H13*(1+'Project Assumptions'!$C$74)))</f>
        <v/>
      </c>
      <c r="J13" s="355" t="str">
        <f>IF($B$13="Off","",IF(J3&gt;'Project Assumptions'!$I$15+1,0,I13*(1+'Project Assumptions'!$C$74)))</f>
        <v/>
      </c>
      <c r="K13" s="355" t="str">
        <f>IF($B$13="Off","",IF(K3&gt;'Project Assumptions'!$I$15+1,0,J13*(1+'Project Assumptions'!$C$74)))</f>
        <v/>
      </c>
      <c r="L13" s="355" t="str">
        <f>IF($B$13="Off","",IF(L3&gt;'Project Assumptions'!$I$15+1,0,K13*(1+'Project Assumptions'!$C$74)))</f>
        <v/>
      </c>
      <c r="M13" s="355" t="str">
        <f>IF($B$13="Off","",IF(M3&gt;'Project Assumptions'!$I$15+1,0,L13*(1+'Project Assumptions'!$C$74)))</f>
        <v/>
      </c>
      <c r="N13" s="355" t="str">
        <f>IF($B$13="Off","",IF(N3&gt;'Project Assumptions'!$I$15+1,0,M13*(1+'Project Assumptions'!$C$74)))</f>
        <v/>
      </c>
      <c r="O13" s="355" t="str">
        <f>IF($B$13="Off","",IF(O3&gt;'Project Assumptions'!$I$15+1,0,N13*(1+'Project Assumptions'!$C$74)))</f>
        <v/>
      </c>
      <c r="P13" s="355" t="str">
        <f>IF($B$13="Off","",IF(P3&gt;'Project Assumptions'!$I$15+1,0,O13*(1+'Project Assumptions'!$C$74)))</f>
        <v/>
      </c>
      <c r="Q13" s="355" t="str">
        <f>IF($B$13="Off","",IF(Q3&gt;'Project Assumptions'!$I$15+1,0,P13*(1+'Project Assumptions'!$C$74)))</f>
        <v/>
      </c>
      <c r="R13" s="355" t="str">
        <f>IF($B$13="Off","",IF(R3&gt;'Project Assumptions'!$I$15+1,0,Q13*(1+'Project Assumptions'!$C$74)))</f>
        <v/>
      </c>
      <c r="S13"/>
      <c r="T13"/>
      <c r="U13"/>
      <c r="V13"/>
      <c r="W13"/>
      <c r="X13"/>
      <c r="Y13"/>
      <c r="Z13"/>
      <c r="AA13"/>
    </row>
    <row r="14" spans="1:52" s="359" customFormat="1" ht="12.6" customHeight="1">
      <c r="A14" s="358" t="s">
        <v>95</v>
      </c>
      <c r="C14" s="360">
        <f t="shared" ref="C14:R14" si="0">SUM(C11:C13)</f>
        <v>28.987997023809523</v>
      </c>
      <c r="D14" s="360">
        <f t="shared" si="0"/>
        <v>29.384635416666661</v>
      </c>
      <c r="E14" s="360">
        <f t="shared" si="0"/>
        <v>30.022927499999994</v>
      </c>
      <c r="F14" s="360">
        <f t="shared" si="0"/>
        <v>30.420988550000001</v>
      </c>
      <c r="G14" s="360">
        <f t="shared" si="0"/>
        <v>31.060731743619041</v>
      </c>
      <c r="H14" s="360">
        <f t="shared" si="0"/>
        <v>31.460272926110477</v>
      </c>
      <c r="I14" s="360">
        <f t="shared" si="0"/>
        <v>32.342475259632685</v>
      </c>
      <c r="J14" s="360">
        <f t="shared" si="0"/>
        <v>33.345929883872955</v>
      </c>
      <c r="K14" s="360">
        <f t="shared" si="0"/>
        <v>34.109228243455178</v>
      </c>
      <c r="L14" s="360">
        <f t="shared" si="0"/>
        <v>35.114285010705231</v>
      </c>
      <c r="M14" s="360">
        <f t="shared" si="0"/>
        <v>36.120166960919327</v>
      </c>
      <c r="N14" s="360">
        <f t="shared" si="0"/>
        <v>37.247365300137723</v>
      </c>
      <c r="O14" s="360">
        <f t="shared" si="0"/>
        <v>38.254947457330957</v>
      </c>
      <c r="P14" s="360">
        <f t="shared" si="0"/>
        <v>39.263405305287094</v>
      </c>
      <c r="Q14" s="360">
        <f t="shared" si="0"/>
        <v>40.393231060202361</v>
      </c>
      <c r="R14" s="360">
        <f t="shared" si="0"/>
        <v>0</v>
      </c>
      <c r="S14"/>
      <c r="T14"/>
      <c r="U14"/>
      <c r="V14"/>
      <c r="W14"/>
      <c r="X14"/>
      <c r="Y14"/>
      <c r="Z14"/>
      <c r="AA14"/>
    </row>
    <row r="15" spans="1:52" s="359" customFormat="1" ht="12.6" customHeight="1">
      <c r="A15" s="358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355"/>
      <c r="N15" s="355"/>
      <c r="O15" s="355"/>
      <c r="P15" s="355"/>
      <c r="Q15" s="355"/>
      <c r="R15" s="355"/>
      <c r="S15"/>
      <c r="T15"/>
      <c r="U15"/>
      <c r="V15"/>
      <c r="W15"/>
      <c r="X15"/>
      <c r="Y15"/>
      <c r="Z15"/>
      <c r="AA15"/>
    </row>
    <row r="16" spans="1:52" s="361" customFormat="1" ht="12.6" customHeight="1">
      <c r="A16" s="361" t="s">
        <v>232</v>
      </c>
      <c r="C16" s="362">
        <f>IF(AND('Project Assumptions'!$C$72="Actual",'Project Assumptions'!$C$71="Yes"),C$14,IF(AND('Project Assumptions'!$C$72="None",'Project Assumptions'!$C$71="No"),C$11,IF('Project Assumptions'!$C$72="Assumed",C$13+C$11,IF('Project Assumptions'!$C$72="Actual",C$11+C$12,C$11+C$15))))</f>
        <v>28.987997023809523</v>
      </c>
      <c r="D16" s="362">
        <f>IF(AND('Project Assumptions'!$C$72="Actual",'Project Assumptions'!$C$71="Yes"),D$14,IF(AND('Project Assumptions'!$C$72="None",'Project Assumptions'!$C$71="No"),D$11,IF('Project Assumptions'!$C$72="Assumed",D$13+D$11,IF('Project Assumptions'!$C$72="Actual",D$11+D$12,D$11+D$15))))</f>
        <v>29.384635416666661</v>
      </c>
      <c r="E16" s="362">
        <f>IF(AND('Project Assumptions'!$C$72="Actual",'Project Assumptions'!$C$71="Yes"),E$14,IF(AND('Project Assumptions'!$C$72="None",'Project Assumptions'!$C$71="No"),E$11,IF('Project Assumptions'!$C$72="Assumed",E$13+E$11,IF('Project Assumptions'!$C$72="Actual",E$11+E$12,E$11+E$15))))</f>
        <v>30.022927499999994</v>
      </c>
      <c r="F16" s="362">
        <f>IF(AND('Project Assumptions'!$C$72="Actual",'Project Assumptions'!$C$71="Yes"),F$14,IF(AND('Project Assumptions'!$C$72="None",'Project Assumptions'!$C$71="No"),F$11,IF('Project Assumptions'!$C$72="Assumed",F$13+F$11,IF('Project Assumptions'!$C$72="Actual",F$11+F$12,F$11+F$15))))</f>
        <v>30.420988550000001</v>
      </c>
      <c r="G16" s="362">
        <f>IF(AND('Project Assumptions'!$C$72="Actual",'Project Assumptions'!$C$71="Yes"),G$14,IF(AND('Project Assumptions'!$C$72="None",'Project Assumptions'!$C$71="No"),G$11,IF('Project Assumptions'!$C$72="Assumed",G$13+G$11,IF('Project Assumptions'!$C$72="Actual",G$11+G$12,G$11+G$15))))</f>
        <v>31.060731743619041</v>
      </c>
      <c r="H16" s="362">
        <f>IF(AND('Project Assumptions'!$C$72="Actual",'Project Assumptions'!$C$71="Yes"),H$14,IF(AND('Project Assumptions'!$C$72="None",'Project Assumptions'!$C$71="No"),H$11,IF('Project Assumptions'!$C$72="Assumed",H$13+H$11,IF('Project Assumptions'!$C$72="Actual",H$11+H$12,H$11+H$15))))</f>
        <v>31.460272926110477</v>
      </c>
      <c r="I16" s="362">
        <f>IF(AND('Project Assumptions'!$C$72="Actual",'Project Assumptions'!$C$71="Yes"),I$14,IF(AND('Project Assumptions'!$C$72="None",'Project Assumptions'!$C$71="No"),I$11,IF('Project Assumptions'!$C$72="Assumed",I$13+I$11,IF('Project Assumptions'!$C$72="Actual",I$11+I$12,I$11+I$15))))</f>
        <v>32.342475259632685</v>
      </c>
      <c r="J16" s="362">
        <f>IF(AND('Project Assumptions'!$C$72="Actual",'Project Assumptions'!$C$71="Yes"),J$14,IF(AND('Project Assumptions'!$C$72="None",'Project Assumptions'!$C$71="No"),J$11,IF('Project Assumptions'!$C$72="Assumed",J$13+J$11,IF('Project Assumptions'!$C$72="Actual",J$11+J$12,J$11+J$15))))</f>
        <v>33.345929883872955</v>
      </c>
      <c r="K16" s="362">
        <f>IF(AND('Project Assumptions'!$C$72="Actual",'Project Assumptions'!$C$71="Yes"),K$14,IF(AND('Project Assumptions'!$C$72="None",'Project Assumptions'!$C$71="No"),K$11,IF('Project Assumptions'!$C$72="Assumed",K$13+K$11,IF('Project Assumptions'!$C$72="Actual",K$11+K$12,K$11+K$15))))</f>
        <v>34.109228243455178</v>
      </c>
      <c r="L16" s="362">
        <f>IF(AND('Project Assumptions'!$C$72="Actual",'Project Assumptions'!$C$71="Yes"),L$14,IF(AND('Project Assumptions'!$C$72="None",'Project Assumptions'!$C$71="No"),L$11,IF('Project Assumptions'!$C$72="Assumed",L$13+L$11,IF('Project Assumptions'!$C$72="Actual",L$11+L$12,L$11+L$15))))</f>
        <v>35.114285010705231</v>
      </c>
      <c r="M16" s="362">
        <f>IF(AND('Project Assumptions'!$C$72="Actual",'Project Assumptions'!$C$71="Yes"),M$14,IF(AND('Project Assumptions'!$C$72="None",'Project Assumptions'!$C$71="No"),M$11,IF('Project Assumptions'!$C$72="Assumed",M$13+M$11,IF('Project Assumptions'!$C$72="Actual",M$11+M$12,M$11+M$15))))</f>
        <v>36.120166960919327</v>
      </c>
      <c r="N16" s="362">
        <f>IF(AND('Project Assumptions'!$C$72="Actual",'Project Assumptions'!$C$71="Yes"),N$14,IF(AND('Project Assumptions'!$C$72="None",'Project Assumptions'!$C$71="No"),N$11,IF('Project Assumptions'!$C$72="Assumed",N$13+N$11,IF('Project Assumptions'!$C$72="Actual",N$11+N$12,N$11+N$15))))</f>
        <v>37.247365300137723</v>
      </c>
      <c r="O16" s="362">
        <f>IF(AND('Project Assumptions'!$C$72="Actual",'Project Assumptions'!$C$71="Yes"),O$14,IF(AND('Project Assumptions'!$C$72="None",'Project Assumptions'!$C$71="No"),O$11,IF('Project Assumptions'!$C$72="Assumed",O$13+O$11,IF('Project Assumptions'!$C$72="Actual",O$11+O$12,O$11+O$15))))</f>
        <v>38.254947457330957</v>
      </c>
      <c r="P16" s="362">
        <f>IF(AND('Project Assumptions'!$C$72="Actual",'Project Assumptions'!$C$71="Yes"),P$14,IF(AND('Project Assumptions'!$C$72="None",'Project Assumptions'!$C$71="No"),P$11,IF('Project Assumptions'!$C$72="Assumed",P$13+P$11,IF('Project Assumptions'!$C$72="Actual",P$11+P$12,P$11+P$15))))</f>
        <v>39.263405305287094</v>
      </c>
      <c r="Q16" s="362">
        <f>IF(AND('Project Assumptions'!$C$72="Actual",'Project Assumptions'!$C$71="Yes"),Q$14,IF(AND('Project Assumptions'!$C$72="None",'Project Assumptions'!$C$71="No"),Q$11,IF('Project Assumptions'!$C$72="Assumed",Q$13+Q$11,IF('Project Assumptions'!$C$72="Actual",Q$11+Q$12,Q$11+Q$15))))</f>
        <v>40.393231060202361</v>
      </c>
      <c r="R16" s="362">
        <f>IF(AND('Project Assumptions'!$C$72="Actual",'Project Assumptions'!$C$71="Yes"),R$14,IF(AND('Project Assumptions'!$C$72="None",'Project Assumptions'!$C$71="No"),R$11,IF('Project Assumptions'!$C$72="Assumed",R$13+R$11,IF('Project Assumptions'!$C$72="Actual",R$11+R$12,R$11+R$15))))</f>
        <v>0</v>
      </c>
      <c r="S16"/>
      <c r="T16"/>
      <c r="U16"/>
      <c r="V16"/>
      <c r="W16"/>
      <c r="X16"/>
      <c r="Y16"/>
      <c r="Z16"/>
      <c r="AA16"/>
    </row>
    <row r="17" spans="1:29" s="361" customFormat="1" ht="12.6" customHeight="1">
      <c r="A17" s="361" t="s">
        <v>233</v>
      </c>
      <c r="C17" s="355">
        <f>('Book Income Statement'!C7+'Book Income Statement'!C86)*1000/Operations!C14</f>
        <v>15.848446321314375</v>
      </c>
      <c r="D17" s="355">
        <f>('Book Income Statement'!D7+'Book Income Statement'!D86)*1000/Operations!D14</f>
        <v>30.724173379045514</v>
      </c>
      <c r="E17" s="355">
        <f>('Book Income Statement'!E7+'Book Income Statement'!E86)*1000/Operations!E14</f>
        <v>30.935316746938419</v>
      </c>
      <c r="F17" s="355">
        <f>('Book Income Statement'!F7+'Book Income Statement'!F86)*1000/Operations!F14</f>
        <v>31.132775185754333</v>
      </c>
      <c r="G17" s="355">
        <f>('Book Income Statement'!G7+'Book Income Statement'!G86)*1000/Operations!G14</f>
        <v>31.23588205669342</v>
      </c>
      <c r="H17" s="355">
        <f>('Book Income Statement'!H7+'Book Income Statement'!H86)*1000/Operations!H14</f>
        <v>31.333057885526713</v>
      </c>
      <c r="I17" s="355">
        <f>('Book Income Statement'!I7+'Book Income Statement'!I86)*1000/Operations!I14</f>
        <v>31.424337766402964</v>
      </c>
      <c r="J17" s="355">
        <f>('Book Income Statement'!J7+'Book Income Statement'!J86)*1000/Operations!J14</f>
        <v>31.440585749468166</v>
      </c>
      <c r="K17" s="355">
        <f>('Book Income Statement'!K7+'Book Income Statement'!K86)*1000/Operations!K14</f>
        <v>31.458695842103243</v>
      </c>
      <c r="L17" s="355">
        <f>('Book Income Statement'!L7+'Book Income Statement'!L86)*1000/Operations!L14</f>
        <v>31.478705286499594</v>
      </c>
      <c r="M17" s="355">
        <f>('Book Income Statement'!M7+'Book Income Statement'!M86)*1000/Operations!M14</f>
        <v>31.500652069692443</v>
      </c>
      <c r="N17" s="355">
        <f>('Book Income Statement'!N7+'Book Income Statement'!N86)*1000/Operations!N14</f>
        <v>31.524574938457722</v>
      </c>
      <c r="O17" s="355">
        <f>('Book Income Statement'!O7+'Book Income Statement'!O86)*1000/Operations!O14</f>
        <v>31.550513414506874</v>
      </c>
      <c r="P17" s="355">
        <f>('Book Income Statement'!P7+'Book Income Statement'!P86)*1000/Operations!P14</f>
        <v>31.578507809985584</v>
      </c>
      <c r="Q17" s="355">
        <f>('Book Income Statement'!Q7+'Book Income Statement'!Q86)*1000/Operations!Q14</f>
        <v>31.608599243282441</v>
      </c>
      <c r="R17" s="355" t="e">
        <f>('Book Income Statement'!R7+'Book Income Statement'!R86)*1000/Operations!R14</f>
        <v>#DIV/0!</v>
      </c>
      <c r="S17"/>
      <c r="T17"/>
      <c r="U17"/>
      <c r="V17"/>
      <c r="W17"/>
      <c r="X17"/>
      <c r="Y17"/>
      <c r="Z17"/>
      <c r="AA17"/>
    </row>
    <row r="18" spans="1:29" s="361" customFormat="1" ht="12.6" customHeight="1">
      <c r="A18" s="358" t="s">
        <v>176</v>
      </c>
      <c r="C18" s="362">
        <f>SUM(C16:C17)</f>
        <v>44.836443345123897</v>
      </c>
      <c r="D18" s="362">
        <f t="shared" ref="D18:R18" si="1">SUM(D16:D17)</f>
        <v>60.108808795712179</v>
      </c>
      <c r="E18" s="362">
        <f t="shared" si="1"/>
        <v>60.958244246938413</v>
      </c>
      <c r="F18" s="362">
        <f t="shared" si="1"/>
        <v>61.55376373575433</v>
      </c>
      <c r="G18" s="362">
        <f t="shared" si="1"/>
        <v>62.296613800312457</v>
      </c>
      <c r="H18" s="362">
        <f t="shared" si="1"/>
        <v>62.79333081163719</v>
      </c>
      <c r="I18" s="362">
        <f t="shared" si="1"/>
        <v>63.766813026035649</v>
      </c>
      <c r="J18" s="362">
        <f t="shared" si="1"/>
        <v>64.786515633341125</v>
      </c>
      <c r="K18" s="362">
        <f t="shared" si="1"/>
        <v>65.567924085558417</v>
      </c>
      <c r="L18" s="362">
        <f t="shared" si="1"/>
        <v>66.592990297204821</v>
      </c>
      <c r="M18" s="362">
        <f t="shared" si="1"/>
        <v>67.62081903061177</v>
      </c>
      <c r="N18" s="362">
        <f t="shared" si="1"/>
        <v>68.771940238595448</v>
      </c>
      <c r="O18" s="362">
        <f t="shared" si="1"/>
        <v>69.805460871837823</v>
      </c>
      <c r="P18" s="362">
        <f t="shared" si="1"/>
        <v>70.841913115272675</v>
      </c>
      <c r="Q18" s="362">
        <f t="shared" si="1"/>
        <v>72.001830303484809</v>
      </c>
      <c r="R18" s="362" t="e">
        <f t="shared" si="1"/>
        <v>#DIV/0!</v>
      </c>
      <c r="S18"/>
      <c r="T18"/>
      <c r="U18"/>
      <c r="V18"/>
      <c r="W18"/>
      <c r="X18"/>
      <c r="Y18"/>
      <c r="Z18"/>
      <c r="AA18"/>
    </row>
    <row r="19" spans="1:29" s="361" customFormat="1" ht="12.6" customHeight="1"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/>
      <c r="T19"/>
      <c r="U19"/>
      <c r="V19"/>
      <c r="W19"/>
      <c r="X19"/>
      <c r="Y19"/>
      <c r="Z19"/>
      <c r="AA19"/>
    </row>
    <row r="20" spans="1:29" s="366" customFormat="1" ht="15.6">
      <c r="A20" s="194" t="s">
        <v>234</v>
      </c>
      <c r="S20"/>
      <c r="T20"/>
      <c r="U20"/>
      <c r="V20"/>
      <c r="W20"/>
      <c r="X20"/>
      <c r="Y20"/>
      <c r="Z20"/>
      <c r="AA20"/>
    </row>
    <row r="21" spans="1:29" s="367" customFormat="1" ht="12.6" customHeight="1">
      <c r="A21" s="358" t="s">
        <v>119</v>
      </c>
      <c r="C21" s="368">
        <v>2.35</v>
      </c>
      <c r="D21" s="369">
        <v>2.3779761904761907</v>
      </c>
      <c r="E21" s="369">
        <v>2.4246031746031749</v>
      </c>
      <c r="F21" s="369">
        <v>2.4525793650793655</v>
      </c>
      <c r="G21" s="369">
        <v>2.4992063492063497</v>
      </c>
      <c r="H21" s="369">
        <v>2.5271825396825403</v>
      </c>
      <c r="I21" s="369">
        <v>2.5924603174603185</v>
      </c>
      <c r="J21" s="369">
        <v>2.6670634920634932</v>
      </c>
      <c r="K21" s="369">
        <v>2.7230158730158744</v>
      </c>
      <c r="L21" s="369">
        <v>2.7976190476190492</v>
      </c>
      <c r="M21" s="369">
        <v>2.8722222222222231</v>
      </c>
      <c r="N21" s="369">
        <v>2.9561507936507954</v>
      </c>
      <c r="O21" s="369">
        <v>3.0307539682539697</v>
      </c>
      <c r="P21" s="369">
        <v>3.105357142857144</v>
      </c>
      <c r="Q21" s="369">
        <v>3.1892857142857154</v>
      </c>
      <c r="R21" s="369">
        <v>3.1892857142857154</v>
      </c>
      <c r="S21"/>
      <c r="T21"/>
      <c r="U21"/>
      <c r="V21"/>
      <c r="W21"/>
      <c r="X21"/>
      <c r="Y21"/>
      <c r="Z21"/>
      <c r="AA21"/>
      <c r="AC21" s="361"/>
    </row>
    <row r="22" spans="1:29" s="8" customFormat="1" ht="12.6" customHeight="1"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/>
      <c r="T22"/>
      <c r="U22"/>
      <c r="V22"/>
      <c r="W22"/>
      <c r="X22"/>
      <c r="Y22"/>
      <c r="Z22"/>
      <c r="AA22"/>
    </row>
    <row r="23" spans="1:29" ht="12.6" customHeight="1">
      <c r="A23" s="358" t="s">
        <v>266</v>
      </c>
      <c r="C23" s="369">
        <v>2.2200000000000002</v>
      </c>
      <c r="D23" s="369">
        <v>2.25</v>
      </c>
      <c r="E23" s="369">
        <v>2.2999999999999998</v>
      </c>
      <c r="F23" s="369">
        <v>2.33</v>
      </c>
      <c r="G23" s="369">
        <v>2.38</v>
      </c>
      <c r="H23" s="369">
        <v>2.41</v>
      </c>
      <c r="I23" s="369">
        <v>2.48</v>
      </c>
      <c r="J23" s="369">
        <v>2.56</v>
      </c>
      <c r="K23" s="369">
        <v>2.62</v>
      </c>
      <c r="L23" s="369">
        <v>2.7</v>
      </c>
      <c r="M23" s="369">
        <v>2.78</v>
      </c>
      <c r="N23" s="369">
        <v>2.87</v>
      </c>
      <c r="O23" s="369">
        <v>2.95</v>
      </c>
      <c r="P23" s="369">
        <v>3.03</v>
      </c>
      <c r="Q23" s="369">
        <v>3.12</v>
      </c>
      <c r="R23" s="392">
        <f>Q23*AVERAGE(D24:Q24)</f>
        <v>3.1968453663275391</v>
      </c>
    </row>
    <row r="24" spans="1:29" ht="12.6" hidden="1" customHeight="1">
      <c r="A24" s="391"/>
      <c r="C24" s="369"/>
      <c r="D24" s="431">
        <f>D23/C23</f>
        <v>1.0135135135135134</v>
      </c>
      <c r="E24" s="431">
        <f t="shared" ref="E24:R24" si="2">E23/D23</f>
        <v>1.0222222222222221</v>
      </c>
      <c r="F24" s="431">
        <f t="shared" si="2"/>
        <v>1.0130434782608697</v>
      </c>
      <c r="G24" s="431">
        <f t="shared" si="2"/>
        <v>1.0214592274678111</v>
      </c>
      <c r="H24" s="431">
        <f t="shared" si="2"/>
        <v>1.0126050420168069</v>
      </c>
      <c r="I24" s="431">
        <f t="shared" si="2"/>
        <v>1.0290456431535269</v>
      </c>
      <c r="J24" s="431">
        <f t="shared" si="2"/>
        <v>1.032258064516129</v>
      </c>
      <c r="K24" s="431">
        <f t="shared" si="2"/>
        <v>1.0234375</v>
      </c>
      <c r="L24" s="431">
        <f t="shared" si="2"/>
        <v>1.0305343511450382</v>
      </c>
      <c r="M24" s="431">
        <f t="shared" si="2"/>
        <v>1.0296296296296295</v>
      </c>
      <c r="N24" s="431">
        <f t="shared" si="2"/>
        <v>1.0323741007194245</v>
      </c>
      <c r="O24" s="431">
        <f t="shared" si="2"/>
        <v>1.0278745644599303</v>
      </c>
      <c r="P24" s="431">
        <f t="shared" si="2"/>
        <v>1.0271186440677964</v>
      </c>
      <c r="Q24" s="431">
        <f t="shared" si="2"/>
        <v>1.0297029702970297</v>
      </c>
      <c r="R24" s="431">
        <f t="shared" si="2"/>
        <v>1.0246299251049804</v>
      </c>
    </row>
    <row r="25" spans="1:29" s="5" customFormat="1" ht="12.6" customHeight="1">
      <c r="A25" s="358" t="s">
        <v>267</v>
      </c>
      <c r="C25" s="432">
        <v>0.04</v>
      </c>
      <c r="D25" s="432">
        <v>0.04</v>
      </c>
      <c r="E25" s="432">
        <v>0.04</v>
      </c>
      <c r="F25" s="432">
        <v>0.04</v>
      </c>
      <c r="G25" s="432">
        <v>0.04</v>
      </c>
      <c r="H25" s="432">
        <v>0.04</v>
      </c>
      <c r="I25" s="432">
        <v>0.04</v>
      </c>
      <c r="J25" s="432">
        <v>0.04</v>
      </c>
      <c r="K25" s="432">
        <v>0.04</v>
      </c>
      <c r="L25" s="432">
        <v>0.04</v>
      </c>
      <c r="M25" s="432">
        <v>0.04</v>
      </c>
      <c r="N25" s="432">
        <v>0.04</v>
      </c>
      <c r="O25" s="432">
        <v>0.04</v>
      </c>
      <c r="P25" s="432">
        <v>0.04</v>
      </c>
      <c r="Q25" s="432">
        <v>0.04</v>
      </c>
      <c r="R25" s="432">
        <v>0.04</v>
      </c>
      <c r="S25"/>
      <c r="T25"/>
      <c r="U25"/>
      <c r="V25"/>
      <c r="W25"/>
      <c r="X25"/>
      <c r="Y25"/>
      <c r="Z25"/>
      <c r="AA25"/>
    </row>
    <row r="26" spans="1:29">
      <c r="A26" s="358" t="s">
        <v>268</v>
      </c>
      <c r="C26" s="368">
        <f>C23+C25</f>
        <v>2.2600000000000002</v>
      </c>
      <c r="D26" s="368">
        <f t="shared" ref="D26:R26" si="3">D23+D25</f>
        <v>2.29</v>
      </c>
      <c r="E26" s="368">
        <f t="shared" si="3"/>
        <v>2.34</v>
      </c>
      <c r="F26" s="368">
        <f t="shared" si="3"/>
        <v>2.37</v>
      </c>
      <c r="G26" s="368">
        <f t="shared" si="3"/>
        <v>2.42</v>
      </c>
      <c r="H26" s="368">
        <f t="shared" si="3"/>
        <v>2.4500000000000002</v>
      </c>
      <c r="I26" s="368">
        <f t="shared" si="3"/>
        <v>2.52</v>
      </c>
      <c r="J26" s="368">
        <f t="shared" si="3"/>
        <v>2.6</v>
      </c>
      <c r="K26" s="368">
        <f t="shared" si="3"/>
        <v>2.66</v>
      </c>
      <c r="L26" s="368">
        <f t="shared" si="3"/>
        <v>2.74</v>
      </c>
      <c r="M26" s="368">
        <f t="shared" si="3"/>
        <v>2.82</v>
      </c>
      <c r="N26" s="368">
        <f t="shared" si="3"/>
        <v>2.91</v>
      </c>
      <c r="O26" s="368">
        <f t="shared" si="3"/>
        <v>2.99</v>
      </c>
      <c r="P26" s="368">
        <f t="shared" si="3"/>
        <v>3.07</v>
      </c>
      <c r="Q26" s="368">
        <f t="shared" si="3"/>
        <v>3.16</v>
      </c>
      <c r="R26" s="368">
        <f t="shared" si="3"/>
        <v>3.2368453663275392</v>
      </c>
    </row>
    <row r="27" spans="1:29">
      <c r="C27" s="363"/>
      <c r="D27" s="363"/>
      <c r="E27" s="363"/>
      <c r="F27" s="363"/>
      <c r="G27" s="363"/>
      <c r="H27" s="363"/>
      <c r="I27" s="363"/>
      <c r="J27" s="363"/>
      <c r="K27" s="363"/>
      <c r="L27" s="363"/>
      <c r="M27" s="384"/>
      <c r="N27" s="384"/>
      <c r="O27" s="384"/>
      <c r="P27" s="384"/>
      <c r="Q27" s="384"/>
      <c r="R27" s="384"/>
    </row>
    <row r="28" spans="1:29" ht="12.6" customHeight="1">
      <c r="C28" s="396"/>
      <c r="D28" s="394"/>
      <c r="E28" s="394"/>
      <c r="F28" s="394"/>
      <c r="G28" s="394"/>
      <c r="H28" s="394"/>
      <c r="I28" s="394"/>
      <c r="J28" s="394"/>
      <c r="K28" s="394"/>
      <c r="L28" s="394"/>
      <c r="M28" s="385"/>
      <c r="N28" s="385"/>
      <c r="O28" s="385"/>
      <c r="P28" s="385"/>
      <c r="Q28" s="385"/>
      <c r="R28" s="385"/>
    </row>
    <row r="29" spans="1:29" ht="15.6">
      <c r="A29" s="194"/>
      <c r="C29" s="392"/>
      <c r="D29" s="395"/>
      <c r="E29" s="395"/>
      <c r="F29" s="395"/>
      <c r="G29" s="395"/>
      <c r="H29" s="395"/>
      <c r="I29" s="395"/>
      <c r="J29" s="395"/>
      <c r="K29" s="395"/>
      <c r="L29" s="395"/>
      <c r="M29" s="385"/>
      <c r="N29" s="385"/>
      <c r="O29" s="385"/>
      <c r="P29" s="385"/>
      <c r="Q29" s="385"/>
      <c r="R29" s="385"/>
    </row>
    <row r="30" spans="1:29" ht="15.6">
      <c r="A30" s="194"/>
      <c r="C30" s="385"/>
      <c r="D30" s="268"/>
      <c r="E30" s="268"/>
      <c r="F30" s="268"/>
      <c r="G30" s="268"/>
      <c r="H30" s="268"/>
      <c r="I30" s="268"/>
      <c r="J30" s="268"/>
      <c r="K30" s="268"/>
      <c r="L30" s="268"/>
      <c r="M30" s="268"/>
      <c r="N30" s="385"/>
      <c r="O30" s="385"/>
      <c r="P30" s="385"/>
      <c r="Q30" s="385"/>
      <c r="R30" s="385"/>
    </row>
    <row r="31" spans="1:29" ht="15.6">
      <c r="A31" s="194"/>
      <c r="C31" s="395"/>
      <c r="D31" s="395"/>
      <c r="E31" s="395"/>
      <c r="F31" s="395"/>
      <c r="G31" s="395"/>
      <c r="H31" s="395"/>
      <c r="I31" s="395"/>
      <c r="J31" s="395"/>
      <c r="K31" s="395"/>
      <c r="L31" s="395"/>
      <c r="M31" s="385"/>
      <c r="N31" s="385"/>
      <c r="O31" s="385"/>
      <c r="P31" s="385"/>
      <c r="Q31" s="385"/>
      <c r="R31" s="385"/>
    </row>
    <row r="32" spans="1:29" ht="15.6">
      <c r="A32" s="194"/>
      <c r="C32" s="385"/>
      <c r="D32" s="385"/>
      <c r="E32" s="385"/>
      <c r="F32" s="385"/>
      <c r="G32" s="385"/>
      <c r="H32" s="385"/>
      <c r="I32" s="385"/>
      <c r="J32" s="385"/>
      <c r="K32" s="385"/>
      <c r="L32" s="393"/>
      <c r="M32" s="385"/>
      <c r="N32" s="385"/>
      <c r="O32" s="385"/>
      <c r="P32" s="385"/>
      <c r="Q32" s="385"/>
      <c r="R32" s="385"/>
    </row>
    <row r="33" spans="1:27">
      <c r="A33" s="13"/>
      <c r="C33" s="393"/>
      <c r="D33" s="393"/>
      <c r="E33" s="393"/>
      <c r="F33" s="393"/>
      <c r="G33" s="393"/>
      <c r="H33" s="393"/>
      <c r="I33" s="393"/>
      <c r="J33" s="393"/>
      <c r="K33" s="393"/>
      <c r="L33" s="393"/>
      <c r="M33" s="283"/>
      <c r="N33" s="283"/>
      <c r="O33" s="283"/>
    </row>
    <row r="34" spans="1:27" ht="12.6" customHeight="1">
      <c r="A34" s="13"/>
      <c r="D34" s="385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O34" s="284"/>
    </row>
    <row r="35" spans="1:27" ht="12.6" customHeight="1">
      <c r="D35" s="385"/>
      <c r="E35" s="385"/>
    </row>
    <row r="36" spans="1:27" s="359" customFormat="1" ht="12.6" customHeight="1">
      <c r="A36" s="358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/>
      <c r="T36"/>
      <c r="U36"/>
      <c r="V36"/>
      <c r="W36"/>
      <c r="X36"/>
      <c r="Y36"/>
      <c r="Z36"/>
      <c r="AA36"/>
    </row>
    <row r="37" spans="1:27" ht="12.6" customHeight="1">
      <c r="D37" s="385"/>
      <c r="E37" s="385"/>
    </row>
    <row r="38" spans="1:27" s="361" customFormat="1" ht="12" customHeight="1">
      <c r="C38" s="364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/>
      <c r="T38"/>
      <c r="U38"/>
      <c r="V38"/>
      <c r="W38"/>
      <c r="X38"/>
      <c r="Y38"/>
      <c r="Z38"/>
      <c r="AA38"/>
    </row>
    <row r="39" spans="1:27" s="359" customFormat="1" ht="12.6" customHeight="1">
      <c r="A39" s="358"/>
      <c r="C39" s="360"/>
      <c r="D39" s="360"/>
      <c r="E39" s="360"/>
      <c r="F39" s="360"/>
      <c r="G39" s="360"/>
      <c r="H39" s="360"/>
      <c r="I39" s="360"/>
      <c r="J39" s="360"/>
      <c r="K39" s="360"/>
      <c r="L39" s="360"/>
      <c r="M39" s="360"/>
      <c r="N39" s="360"/>
      <c r="O39" s="360"/>
      <c r="P39" s="360"/>
      <c r="Q39" s="360"/>
      <c r="R39" s="360"/>
      <c r="S39"/>
      <c r="T39"/>
      <c r="U39"/>
      <c r="V39"/>
      <c r="W39"/>
      <c r="X39"/>
      <c r="Y39"/>
      <c r="Z39"/>
      <c r="AA39"/>
    </row>
    <row r="40" spans="1:27" s="359" customFormat="1" ht="12.6" customHeight="1">
      <c r="A40" s="358"/>
      <c r="C40" s="360"/>
      <c r="D40" s="360"/>
      <c r="E40" s="360"/>
      <c r="F40" s="360"/>
      <c r="G40" s="360"/>
      <c r="H40" s="360"/>
      <c r="I40" s="360"/>
      <c r="J40" s="360"/>
      <c r="K40" s="360"/>
      <c r="L40" s="360"/>
      <c r="M40" s="360"/>
      <c r="N40" s="360"/>
      <c r="O40" s="360"/>
      <c r="P40" s="360"/>
      <c r="Q40" s="360"/>
      <c r="R40" s="360"/>
      <c r="S40"/>
      <c r="T40"/>
      <c r="U40"/>
      <c r="V40"/>
      <c r="W40"/>
      <c r="X40"/>
      <c r="Y40"/>
      <c r="Z40"/>
      <c r="AA40"/>
    </row>
    <row r="41" spans="1:27" s="361" customFormat="1" ht="12" customHeight="1"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65"/>
      <c r="N41" s="365"/>
      <c r="O41" s="365"/>
      <c r="P41" s="365"/>
      <c r="Q41" s="365"/>
      <c r="R41" s="365"/>
      <c r="S41"/>
      <c r="T41"/>
      <c r="U41"/>
      <c r="V41"/>
      <c r="W41"/>
      <c r="X41"/>
      <c r="Y41"/>
      <c r="Z41"/>
      <c r="AA41"/>
    </row>
    <row r="42" spans="1:27" s="359" customFormat="1" ht="12.6" customHeight="1">
      <c r="A42" s="358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/>
      <c r="T42"/>
      <c r="U42"/>
      <c r="V42"/>
      <c r="W42"/>
      <c r="X42"/>
      <c r="Y42"/>
      <c r="Z42"/>
      <c r="AA42"/>
    </row>
    <row r="43" spans="1:27" s="359" customFormat="1" ht="12.6" customHeight="1">
      <c r="A43" s="358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/>
      <c r="T43"/>
      <c r="U43"/>
      <c r="V43"/>
      <c r="W43"/>
      <c r="X43"/>
      <c r="Y43"/>
      <c r="Z43"/>
      <c r="AA43"/>
    </row>
    <row r="44" spans="1:27" ht="12.6" customHeight="1"/>
    <row r="45" spans="1:27" ht="12.6" customHeight="1">
      <c r="F45" s="385"/>
      <c r="H45" s="385"/>
      <c r="I45" s="385"/>
      <c r="J45" s="385"/>
      <c r="K45" s="385"/>
      <c r="L45" s="385"/>
      <c r="M45" s="385"/>
      <c r="N45" s="385"/>
      <c r="O45" s="385"/>
      <c r="P45" s="385"/>
      <c r="Q45" s="385"/>
      <c r="R45" s="385"/>
    </row>
    <row r="46" spans="1:27" ht="12.6" customHeight="1">
      <c r="K46" s="385"/>
    </row>
    <row r="47" spans="1:27" ht="12.6" customHeight="1">
      <c r="F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385"/>
    </row>
    <row r="48" spans="1:27" ht="12.6" customHeight="1">
      <c r="F48" s="385"/>
      <c r="G48" s="385"/>
      <c r="K48" s="385"/>
    </row>
    <row r="49" spans="1:27" ht="12.6" customHeight="1">
      <c r="B49" s="386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</row>
    <row r="50" spans="1:27" ht="12.6" customHeight="1">
      <c r="K50" s="385"/>
    </row>
    <row r="51" spans="1:27" ht="12.6" customHeight="1">
      <c r="B51" s="386"/>
      <c r="C51" s="385"/>
      <c r="D51" s="385"/>
      <c r="E51" s="385"/>
      <c r="F51" s="385"/>
      <c r="G51" s="385"/>
      <c r="H51" s="385"/>
      <c r="I51" s="385"/>
      <c r="J51" s="385"/>
      <c r="K51" s="385"/>
      <c r="L51" s="385"/>
      <c r="M51" s="385"/>
      <c r="N51" s="385"/>
      <c r="O51" s="385"/>
      <c r="P51" s="385"/>
      <c r="Q51" s="385"/>
    </row>
    <row r="52" spans="1:27" s="140" customFormat="1" ht="12.6" customHeight="1">
      <c r="B52" s="161"/>
      <c r="C52" s="160"/>
      <c r="D52" s="160"/>
      <c r="E52" s="160"/>
      <c r="F52" s="160"/>
      <c r="G52" s="160"/>
      <c r="H52" s="160"/>
      <c r="I52" s="160"/>
      <c r="J52" s="160"/>
      <c r="K52" s="385"/>
      <c r="L52" s="160"/>
      <c r="M52" s="160"/>
      <c r="N52" s="160"/>
      <c r="O52" s="160"/>
      <c r="P52" s="160"/>
      <c r="Q52" s="160"/>
      <c r="R52" s="160"/>
      <c r="S52"/>
      <c r="T52"/>
      <c r="U52"/>
      <c r="V52"/>
      <c r="W52"/>
      <c r="X52"/>
      <c r="Y52"/>
      <c r="Z52"/>
      <c r="AA52"/>
    </row>
    <row r="53" spans="1:27" s="140" customFormat="1" ht="12.6" customHeight="1">
      <c r="A53" s="156"/>
      <c r="B53" s="386"/>
      <c r="C53" s="385"/>
      <c r="E53" s="385"/>
      <c r="G53" s="385"/>
      <c r="I53" s="385"/>
      <c r="K53" s="385"/>
      <c r="S53"/>
      <c r="T53"/>
      <c r="U53"/>
      <c r="V53"/>
      <c r="W53"/>
      <c r="X53"/>
      <c r="Y53"/>
      <c r="Z53"/>
      <c r="AA53"/>
    </row>
    <row r="54" spans="1:27">
      <c r="C54" s="386"/>
      <c r="D54" s="385"/>
      <c r="E54" s="385"/>
      <c r="F54" s="383"/>
      <c r="K54" s="385"/>
    </row>
    <row r="55" spans="1:27">
      <c r="B55" s="386"/>
      <c r="C55" s="386"/>
      <c r="D55" s="385"/>
      <c r="E55" s="385"/>
      <c r="F55" s="383"/>
      <c r="G55" s="385"/>
      <c r="I55" s="385"/>
      <c r="K55" s="385"/>
    </row>
    <row r="56" spans="1:27">
      <c r="C56" s="386"/>
      <c r="D56" s="385"/>
      <c r="E56" s="385"/>
      <c r="F56" s="383"/>
      <c r="K56" s="385"/>
    </row>
    <row r="57" spans="1:27">
      <c r="B57" s="386"/>
      <c r="C57" s="386"/>
      <c r="D57" s="385"/>
      <c r="E57" s="385"/>
      <c r="F57" s="383"/>
      <c r="G57" s="385"/>
      <c r="I57" s="385"/>
      <c r="K57" s="385"/>
    </row>
    <row r="58" spans="1:27">
      <c r="C58" s="385"/>
      <c r="D58" s="385"/>
      <c r="E58" s="385"/>
      <c r="G58" s="385"/>
      <c r="K58" s="385"/>
    </row>
    <row r="59" spans="1:27">
      <c r="B59" s="386"/>
      <c r="C59" s="385"/>
      <c r="E59" s="385"/>
      <c r="G59" s="385"/>
      <c r="I59" s="385"/>
      <c r="K59" s="385"/>
    </row>
    <row r="60" spans="1:27">
      <c r="C60" s="385"/>
      <c r="K60" s="385"/>
    </row>
    <row r="61" spans="1:27">
      <c r="B61" s="386"/>
      <c r="C61" s="385"/>
      <c r="E61" s="385"/>
      <c r="G61" s="385"/>
      <c r="I61" s="385"/>
      <c r="K61" s="385"/>
    </row>
    <row r="62" spans="1:27">
      <c r="C62" s="385"/>
      <c r="K62" s="385"/>
    </row>
    <row r="63" spans="1:27">
      <c r="B63" s="386"/>
      <c r="C63" s="385"/>
      <c r="E63" s="385"/>
      <c r="G63" s="385"/>
      <c r="I63" s="385"/>
      <c r="K63" s="385"/>
    </row>
    <row r="64" spans="1:27">
      <c r="C64" s="385"/>
      <c r="K64" s="385"/>
    </row>
    <row r="65" spans="2:11">
      <c r="B65" s="386"/>
      <c r="C65" s="385"/>
      <c r="E65" s="385"/>
      <c r="G65" s="385"/>
      <c r="I65" s="385"/>
      <c r="K65" s="385"/>
    </row>
    <row r="66" spans="2:11">
      <c r="K66" s="385"/>
    </row>
    <row r="67" spans="2:11">
      <c r="B67" s="386"/>
      <c r="C67" s="385"/>
      <c r="E67" s="385"/>
      <c r="G67" s="385"/>
      <c r="I67" s="385"/>
      <c r="K67" s="385"/>
    </row>
    <row r="68" spans="2:11">
      <c r="K68" s="385"/>
    </row>
    <row r="69" spans="2:11">
      <c r="B69" s="386"/>
      <c r="C69" s="385"/>
      <c r="E69" s="385"/>
      <c r="G69" s="385"/>
      <c r="I69" s="385"/>
      <c r="K69" s="385"/>
    </row>
    <row r="70" spans="2:11">
      <c r="K70" s="385"/>
    </row>
    <row r="71" spans="2:11">
      <c r="B71" s="386"/>
      <c r="C71" s="385"/>
      <c r="E71" s="385"/>
      <c r="G71" s="385"/>
      <c r="I71" s="385"/>
      <c r="K71" s="385"/>
    </row>
    <row r="72" spans="2:11">
      <c r="K72" s="385"/>
    </row>
    <row r="73" spans="2:11">
      <c r="B73" s="386"/>
      <c r="C73" s="385"/>
      <c r="E73" s="385"/>
      <c r="G73" s="385"/>
      <c r="I73" s="385"/>
      <c r="K73" s="385"/>
    </row>
    <row r="74" spans="2:11">
      <c r="K74" s="385"/>
    </row>
    <row r="75" spans="2:11">
      <c r="B75" s="386"/>
      <c r="C75" s="385"/>
      <c r="E75" s="385"/>
      <c r="G75" s="385"/>
      <c r="I75" s="385"/>
      <c r="K75" s="385"/>
    </row>
    <row r="76" spans="2:11">
      <c r="K76" s="385"/>
    </row>
    <row r="77" spans="2:11">
      <c r="B77" s="386"/>
      <c r="C77" s="385"/>
      <c r="E77" s="385"/>
      <c r="G77" s="385"/>
      <c r="I77" s="385"/>
      <c r="K77" s="385"/>
    </row>
    <row r="78" spans="2:11">
      <c r="K78" s="385"/>
    </row>
    <row r="79" spans="2:11">
      <c r="B79" s="386"/>
      <c r="C79" s="385"/>
      <c r="E79" s="385"/>
      <c r="G79" s="385"/>
      <c r="I79" s="385"/>
      <c r="K79" s="385"/>
    </row>
    <row r="80" spans="2:11">
      <c r="K80" s="385"/>
    </row>
    <row r="81" spans="2:11">
      <c r="B81" s="386"/>
      <c r="C81" s="385"/>
      <c r="E81" s="385"/>
      <c r="G81" s="385"/>
      <c r="I81" s="385"/>
      <c r="K81" s="385"/>
    </row>
    <row r="82" spans="2:11">
      <c r="K82" s="385"/>
    </row>
    <row r="83" spans="2:11">
      <c r="B83" s="386"/>
      <c r="C83" s="385"/>
      <c r="E83" s="385"/>
      <c r="G83" s="385"/>
      <c r="I83" s="385"/>
      <c r="K83" s="385"/>
    </row>
    <row r="84" spans="2:11">
      <c r="K84" s="385"/>
    </row>
    <row r="85" spans="2:11">
      <c r="B85" s="386"/>
      <c r="C85" s="385"/>
      <c r="E85" s="385"/>
      <c r="G85" s="385"/>
      <c r="I85" s="385"/>
      <c r="K85" s="385"/>
    </row>
    <row r="86" spans="2:11">
      <c r="K86" s="385"/>
    </row>
    <row r="87" spans="2:11">
      <c r="B87" s="386"/>
      <c r="C87" s="385"/>
      <c r="E87" s="385"/>
      <c r="G87" s="385"/>
      <c r="I87" s="385"/>
      <c r="K87" s="385"/>
    </row>
    <row r="88" spans="2:11">
      <c r="K88" s="385"/>
    </row>
    <row r="89" spans="2:11">
      <c r="B89" s="386"/>
      <c r="C89" s="385"/>
      <c r="E89" s="385"/>
      <c r="G89" s="385"/>
      <c r="I89" s="385"/>
      <c r="K89" s="385"/>
    </row>
    <row r="90" spans="2:11">
      <c r="K90" s="385"/>
    </row>
    <row r="91" spans="2:11">
      <c r="B91" s="386"/>
      <c r="C91" s="385"/>
      <c r="E91" s="385"/>
      <c r="G91" s="385"/>
      <c r="I91" s="385"/>
      <c r="K91" s="385"/>
    </row>
    <row r="92" spans="2:11">
      <c r="K92" s="385"/>
    </row>
    <row r="93" spans="2:11">
      <c r="B93" s="386"/>
      <c r="C93" s="385"/>
      <c r="E93" s="385"/>
      <c r="G93" s="385"/>
      <c r="I93" s="385"/>
      <c r="K93" s="385"/>
    </row>
    <row r="94" spans="2:11">
      <c r="K94" s="385"/>
    </row>
    <row r="95" spans="2:11">
      <c r="B95" s="386"/>
      <c r="C95" s="385"/>
      <c r="E95" s="385"/>
      <c r="G95" s="385"/>
      <c r="I95" s="385"/>
      <c r="K95" s="385"/>
    </row>
    <row r="96" spans="2:11">
      <c r="K96" s="385"/>
    </row>
    <row r="97" spans="2:11">
      <c r="B97" s="386"/>
      <c r="C97" s="385"/>
      <c r="E97" s="385"/>
      <c r="G97" s="385"/>
      <c r="I97" s="385"/>
      <c r="K97" s="385"/>
    </row>
    <row r="98" spans="2:11">
      <c r="K98" s="385"/>
    </row>
    <row r="99" spans="2:11">
      <c r="B99" s="386"/>
      <c r="C99" s="385"/>
      <c r="E99" s="385"/>
      <c r="G99" s="385"/>
      <c r="I99" s="385"/>
      <c r="K99" s="385"/>
    </row>
    <row r="100" spans="2:11">
      <c r="K100" s="385"/>
    </row>
    <row r="101" spans="2:11">
      <c r="B101" s="386"/>
      <c r="C101" s="385"/>
      <c r="E101" s="385"/>
      <c r="G101" s="385"/>
      <c r="I101" s="385"/>
      <c r="K101" s="385"/>
    </row>
    <row r="102" spans="2:11">
      <c r="K102" s="385"/>
    </row>
    <row r="103" spans="2:11">
      <c r="B103" s="386"/>
      <c r="C103" s="385"/>
      <c r="E103" s="385"/>
      <c r="G103" s="385"/>
      <c r="I103" s="385"/>
      <c r="K103" s="385"/>
    </row>
    <row r="104" spans="2:11">
      <c r="K104" s="385"/>
    </row>
    <row r="105" spans="2:11">
      <c r="B105" s="386"/>
      <c r="C105" s="385"/>
      <c r="E105" s="385"/>
      <c r="G105" s="385"/>
      <c r="I105" s="385"/>
      <c r="K105" s="385"/>
    </row>
    <row r="106" spans="2:11">
      <c r="K106" s="385"/>
    </row>
    <row r="107" spans="2:11">
      <c r="B107" s="386"/>
      <c r="C107" s="385"/>
      <c r="E107" s="385"/>
      <c r="G107" s="385"/>
      <c r="I107" s="385"/>
      <c r="K107" s="385"/>
    </row>
    <row r="108" spans="2:11">
      <c r="K108" s="385"/>
    </row>
    <row r="109" spans="2:11">
      <c r="B109" s="386"/>
      <c r="C109" s="385"/>
      <c r="E109" s="385"/>
      <c r="G109" s="385"/>
      <c r="I109" s="385"/>
      <c r="K109" s="385"/>
    </row>
    <row r="110" spans="2:11">
      <c r="K110" s="385"/>
    </row>
    <row r="111" spans="2:11">
      <c r="B111" s="386"/>
      <c r="C111" s="385"/>
      <c r="E111" s="385"/>
      <c r="G111" s="385"/>
      <c r="I111" s="385"/>
      <c r="K111" s="385"/>
    </row>
    <row r="112" spans="2:11">
      <c r="K112" s="385"/>
    </row>
    <row r="113" spans="2:11">
      <c r="B113" s="386"/>
      <c r="C113" s="385"/>
      <c r="E113" s="385"/>
      <c r="G113" s="385"/>
      <c r="I113" s="385"/>
      <c r="K113" s="385"/>
    </row>
    <row r="114" spans="2:11">
      <c r="K114" s="385"/>
    </row>
    <row r="115" spans="2:11">
      <c r="B115" s="386"/>
      <c r="C115" s="385"/>
      <c r="E115" s="385"/>
      <c r="G115" s="385"/>
      <c r="I115" s="385"/>
      <c r="K115" s="385"/>
    </row>
    <row r="116" spans="2:11">
      <c r="I116" s="385"/>
      <c r="K116" s="385"/>
    </row>
    <row r="117" spans="2:11">
      <c r="B117" s="386"/>
      <c r="C117" s="385"/>
      <c r="E117" s="385"/>
      <c r="G117" s="385"/>
      <c r="I117" s="385"/>
      <c r="K117" s="385"/>
    </row>
    <row r="118" spans="2:11">
      <c r="K118" s="385"/>
    </row>
    <row r="119" spans="2:11">
      <c r="B119" s="386"/>
      <c r="C119" s="385"/>
      <c r="E119" s="385"/>
      <c r="G119" s="385"/>
      <c r="I119" s="385"/>
      <c r="K119" s="385"/>
    </row>
    <row r="120" spans="2:11">
      <c r="K120" s="385"/>
    </row>
    <row r="121" spans="2:11">
      <c r="B121" s="386"/>
      <c r="C121" s="385"/>
      <c r="E121" s="385"/>
      <c r="G121" s="385"/>
      <c r="I121" s="385"/>
      <c r="K121" s="385"/>
    </row>
    <row r="122" spans="2:11">
      <c r="K122" s="385"/>
    </row>
    <row r="123" spans="2:11">
      <c r="B123" s="386"/>
      <c r="C123" s="385"/>
      <c r="E123" s="385"/>
      <c r="G123" s="385"/>
      <c r="I123" s="385"/>
      <c r="K123" s="385"/>
    </row>
    <row r="125" spans="2:11">
      <c r="B125" s="386"/>
      <c r="C125" s="385"/>
      <c r="E125" s="385"/>
      <c r="G125" s="385"/>
      <c r="I125" s="385"/>
      <c r="K125" s="385"/>
    </row>
    <row r="127" spans="2:11">
      <c r="B127" s="386"/>
      <c r="C127" s="385"/>
      <c r="E127" s="385"/>
      <c r="G127" s="385"/>
      <c r="I127" s="385"/>
      <c r="K127" s="385"/>
    </row>
    <row r="129" spans="2:11">
      <c r="B129" s="386"/>
      <c r="C129" s="385"/>
      <c r="E129" s="385"/>
      <c r="G129" s="385"/>
      <c r="I129" s="385"/>
      <c r="K129" s="385"/>
    </row>
    <row r="131" spans="2:11">
      <c r="B131" s="386"/>
      <c r="C131" s="385"/>
      <c r="E131" s="385"/>
      <c r="G131" s="385"/>
      <c r="I131" s="385"/>
      <c r="K131" s="385"/>
    </row>
    <row r="133" spans="2:11">
      <c r="B133" s="386"/>
      <c r="C133" s="385"/>
      <c r="E133" s="385"/>
      <c r="G133" s="385"/>
      <c r="I133" s="385"/>
      <c r="K133" s="385"/>
    </row>
    <row r="135" spans="2:11">
      <c r="B135" s="386"/>
      <c r="C135" s="385"/>
      <c r="E135" s="385"/>
      <c r="G135" s="385"/>
      <c r="I135" s="385"/>
      <c r="K135" s="385"/>
    </row>
    <row r="137" spans="2:11">
      <c r="B137" s="386"/>
      <c r="C137" s="385"/>
      <c r="E137" s="385"/>
      <c r="G137" s="385"/>
      <c r="I137" s="385"/>
      <c r="K137" s="385"/>
    </row>
    <row r="139" spans="2:11">
      <c r="B139" s="386"/>
      <c r="C139" s="385"/>
      <c r="E139" s="385"/>
      <c r="G139" s="385"/>
      <c r="I139" s="385"/>
      <c r="K139" s="385"/>
    </row>
    <row r="141" spans="2:11">
      <c r="B141" s="386"/>
      <c r="C141" s="385"/>
      <c r="E141" s="385"/>
      <c r="G141" s="385"/>
      <c r="I141" s="385"/>
      <c r="K141" s="385"/>
    </row>
    <row r="143" spans="2:11">
      <c r="B143" s="386"/>
      <c r="C143" s="385"/>
      <c r="E143" s="385"/>
      <c r="G143" s="385"/>
      <c r="I143" s="385"/>
      <c r="K143" s="385"/>
    </row>
    <row r="145" spans="2:11">
      <c r="B145" s="386"/>
      <c r="C145" s="385"/>
      <c r="E145" s="385"/>
      <c r="G145" s="385"/>
      <c r="I145" s="385"/>
      <c r="K145" s="385"/>
    </row>
    <row r="147" spans="2:11">
      <c r="B147" s="386"/>
      <c r="C147" s="385"/>
      <c r="E147" s="385"/>
      <c r="G147" s="385"/>
      <c r="I147" s="385"/>
      <c r="K147" s="385"/>
    </row>
    <row r="149" spans="2:11">
      <c r="B149" s="386"/>
      <c r="C149" s="385"/>
      <c r="E149" s="385"/>
      <c r="G149" s="385"/>
      <c r="I149" s="385"/>
      <c r="K149" s="385"/>
    </row>
    <row r="151" spans="2:11">
      <c r="B151" s="386"/>
      <c r="C151" s="385"/>
      <c r="E151" s="385"/>
      <c r="G151" s="385"/>
      <c r="I151" s="385"/>
      <c r="K151" s="385"/>
    </row>
    <row r="153" spans="2:11">
      <c r="B153" s="386"/>
      <c r="C153" s="385"/>
      <c r="E153" s="385"/>
      <c r="G153" s="385"/>
      <c r="I153" s="385"/>
      <c r="K153" s="385"/>
    </row>
    <row r="155" spans="2:11">
      <c r="B155" s="386"/>
      <c r="C155" s="385"/>
      <c r="E155" s="385"/>
      <c r="G155" s="385"/>
      <c r="I155" s="385"/>
      <c r="K155" s="385"/>
    </row>
    <row r="157" spans="2:11">
      <c r="B157" s="386"/>
      <c r="C157" s="385"/>
      <c r="E157" s="385"/>
      <c r="G157" s="385"/>
      <c r="I157" s="385"/>
      <c r="K157" s="385"/>
    </row>
    <row r="159" spans="2:11">
      <c r="B159" s="386"/>
      <c r="C159" s="385"/>
      <c r="E159" s="385"/>
      <c r="G159" s="385"/>
      <c r="I159" s="385"/>
      <c r="K159" s="385"/>
    </row>
    <row r="161" spans="2:11">
      <c r="B161" s="386"/>
      <c r="C161" s="385"/>
      <c r="E161" s="385"/>
      <c r="G161" s="385"/>
      <c r="I161" s="385"/>
      <c r="K161" s="385"/>
    </row>
    <row r="162" spans="2:11">
      <c r="B162" s="386"/>
      <c r="C162" s="385"/>
      <c r="E162" s="385"/>
      <c r="G162" s="385"/>
      <c r="I162" s="385"/>
      <c r="K162" s="385"/>
    </row>
    <row r="163" spans="2:11">
      <c r="B163" s="386"/>
      <c r="C163" s="385"/>
      <c r="E163" s="385"/>
      <c r="G163" s="385"/>
      <c r="I163" s="385"/>
      <c r="K163" s="385"/>
    </row>
    <row r="165" spans="2:11">
      <c r="B165" s="386"/>
      <c r="C165" s="385"/>
      <c r="E165" s="385"/>
      <c r="G165" s="385"/>
      <c r="I165" s="385"/>
      <c r="K165" s="385"/>
    </row>
    <row r="167" spans="2:11">
      <c r="B167" s="386"/>
      <c r="C167" s="385"/>
      <c r="E167" s="385"/>
      <c r="G167" s="385"/>
      <c r="I167" s="385"/>
      <c r="K167" s="385"/>
    </row>
    <row r="169" spans="2:11">
      <c r="B169" s="386"/>
      <c r="C169" s="385"/>
      <c r="E169" s="385"/>
      <c r="G169" s="385"/>
      <c r="I169" s="385"/>
      <c r="K169" s="385"/>
    </row>
    <row r="171" spans="2:11">
      <c r="B171" s="386"/>
      <c r="C171" s="385"/>
      <c r="E171" s="385"/>
      <c r="G171" s="385"/>
      <c r="I171" s="385"/>
      <c r="K171" s="385"/>
    </row>
    <row r="173" spans="2:11">
      <c r="B173" s="386"/>
      <c r="C173" s="385"/>
      <c r="E173" s="385"/>
      <c r="G173" s="385"/>
      <c r="I173" s="385"/>
      <c r="K173" s="385"/>
    </row>
    <row r="175" spans="2:11">
      <c r="B175" s="386"/>
      <c r="C175" s="385"/>
      <c r="E175" s="385"/>
      <c r="G175" s="385"/>
      <c r="I175" s="385"/>
      <c r="K175" s="385"/>
    </row>
    <row r="177" spans="2:11">
      <c r="B177" s="386"/>
      <c r="C177" s="385"/>
      <c r="E177" s="385"/>
      <c r="G177" s="385"/>
      <c r="I177" s="385"/>
      <c r="K177" s="385"/>
    </row>
    <row r="179" spans="2:11">
      <c r="B179" s="386"/>
      <c r="C179" s="385"/>
      <c r="E179" s="385"/>
      <c r="G179" s="385"/>
      <c r="I179" s="385"/>
      <c r="K179" s="385"/>
    </row>
    <row r="181" spans="2:11">
      <c r="B181" s="386"/>
      <c r="C181" s="385"/>
      <c r="E181" s="385"/>
      <c r="G181" s="385"/>
      <c r="I181" s="385"/>
      <c r="K181" s="385"/>
    </row>
    <row r="183" spans="2:11">
      <c r="B183" s="386"/>
      <c r="C183" s="385"/>
      <c r="E183" s="385"/>
      <c r="G183" s="385"/>
      <c r="I183" s="385"/>
      <c r="K183" s="385"/>
    </row>
    <row r="185" spans="2:11">
      <c r="B185" s="386"/>
      <c r="C185" s="385"/>
      <c r="E185" s="385"/>
      <c r="G185" s="385"/>
      <c r="I185" s="385"/>
      <c r="K185" s="385"/>
    </row>
  </sheetData>
  <customSheetViews>
    <customSheetView guid="{9D7575BF-255B-11D2-8267-00A0D1027254}" scale="75" hiddenRows="1" showRuler="0" topLeftCell="A6">
      <selection activeCell="C21" sqref="C21"/>
      <pageMargins left="0.75" right="0.75" top="1" bottom="1" header="0.5" footer="0.5"/>
      <pageSetup scale="76" pageOrder="overThenDown" orientation="landscape" r:id="rId1"/>
      <headerFooter alignWithMargins="0">
        <oddFooter>&amp;L&amp;D   &amp;T&amp;RO:\Naes\GenSvcs\TVA\TVA Model\&amp;F
&amp;A &amp;P</oddFooter>
      </headerFooter>
    </customSheetView>
    <customSheetView guid="{14FB3146-3CEF-11D2-B9CE-0060080D6A65}" scale="75" hiddenRows="1" showRuler="0" topLeftCell="A6">
      <selection activeCell="C21" sqref="C21"/>
      <pageMargins left="0.75" right="0.75" top="1" bottom="1" header="0.5" footer="0.5"/>
      <pageSetup scale="76" pageOrder="overThenDown" orientation="landscape" r:id="rId2"/>
      <headerFooter alignWithMargins="0">
        <oddFooter>&amp;L&amp;D   &amp;T&amp;RO:\Naes\GenSvcs\TVA\TVA Model\&amp;F
&amp;A &amp;P</oddFooter>
      </headerFooter>
    </customSheetView>
  </customSheetViews>
  <printOptions horizontalCentered="1" verticalCentered="1"/>
  <pageMargins left="0.75" right="0.75" top="0.34" bottom="1.64" header="0.25" footer="0.5"/>
  <pageSetup scale="71" pageOrder="overThenDown" orientation="landscape" r:id="rId3"/>
  <headerFooter alignWithMargins="0">
    <oddFooter>&amp;L&amp;D   &amp;T&amp;RO:\Naes\GenSvcs\TVA\TVA Model\&amp;F
&amp;A &amp;P</oddFooter>
  </headerFooter>
  <colBreaks count="1" manualBreakCount="1">
    <brk id="15" min="6" max="20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B35"/>
  <sheetViews>
    <sheetView workbookViewId="0"/>
  </sheetViews>
  <sheetFormatPr defaultColWidth="8.6640625" defaultRowHeight="13.2"/>
  <cols>
    <col min="1" max="1" width="27" style="173" customWidth="1"/>
    <col min="2" max="2" width="8.6640625" style="173" customWidth="1"/>
    <col min="3" max="4" width="6.5546875" style="173" bestFit="1" customWidth="1"/>
    <col min="5" max="5" width="7" style="173" bestFit="1" customWidth="1"/>
    <col min="6" max="6" width="6.5546875" style="173" bestFit="1" customWidth="1"/>
    <col min="7" max="9" width="7" style="173" bestFit="1" customWidth="1"/>
    <col min="10" max="10" width="6.6640625" style="173" bestFit="1" customWidth="1"/>
    <col min="11" max="11" width="7" style="173" bestFit="1" customWidth="1"/>
    <col min="12" max="12" width="6.6640625" style="173" bestFit="1" customWidth="1"/>
    <col min="13" max="14" width="7" style="173" bestFit="1" customWidth="1"/>
    <col min="15" max="15" width="6.5546875" style="173" bestFit="1" customWidth="1"/>
    <col min="16" max="16" width="6.33203125" style="173" bestFit="1" customWidth="1"/>
    <col min="17" max="19" width="6.5546875" style="173" bestFit="1" customWidth="1"/>
    <col min="20" max="20" width="6.44140625" style="173" bestFit="1" customWidth="1"/>
    <col min="21" max="21" width="6.5546875" style="173" bestFit="1" customWidth="1"/>
    <col min="22" max="22" width="6.44140625" style="173" bestFit="1" customWidth="1"/>
    <col min="23" max="24" width="6.5546875" style="173" bestFit="1" customWidth="1"/>
    <col min="25" max="25" width="7" style="173" bestFit="1" customWidth="1"/>
    <col min="26" max="26" width="6.5546875" style="173" bestFit="1" customWidth="1"/>
    <col min="27" max="28" width="7" style="173" bestFit="1" customWidth="1"/>
    <col min="29" max="16384" width="8.6640625" style="173"/>
  </cols>
  <sheetData>
    <row r="1" spans="1:28" ht="24.6">
      <c r="A1" s="438" t="str">
        <f>'Project Assumptions'!$A$2</f>
        <v>PROJECT DOYLE</v>
      </c>
    </row>
    <row r="2" spans="1:28" ht="17.399999999999999">
      <c r="A2" s="439" t="s">
        <v>208</v>
      </c>
    </row>
    <row r="3" spans="1:28" s="158" customFormat="1" ht="11.25" customHeight="1"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</row>
    <row r="4" spans="1:28" s="140" customFormat="1" ht="11.25" customHeight="1">
      <c r="C4" s="5">
        <v>0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4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P4" s="4">
        <v>13</v>
      </c>
      <c r="Q4" s="5">
        <v>14</v>
      </c>
      <c r="R4" s="5">
        <v>15</v>
      </c>
      <c r="S4" s="5">
        <v>16</v>
      </c>
      <c r="T4" s="5">
        <v>17</v>
      </c>
      <c r="U4" s="5">
        <v>18</v>
      </c>
      <c r="V4" s="4">
        <v>19</v>
      </c>
      <c r="W4" s="5">
        <v>20</v>
      </c>
      <c r="X4" s="5">
        <v>21</v>
      </c>
      <c r="Y4" s="5">
        <v>22</v>
      </c>
      <c r="Z4" s="5">
        <v>23</v>
      </c>
      <c r="AA4" s="5">
        <v>24</v>
      </c>
      <c r="AB4" s="4">
        <v>25</v>
      </c>
    </row>
    <row r="5" spans="1:28" s="140" customFormat="1" ht="11.25" customHeight="1">
      <c r="C5" s="162">
        <f>D5-1</f>
        <v>1999</v>
      </c>
      <c r="D5" s="162">
        <f>+YEAR('Project Assumptions'!$I$16)</f>
        <v>2000</v>
      </c>
      <c r="E5" s="162">
        <f>D5+1</f>
        <v>2001</v>
      </c>
      <c r="F5" s="162">
        <f>E5+1</f>
        <v>2002</v>
      </c>
      <c r="G5" s="162">
        <f>F5+1</f>
        <v>2003</v>
      </c>
      <c r="H5" s="162">
        <f t="shared" ref="H5:AB5" si="0">G5+1</f>
        <v>2004</v>
      </c>
      <c r="I5" s="162">
        <f t="shared" si="0"/>
        <v>2005</v>
      </c>
      <c r="J5" s="162">
        <f t="shared" si="0"/>
        <v>2006</v>
      </c>
      <c r="K5" s="162">
        <f t="shared" si="0"/>
        <v>2007</v>
      </c>
      <c r="L5" s="162">
        <f t="shared" si="0"/>
        <v>2008</v>
      </c>
      <c r="M5" s="162">
        <f t="shared" si="0"/>
        <v>2009</v>
      </c>
      <c r="N5" s="162">
        <f t="shared" si="0"/>
        <v>2010</v>
      </c>
      <c r="O5" s="162">
        <f t="shared" si="0"/>
        <v>2011</v>
      </c>
      <c r="P5" s="162">
        <f t="shared" si="0"/>
        <v>2012</v>
      </c>
      <c r="Q5" s="162">
        <f t="shared" si="0"/>
        <v>2013</v>
      </c>
      <c r="R5" s="162">
        <f t="shared" si="0"/>
        <v>2014</v>
      </c>
      <c r="S5" s="162">
        <f t="shared" si="0"/>
        <v>2015</v>
      </c>
      <c r="T5" s="162">
        <f t="shared" si="0"/>
        <v>2016</v>
      </c>
      <c r="U5" s="162">
        <f t="shared" si="0"/>
        <v>2017</v>
      </c>
      <c r="V5" s="162">
        <f t="shared" si="0"/>
        <v>2018</v>
      </c>
      <c r="W5" s="162">
        <f t="shared" si="0"/>
        <v>2019</v>
      </c>
      <c r="X5" s="162">
        <f t="shared" si="0"/>
        <v>2020</v>
      </c>
      <c r="Y5" s="162">
        <f t="shared" si="0"/>
        <v>2021</v>
      </c>
      <c r="Z5" s="162">
        <f t="shared" si="0"/>
        <v>2022</v>
      </c>
      <c r="AA5" s="162">
        <f t="shared" si="0"/>
        <v>2023</v>
      </c>
      <c r="AB5" s="162">
        <f t="shared" si="0"/>
        <v>2024</v>
      </c>
    </row>
    <row r="6" spans="1:28" s="140" customFormat="1" ht="11.25" customHeight="1">
      <c r="B6" s="176"/>
      <c r="C6" s="177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</row>
    <row r="7" spans="1:28" s="140" customFormat="1" ht="11.25" customHeight="1">
      <c r="A7" s="140" t="s">
        <v>83</v>
      </c>
      <c r="C7" s="178"/>
      <c r="D7" s="179">
        <f>'Project Assumptions'!$N$34</f>
        <v>110</v>
      </c>
      <c r="E7" s="179">
        <f>'Project Assumptions'!$N$34*('Book Income Statement'!D5/12)</f>
        <v>110</v>
      </c>
      <c r="F7" s="179">
        <f>'Project Assumptions'!$N$34*('Book Income Statement'!E5/12)</f>
        <v>110</v>
      </c>
      <c r="G7" s="179">
        <f>'Project Assumptions'!$N$34*('Book Income Statement'!F5/12)</f>
        <v>110</v>
      </c>
      <c r="H7" s="179">
        <f>'Project Assumptions'!$N$34*('Book Income Statement'!G5/12)</f>
        <v>110</v>
      </c>
      <c r="I7" s="179">
        <f>'Project Assumptions'!$N$34*('Book Income Statement'!H5/12)</f>
        <v>110</v>
      </c>
      <c r="J7" s="179">
        <f>'Project Assumptions'!$N$34*('Book Income Statement'!I5/12)</f>
        <v>110</v>
      </c>
      <c r="K7" s="179">
        <f>'Project Assumptions'!$N$34*('Book Income Statement'!J5/12)</f>
        <v>110</v>
      </c>
      <c r="L7" s="179">
        <f>'Project Assumptions'!$N$34*('Book Income Statement'!K5/12)</f>
        <v>110</v>
      </c>
      <c r="M7" s="179">
        <f>'Project Assumptions'!$N$34*('Book Income Statement'!L5/12)</f>
        <v>110</v>
      </c>
      <c r="N7" s="179">
        <f>'Project Assumptions'!$N$34*('Book Income Statement'!M5/12)</f>
        <v>110</v>
      </c>
      <c r="O7" s="179">
        <f>'Project Assumptions'!$N$34*('Book Income Statement'!N5/12)</f>
        <v>110</v>
      </c>
      <c r="P7" s="179">
        <f>'Project Assumptions'!$N$34*('Book Income Statement'!O5/12)</f>
        <v>110</v>
      </c>
      <c r="Q7" s="179">
        <f>'Project Assumptions'!$N$34*('Book Income Statement'!P5/12)</f>
        <v>110</v>
      </c>
      <c r="R7" s="179">
        <f>'Project Assumptions'!$N$34*('Book Income Statement'!Q5/12)</f>
        <v>110</v>
      </c>
      <c r="S7" s="179">
        <f>'Project Assumptions'!$N$34*('Book Income Statement'!R5/12)</f>
        <v>73.333333333333329</v>
      </c>
      <c r="T7" s="179">
        <f>'Project Assumptions'!$N$34*('Book Income Statement'!S5/12)</f>
        <v>0</v>
      </c>
      <c r="U7" s="179">
        <f>'Project Assumptions'!$N$34*('Book Income Statement'!T5/12)</f>
        <v>0</v>
      </c>
      <c r="V7" s="179">
        <f>'Project Assumptions'!$N$34*('Book Income Statement'!U5/12)</f>
        <v>0</v>
      </c>
      <c r="W7" s="179">
        <f>'Project Assumptions'!$N$34*('Book Income Statement'!V5/12)</f>
        <v>0</v>
      </c>
      <c r="X7" s="179">
        <f>'Project Assumptions'!$N$34*('Book Income Statement'!W5/12)</f>
        <v>0</v>
      </c>
      <c r="Y7" s="179">
        <f>'Project Assumptions'!$N$34*('Book Income Statement'!X5/12)</f>
        <v>0</v>
      </c>
      <c r="Z7" s="179">
        <f>'Project Assumptions'!$N$34*('Book Income Statement'!Y5/12)</f>
        <v>0</v>
      </c>
      <c r="AA7" s="179">
        <f>'Project Assumptions'!$N$34*('Book Income Statement'!Z5/12)</f>
        <v>0</v>
      </c>
      <c r="AB7" s="179">
        <f>'Project Assumptions'!$N$34*('Book Income Statement'!AA5/12)</f>
        <v>0</v>
      </c>
    </row>
    <row r="8" spans="1:28" s="140" customFormat="1" ht="11.25" customHeight="1">
      <c r="A8" s="140" t="s">
        <v>84</v>
      </c>
      <c r="B8" s="167"/>
      <c r="C8" s="178"/>
      <c r="D8" s="179">
        <f>D7</f>
        <v>110</v>
      </c>
      <c r="E8" s="179">
        <f t="shared" ref="E8:AB8" si="1">D8+E7</f>
        <v>220</v>
      </c>
      <c r="F8" s="179">
        <f t="shared" si="1"/>
        <v>330</v>
      </c>
      <c r="G8" s="179">
        <f t="shared" si="1"/>
        <v>440</v>
      </c>
      <c r="H8" s="179">
        <f t="shared" si="1"/>
        <v>550</v>
      </c>
      <c r="I8" s="179">
        <f t="shared" si="1"/>
        <v>660</v>
      </c>
      <c r="J8" s="179">
        <f t="shared" si="1"/>
        <v>770</v>
      </c>
      <c r="K8" s="179">
        <f t="shared" si="1"/>
        <v>880</v>
      </c>
      <c r="L8" s="179">
        <f t="shared" si="1"/>
        <v>990</v>
      </c>
      <c r="M8" s="179">
        <f t="shared" si="1"/>
        <v>1100</v>
      </c>
      <c r="N8" s="179">
        <f t="shared" si="1"/>
        <v>1210</v>
      </c>
      <c r="O8" s="179">
        <f t="shared" si="1"/>
        <v>1320</v>
      </c>
      <c r="P8" s="179">
        <f t="shared" si="1"/>
        <v>1430</v>
      </c>
      <c r="Q8" s="179">
        <f t="shared" si="1"/>
        <v>1540</v>
      </c>
      <c r="R8" s="179">
        <f t="shared" si="1"/>
        <v>1650</v>
      </c>
      <c r="S8" s="179">
        <f t="shared" si="1"/>
        <v>1723.3333333333333</v>
      </c>
      <c r="T8" s="179">
        <f t="shared" si="1"/>
        <v>1723.3333333333333</v>
      </c>
      <c r="U8" s="179">
        <f t="shared" si="1"/>
        <v>1723.3333333333333</v>
      </c>
      <c r="V8" s="179">
        <f t="shared" si="1"/>
        <v>1723.3333333333333</v>
      </c>
      <c r="W8" s="179">
        <f t="shared" si="1"/>
        <v>1723.3333333333333</v>
      </c>
      <c r="X8" s="179">
        <f t="shared" si="1"/>
        <v>1723.3333333333333</v>
      </c>
      <c r="Y8" s="179">
        <f t="shared" si="1"/>
        <v>1723.3333333333333</v>
      </c>
      <c r="Z8" s="179">
        <f t="shared" si="1"/>
        <v>1723.3333333333333</v>
      </c>
      <c r="AA8" s="179">
        <f t="shared" si="1"/>
        <v>1723.3333333333333</v>
      </c>
      <c r="AB8" s="179">
        <f t="shared" si="1"/>
        <v>1723.3333333333333</v>
      </c>
    </row>
    <row r="9" spans="1:28" s="140" customFormat="1" ht="11.25" customHeight="1">
      <c r="A9" s="140" t="s">
        <v>78</v>
      </c>
      <c r="B9" s="167"/>
      <c r="C9" s="178"/>
      <c r="D9" s="179">
        <f>IF((C9+D7)&gt;'Maintenance Reserves'!$C$11,C9+D7-('Maintenance Reserves'!$C$11),C9+D7)</f>
        <v>110</v>
      </c>
      <c r="E9" s="179">
        <f>IF((D9+E7)&gt;'Maintenance Reserves'!$C$11,D9+E7-('Maintenance Reserves'!$C$11),D9+E7)</f>
        <v>220</v>
      </c>
      <c r="F9" s="179">
        <f>IF((E9+F7)&gt;'Maintenance Reserves'!$C$11,E9+F7-('Maintenance Reserves'!$C$11),E9+F7)</f>
        <v>330</v>
      </c>
      <c r="G9" s="179">
        <f>IF((F9+G7)&gt;'Maintenance Reserves'!$C$11,F9+G7-('Maintenance Reserves'!$C$11),F9+G7)</f>
        <v>40</v>
      </c>
      <c r="H9" s="179">
        <f>IF((G9+H7)&gt;'Maintenance Reserves'!$C$11,G9+H7-('Maintenance Reserves'!$C$11),G9+H7)</f>
        <v>150</v>
      </c>
      <c r="I9" s="179">
        <f>IF((H9+I7)&gt;'Maintenance Reserves'!$C$11,H9+I7-('Maintenance Reserves'!$C$11),H9+I7)</f>
        <v>260</v>
      </c>
      <c r="J9" s="179">
        <f>IF((I9+J7)&gt;'Maintenance Reserves'!$C$11,I9+J7-('Maintenance Reserves'!$C$11),I9+J7)</f>
        <v>370</v>
      </c>
      <c r="K9" s="179">
        <f>IF((J9+K7)&gt;'Maintenance Reserves'!$C$11,J9+K7-('Maintenance Reserves'!$C$11),J9+K7)</f>
        <v>80</v>
      </c>
      <c r="L9" s="179">
        <f>IF((K9+L7)&gt;'Maintenance Reserves'!$C$11,K9+L7-('Maintenance Reserves'!$C$11),K9+L7)</f>
        <v>190</v>
      </c>
      <c r="M9" s="179">
        <f>IF((L9+M7)&gt;'Maintenance Reserves'!$C$11,L9+M7-('Maintenance Reserves'!$C$11),L9+M7)</f>
        <v>300</v>
      </c>
      <c r="N9" s="179">
        <f>IF((M9+N7)&gt;'Maintenance Reserves'!$C$11,M9+N7-('Maintenance Reserves'!$C$11),M9+N7)</f>
        <v>10</v>
      </c>
      <c r="O9" s="179">
        <f>IF((N9+O7)&gt;'Maintenance Reserves'!$C$11,N9+O7-('Maintenance Reserves'!$C$11),N9+O7)</f>
        <v>120</v>
      </c>
      <c r="P9" s="179">
        <f>IF((O9+P7)&gt;'Maintenance Reserves'!$C$11,O9+P7-('Maintenance Reserves'!$C$11),O9+P7)</f>
        <v>230</v>
      </c>
      <c r="Q9" s="179">
        <f>IF((P9+Q7)&gt;'Maintenance Reserves'!$C$11,P9+Q7-('Maintenance Reserves'!$C$11),P9+Q7)</f>
        <v>340</v>
      </c>
      <c r="R9" s="179">
        <f>IF((Q9+R7)&gt;'Maintenance Reserves'!$C$11,Q9+R7-('Maintenance Reserves'!$C$11),Q9+R7)</f>
        <v>50</v>
      </c>
      <c r="S9" s="179">
        <f>IF((R9+S7)&gt;'Maintenance Reserves'!$C$11,R9+S7-('Maintenance Reserves'!$C$11),R9+S7)</f>
        <v>123.33333333333333</v>
      </c>
      <c r="T9" s="179">
        <f>IF((S9+T7)&gt;'Maintenance Reserves'!$C$11,S9+T7-('Maintenance Reserves'!$C$11),S9+T7)</f>
        <v>123.33333333333333</v>
      </c>
      <c r="U9" s="179">
        <f>IF((T9+U7)&gt;'Maintenance Reserves'!$C$11,T9+U7-('Maintenance Reserves'!$C$11),T9+U7)</f>
        <v>123.33333333333333</v>
      </c>
      <c r="V9" s="179">
        <f>IF((U9+V7)&gt;'Maintenance Reserves'!$C$11,U9+V7-('Maintenance Reserves'!$C$11),U9+V7)</f>
        <v>123.33333333333333</v>
      </c>
      <c r="W9" s="179">
        <f>IF((V9+W7)&gt;'Maintenance Reserves'!$C$11,V9+W7-('Maintenance Reserves'!$C$11),V9+W7)</f>
        <v>123.33333333333333</v>
      </c>
      <c r="X9" s="179">
        <f>IF((W9+X7)&gt;'Maintenance Reserves'!$C$11,W9+X7-('Maintenance Reserves'!$C$11),W9+X7)</f>
        <v>123.33333333333333</v>
      </c>
      <c r="Y9" s="179">
        <f>IF((X9+Y7)&gt;'Maintenance Reserves'!$C$11,X9+Y7-('Maintenance Reserves'!$C$11),X9+Y7)</f>
        <v>123.33333333333333</v>
      </c>
      <c r="Z9" s="179">
        <f>IF((Y9+Z7)&gt;'Maintenance Reserves'!$C$11,Y9+Z7-('Maintenance Reserves'!$C$11),Y9+Z7)</f>
        <v>123.33333333333333</v>
      </c>
      <c r="AA9" s="179">
        <f>IF((Z9+AA7)&gt;'Maintenance Reserves'!$C$11,Z9+AA7-('Maintenance Reserves'!$C$11),Z9+AA7)</f>
        <v>123.33333333333333</v>
      </c>
      <c r="AB9" s="179">
        <f>IF((AA9+AB7)&gt;'Maintenance Reserves'!$C$11,AA9+AB7-('Maintenance Reserves'!$C$11),AA9+AB7)</f>
        <v>123.33333333333333</v>
      </c>
    </row>
    <row r="10" spans="1:28" s="140" customFormat="1" ht="11.25" customHeight="1">
      <c r="B10" s="167"/>
      <c r="C10" s="178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</row>
    <row r="11" spans="1:28" s="140" customFormat="1" ht="11.25" customHeight="1">
      <c r="A11" s="34" t="s">
        <v>338</v>
      </c>
      <c r="B11" s="34"/>
      <c r="C11" s="467">
        <v>400</v>
      </c>
    </row>
    <row r="12" spans="1:28" s="140" customFormat="1" ht="11.25" customHeight="1">
      <c r="A12" s="34"/>
      <c r="B12" s="34"/>
      <c r="C12" s="68"/>
    </row>
    <row r="13" spans="1:28" s="140" customFormat="1" ht="11.25" customHeight="1">
      <c r="A13" s="140" t="s">
        <v>79</v>
      </c>
      <c r="C13" s="177"/>
      <c r="D13" s="179">
        <f>'Book Income Statement'!C22</f>
        <v>544.88400000000001</v>
      </c>
      <c r="E13" s="179">
        <f>'Book Income Statement'!D22</f>
        <v>555.78168000000005</v>
      </c>
      <c r="F13" s="179">
        <f>'Book Income Statement'!E22</f>
        <v>566.89731360000007</v>
      </c>
      <c r="G13" s="179">
        <f>'Book Income Statement'!F22</f>
        <v>578.23525987200014</v>
      </c>
      <c r="H13" s="179">
        <f>'Book Income Statement'!G22</f>
        <v>589.79996506944019</v>
      </c>
      <c r="I13" s="179">
        <f>'Book Income Statement'!H22</f>
        <v>601.59596437082905</v>
      </c>
      <c r="J13" s="179">
        <f>'Book Income Statement'!I22</f>
        <v>613.62788365824565</v>
      </c>
      <c r="K13" s="179">
        <f>'Book Income Statement'!J22</f>
        <v>625.90044133141055</v>
      </c>
      <c r="L13" s="179">
        <f>'Book Income Statement'!K22</f>
        <v>638.41845015803881</v>
      </c>
      <c r="M13" s="179">
        <f>'Book Income Statement'!L22</f>
        <v>651.18681916119965</v>
      </c>
      <c r="N13" s="179">
        <f>'Book Income Statement'!M22</f>
        <v>664.21055554442364</v>
      </c>
      <c r="O13" s="179">
        <f>'Book Income Statement'!N22</f>
        <v>677.49476665531211</v>
      </c>
      <c r="P13" s="179">
        <f>'Book Income Statement'!O22</f>
        <v>691.0446619884184</v>
      </c>
      <c r="Q13" s="179">
        <f>'Book Income Statement'!P22</f>
        <v>704.86555522818674</v>
      </c>
      <c r="R13" s="179">
        <f>'Book Income Statement'!Q22</f>
        <v>718.96286633275054</v>
      </c>
      <c r="S13" s="179">
        <f>'Book Income Statement'!R22</f>
        <v>0</v>
      </c>
      <c r="T13" s="179">
        <f>'Book Income Statement'!S22</f>
        <v>0</v>
      </c>
      <c r="U13" s="179">
        <f>'Book Income Statement'!T22</f>
        <v>0</v>
      </c>
      <c r="V13" s="179">
        <f>'Book Income Statement'!U22</f>
        <v>0</v>
      </c>
      <c r="W13" s="179">
        <f>'Book Income Statement'!V22</f>
        <v>0</v>
      </c>
      <c r="X13" s="179">
        <f>'Book Income Statement'!W22</f>
        <v>0</v>
      </c>
      <c r="Y13" s="179">
        <f>'Book Income Statement'!X22</f>
        <v>0</v>
      </c>
      <c r="Z13" s="179">
        <f>'Book Income Statement'!Y22</f>
        <v>0</v>
      </c>
      <c r="AA13" s="179">
        <f>'Book Income Statement'!Z22</f>
        <v>0</v>
      </c>
      <c r="AB13" s="179">
        <f>'Book Income Statement'!AA22</f>
        <v>0</v>
      </c>
    </row>
    <row r="14" spans="1:28" s="140" customFormat="1" ht="11.25" customHeight="1">
      <c r="A14" s="140" t="s">
        <v>82</v>
      </c>
      <c r="C14" s="177"/>
      <c r="D14" s="179">
        <f>D13</f>
        <v>544.88400000000001</v>
      </c>
      <c r="E14" s="179">
        <f>IF(AND(D9&gt;=300,E9&lt;100),E13,D14+E13)</f>
        <v>1100.6656800000001</v>
      </c>
      <c r="F14" s="179">
        <f t="shared" ref="F14:AB14" si="2">IF(AND(E9&gt;=300,F9&lt;100),F13,E14+F13)</f>
        <v>1667.5629936</v>
      </c>
      <c r="G14" s="179">
        <f t="shared" si="2"/>
        <v>578.23525987200014</v>
      </c>
      <c r="H14" s="179">
        <f t="shared" si="2"/>
        <v>1168.0352249414404</v>
      </c>
      <c r="I14" s="179">
        <f t="shared" si="2"/>
        <v>1769.6311893122695</v>
      </c>
      <c r="J14" s="179">
        <f t="shared" si="2"/>
        <v>2383.2590729705153</v>
      </c>
      <c r="K14" s="179">
        <f t="shared" si="2"/>
        <v>625.90044133141055</v>
      </c>
      <c r="L14" s="179">
        <f t="shared" si="2"/>
        <v>1264.3188914894495</v>
      </c>
      <c r="M14" s="179">
        <f t="shared" si="2"/>
        <v>1915.5057106506492</v>
      </c>
      <c r="N14" s="179">
        <f t="shared" si="2"/>
        <v>664.21055554442364</v>
      </c>
      <c r="O14" s="179">
        <f t="shared" si="2"/>
        <v>1341.7053221997357</v>
      </c>
      <c r="P14" s="179">
        <f t="shared" si="2"/>
        <v>2032.749984188154</v>
      </c>
      <c r="Q14" s="179">
        <f t="shared" si="2"/>
        <v>2737.6155394163407</v>
      </c>
      <c r="R14" s="179">
        <f t="shared" si="2"/>
        <v>718.96286633275054</v>
      </c>
      <c r="S14" s="179">
        <f t="shared" si="2"/>
        <v>718.96286633275054</v>
      </c>
      <c r="T14" s="179">
        <f t="shared" si="2"/>
        <v>718.96286633275054</v>
      </c>
      <c r="U14" s="179">
        <f t="shared" si="2"/>
        <v>718.96286633275054</v>
      </c>
      <c r="V14" s="179">
        <f t="shared" si="2"/>
        <v>718.96286633275054</v>
      </c>
      <c r="W14" s="179">
        <f t="shared" si="2"/>
        <v>718.96286633275054</v>
      </c>
      <c r="X14" s="179">
        <f t="shared" si="2"/>
        <v>718.96286633275054</v>
      </c>
      <c r="Y14" s="179">
        <f t="shared" si="2"/>
        <v>718.96286633275054</v>
      </c>
      <c r="Z14" s="179">
        <f t="shared" si="2"/>
        <v>718.96286633275054</v>
      </c>
      <c r="AA14" s="179">
        <f t="shared" si="2"/>
        <v>718.96286633275054</v>
      </c>
      <c r="AB14" s="179">
        <f t="shared" si="2"/>
        <v>718.96286633275054</v>
      </c>
    </row>
    <row r="15" spans="1:28" s="140" customFormat="1" ht="10.199999999999999">
      <c r="A15" s="140" t="s">
        <v>81</v>
      </c>
      <c r="D15" s="175">
        <f>D14*'Project Assumptions'!$N$58</f>
        <v>8.1732599999999991</v>
      </c>
      <c r="E15" s="175">
        <f>E14*'Project Assumptions'!$N$58</f>
        <v>16.509985199999999</v>
      </c>
      <c r="F15" s="175">
        <f>F14*'Project Assumptions'!$N$58</f>
        <v>25.013444904</v>
      </c>
      <c r="G15" s="175">
        <f>G14*'Project Assumptions'!$N$58</f>
        <v>8.6735288980800025</v>
      </c>
      <c r="H15" s="175">
        <f>H14*'Project Assumptions'!$N$58</f>
        <v>17.520528374121607</v>
      </c>
      <c r="I15" s="175">
        <f>I14*'Project Assumptions'!$N$58</f>
        <v>26.544467839684042</v>
      </c>
      <c r="J15" s="175">
        <f>J14*'Project Assumptions'!$N$58</f>
        <v>35.748886094557726</v>
      </c>
      <c r="K15" s="175">
        <f>K14*'Project Assumptions'!$N$58</f>
        <v>9.3885066199711584</v>
      </c>
      <c r="L15" s="175">
        <f>L14*'Project Assumptions'!$N$58</f>
        <v>18.964783372341742</v>
      </c>
      <c r="M15" s="175">
        <f>M14*'Project Assumptions'!$N$58</f>
        <v>28.732585659759739</v>
      </c>
      <c r="N15" s="175">
        <f>N14*'Project Assumptions'!$N$58</f>
        <v>9.9631583331663549</v>
      </c>
      <c r="O15" s="175">
        <f>O14*'Project Assumptions'!$N$58</f>
        <v>20.125579832996035</v>
      </c>
      <c r="P15" s="175">
        <f>P14*'Project Assumptions'!$N$58</f>
        <v>30.49124976282231</v>
      </c>
      <c r="Q15" s="175">
        <f>Q14*'Project Assumptions'!$N$58</f>
        <v>41.064233091245107</v>
      </c>
      <c r="R15" s="175">
        <f>R14*'Project Assumptions'!$N$58</f>
        <v>10.784442994991258</v>
      </c>
      <c r="S15" s="175">
        <f>S14*'Project Assumptions'!$N$58</f>
        <v>10.784442994991258</v>
      </c>
      <c r="T15" s="175">
        <f>T14*'Project Assumptions'!$N$58</f>
        <v>10.784442994991258</v>
      </c>
      <c r="U15" s="175">
        <f>U14*'Project Assumptions'!$N$58</f>
        <v>10.784442994991258</v>
      </c>
      <c r="V15" s="175">
        <f>V14*'Project Assumptions'!$N$58</f>
        <v>10.784442994991258</v>
      </c>
      <c r="W15" s="175">
        <f>W14*'Project Assumptions'!$N$58</f>
        <v>10.784442994991258</v>
      </c>
      <c r="X15" s="175">
        <f>X14*'Project Assumptions'!$N$58</f>
        <v>10.784442994991258</v>
      </c>
      <c r="Y15" s="175">
        <f>Y14*'Project Assumptions'!$N$58</f>
        <v>10.784442994991258</v>
      </c>
      <c r="Z15" s="175">
        <f>Z14*'Project Assumptions'!$N$58</f>
        <v>10.784442994991258</v>
      </c>
      <c r="AA15" s="175">
        <f>AA14*'Project Assumptions'!$N$58</f>
        <v>10.784442994991258</v>
      </c>
      <c r="AB15" s="175">
        <f>AB14*'Project Assumptions'!$N$58</f>
        <v>10.784442994991258</v>
      </c>
    </row>
    <row r="16" spans="1:28" s="140" customFormat="1" ht="10.199999999999999">
      <c r="A16" s="140" t="s">
        <v>80</v>
      </c>
      <c r="D16" s="175">
        <f>D15</f>
        <v>8.1732599999999991</v>
      </c>
      <c r="E16" s="175">
        <f>D16+E15</f>
        <v>24.683245199999998</v>
      </c>
      <c r="F16" s="175">
        <f t="shared" ref="F16:AB16" si="3">E16+F15</f>
        <v>49.696690103999998</v>
      </c>
      <c r="G16" s="175">
        <f t="shared" si="3"/>
        <v>58.370219002079999</v>
      </c>
      <c r="H16" s="175">
        <f t="shared" si="3"/>
        <v>75.890747376201602</v>
      </c>
      <c r="I16" s="175">
        <f t="shared" si="3"/>
        <v>102.43521521588565</v>
      </c>
      <c r="J16" s="175">
        <f t="shared" si="3"/>
        <v>138.18410131044337</v>
      </c>
      <c r="K16" s="175">
        <f t="shared" si="3"/>
        <v>147.57260793041453</v>
      </c>
      <c r="L16" s="175">
        <f t="shared" si="3"/>
        <v>166.53739130275628</v>
      </c>
      <c r="M16" s="175">
        <f t="shared" si="3"/>
        <v>195.26997696251601</v>
      </c>
      <c r="N16" s="175">
        <f t="shared" si="3"/>
        <v>205.23313529568236</v>
      </c>
      <c r="O16" s="175">
        <f t="shared" si="3"/>
        <v>225.3587151286784</v>
      </c>
      <c r="P16" s="175">
        <f t="shared" si="3"/>
        <v>255.84996489150072</v>
      </c>
      <c r="Q16" s="175">
        <f t="shared" si="3"/>
        <v>296.9141979827458</v>
      </c>
      <c r="R16" s="175">
        <f t="shared" si="3"/>
        <v>307.69864097773706</v>
      </c>
      <c r="S16" s="175">
        <f t="shared" si="3"/>
        <v>318.48308397272831</v>
      </c>
      <c r="T16" s="175">
        <f t="shared" si="3"/>
        <v>329.26752696771956</v>
      </c>
      <c r="U16" s="175">
        <f t="shared" si="3"/>
        <v>340.05196996271081</v>
      </c>
      <c r="V16" s="175">
        <f t="shared" si="3"/>
        <v>350.83641295770207</v>
      </c>
      <c r="W16" s="175">
        <f t="shared" si="3"/>
        <v>361.62085595269332</v>
      </c>
      <c r="X16" s="175">
        <f t="shared" si="3"/>
        <v>372.40529894768457</v>
      </c>
      <c r="Y16" s="175">
        <f t="shared" si="3"/>
        <v>383.18974194267582</v>
      </c>
      <c r="Z16" s="175">
        <f t="shared" si="3"/>
        <v>393.97418493766708</v>
      </c>
      <c r="AA16" s="175">
        <f t="shared" si="3"/>
        <v>404.75862793265833</v>
      </c>
      <c r="AB16" s="175">
        <f t="shared" si="3"/>
        <v>415.54307092764958</v>
      </c>
    </row>
    <row r="17" spans="1:11" s="140" customFormat="1" ht="10.199999999999999"/>
    <row r="18" spans="1:11" s="140" customFormat="1" ht="10.199999999999999">
      <c r="D18" s="180"/>
      <c r="E18" s="181"/>
      <c r="F18" s="181"/>
      <c r="G18" s="181"/>
      <c r="H18" s="181"/>
      <c r="I18" s="181"/>
      <c r="J18" s="181"/>
      <c r="K18" s="181"/>
    </row>
    <row r="19" spans="1:11" s="140" customFormat="1" ht="10.199999999999999">
      <c r="G19" s="181"/>
    </row>
    <row r="20" spans="1:11" s="140" customFormat="1" ht="10.199999999999999"/>
    <row r="21" spans="1:11" s="140" customFormat="1" ht="10.199999999999999"/>
    <row r="22" spans="1:11" s="140" customFormat="1" ht="10.199999999999999"/>
    <row r="23" spans="1:11" s="140" customFormat="1" ht="10.199999999999999"/>
    <row r="24" spans="1:11" s="140" customFormat="1" ht="10.199999999999999"/>
    <row r="25" spans="1:11" s="140" customFormat="1" ht="10.199999999999999"/>
    <row r="26" spans="1:11" s="140" customFormat="1" ht="10.199999999999999"/>
    <row r="27" spans="1:11" s="140" customFormat="1" ht="10.199999999999999"/>
    <row r="28" spans="1:11" s="140" customFormat="1" ht="10.199999999999999" hidden="1">
      <c r="A28" s="182"/>
    </row>
    <row r="29" spans="1:11" s="140" customFormat="1" ht="10.199999999999999" hidden="1"/>
    <row r="30" spans="1:11" s="140" customFormat="1" ht="10.199999999999999" hidden="1"/>
    <row r="31" spans="1:11" s="140" customFormat="1" ht="10.199999999999999" hidden="1"/>
    <row r="32" spans="1:11" s="140" customFormat="1" ht="10.199999999999999" hidden="1"/>
    <row r="33" s="140" customFormat="1" ht="10.199999999999999" hidden="1"/>
    <row r="34" s="140" customFormat="1" ht="10.199999999999999" hidden="1"/>
    <row r="35" s="140" customFormat="1" ht="10.199999999999999" hidden="1"/>
  </sheetData>
  <customSheetViews>
    <customSheetView guid="{9D7575BF-255B-11D2-8267-00A0D1027254}" hiddenRows="1" showRuler="0">
      <selection activeCell="H14" sqref="H14"/>
      <colBreaks count="1" manualBreakCount="1">
        <brk id="15" max="33" man="1"/>
      </colBreaks>
      <pageMargins left="0.75" right="0.75" top="1" bottom="1" header="0.5" footer="0.5"/>
      <pageSetup scale="99" orientation="landscape" r:id="rId1"/>
      <headerFooter alignWithMargins="0">
        <oddFooter>&amp;L&amp;D   &amp;T&amp;RO:\Naes\GenSvcs\TVA\TVA Model\&amp;F
&amp;A &amp;P</oddFooter>
      </headerFooter>
    </customSheetView>
    <customSheetView guid="{773475A7-2559-11D2-A5F6-0060080AEB13}" showPageBreaks="1" showRuler="0">
      <pageMargins left="0.41" right="0.38" top="1" bottom="1" header="0.5" footer="0.5"/>
      <pageSetup scale="80" pageOrder="overThenDown" orientation="landscape" r:id="rId2"/>
      <headerFooter alignWithMargins="0">
        <oddFooter>&amp;L&amp;D   &amp;T&amp;RO:\Naes\GenSvcs\Tva\Tva Models\&amp;F
&amp;A   &amp;P</oddFooter>
      </headerFooter>
    </customSheetView>
    <customSheetView guid="{14FB3146-3CEF-11D2-B9CE-0060080D6A65}" hiddenRows="1" showRuler="0">
      <selection activeCell="H14" sqref="H14"/>
      <colBreaks count="1" manualBreakCount="1">
        <brk id="15" max="33" man="1"/>
      </colBreaks>
      <pageMargins left="0.75" right="0.75" top="1" bottom="1" header="0.5" footer="0.5"/>
      <pageSetup scale="99" orientation="landscape" r:id="rId3"/>
      <headerFooter alignWithMargins="0">
        <oddFooter>&amp;L&amp;D   &amp;T&amp;RO:\Naes\GenSvcs\TVA\TVA Model\&amp;F
&amp;A &amp;P</oddFooter>
      </headerFooter>
    </customSheetView>
  </customSheetViews>
  <printOptions horizontalCentered="1" verticalCentered="1"/>
  <pageMargins left="0.75" right="0.75" top="1" bottom="1" header="0.5" footer="0.5"/>
  <pageSetup scale="98" fitToWidth="2" orientation="landscape" r:id="rId4"/>
  <headerFooter alignWithMargins="0">
    <oddFooter>&amp;L&amp;D   &amp;T&amp;RO:\Naes\GenSvcs\TVA\TVA Model\&amp;F
&amp;A &amp;P</oddFooter>
  </headerFooter>
  <colBreaks count="1" manualBreakCount="1">
    <brk id="15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1"/>
  <dimension ref="A1:V107"/>
  <sheetViews>
    <sheetView topLeftCell="M66" zoomScale="75" zoomScaleNormal="75" zoomScaleSheetLayoutView="50" workbookViewId="0">
      <selection activeCell="M84" sqref="M84"/>
    </sheetView>
  </sheetViews>
  <sheetFormatPr defaultRowHeight="13.2"/>
  <cols>
    <col min="1" max="1" width="41.5546875" hidden="1" customWidth="1"/>
    <col min="2" max="2" width="11.33203125" hidden="1" customWidth="1"/>
    <col min="3" max="3" width="11.6640625" hidden="1" customWidth="1"/>
    <col min="4" max="4" width="8.88671875" hidden="1" customWidth="1"/>
    <col min="5" max="5" width="6.5546875" hidden="1" customWidth="1"/>
    <col min="6" max="6" width="25.6640625" style="297" hidden="1" customWidth="1"/>
    <col min="7" max="7" width="9.109375" hidden="1" customWidth="1"/>
    <col min="8" max="8" width="24.109375" style="297" hidden="1" customWidth="1"/>
    <col min="9" max="9" width="10.6640625" hidden="1" customWidth="1"/>
    <col min="10" max="10" width="14.44140625" hidden="1" customWidth="1"/>
    <col min="11" max="11" width="13.6640625" style="297" hidden="1" customWidth="1"/>
    <col min="12" max="12" width="18" hidden="1" customWidth="1"/>
    <col min="13" max="13" width="60.6640625" bestFit="1" customWidth="1"/>
    <col min="14" max="14" width="5.5546875" bestFit="1" customWidth="1"/>
    <col min="15" max="15" width="29.5546875" bestFit="1" customWidth="1"/>
    <col min="16" max="16" width="12.33203125" customWidth="1"/>
    <col min="17" max="17" width="27" bestFit="1" customWidth="1"/>
    <col min="19" max="19" width="33.5546875" bestFit="1" customWidth="1"/>
    <col min="22" max="22" width="9.6640625" bestFit="1" customWidth="1"/>
  </cols>
  <sheetData>
    <row r="1" spans="1:19" ht="24.6">
      <c r="A1" s="438" t="s">
        <v>405</v>
      </c>
      <c r="B1" s="438"/>
      <c r="C1" s="438"/>
      <c r="D1" s="499"/>
      <c r="E1" s="499"/>
      <c r="F1" s="499"/>
      <c r="H1" s="499"/>
      <c r="K1" s="499"/>
    </row>
    <row r="2" spans="1:19" ht="17.399999999999999">
      <c r="A2" s="439" t="s">
        <v>373</v>
      </c>
      <c r="B2" s="439"/>
      <c r="C2" s="439"/>
      <c r="D2" s="499"/>
      <c r="E2" s="499"/>
      <c r="F2" s="499"/>
      <c r="H2" s="499"/>
      <c r="K2" s="499"/>
    </row>
    <row r="3" spans="1:19" ht="15.6">
      <c r="A3" s="300"/>
      <c r="B3" s="300"/>
      <c r="C3" s="300"/>
      <c r="D3" s="499"/>
      <c r="E3" s="499"/>
      <c r="F3" s="499"/>
      <c r="H3" s="499"/>
      <c r="K3" s="499"/>
    </row>
    <row r="4" spans="1:19" ht="21">
      <c r="A4" s="477" t="s">
        <v>374</v>
      </c>
      <c r="B4" s="300"/>
      <c r="C4" s="300"/>
      <c r="D4" s="499"/>
      <c r="E4" s="499"/>
      <c r="F4" s="476" t="s">
        <v>490</v>
      </c>
      <c r="H4" s="476" t="s">
        <v>426</v>
      </c>
      <c r="K4" s="476" t="s">
        <v>346</v>
      </c>
    </row>
    <row r="5" spans="1:19" ht="20.399999999999999">
      <c r="A5" s="300"/>
      <c r="B5" s="300"/>
      <c r="C5" s="300"/>
      <c r="D5" s="499"/>
      <c r="E5" s="499"/>
      <c r="F5" s="471"/>
      <c r="H5" s="296"/>
      <c r="K5" s="296"/>
      <c r="Q5" s="296"/>
      <c r="S5" s="296"/>
    </row>
    <row r="6" spans="1:19" ht="21">
      <c r="A6" s="294" t="s">
        <v>179</v>
      </c>
      <c r="B6" s="300"/>
      <c r="C6" s="300"/>
      <c r="D6" s="499"/>
      <c r="E6" s="499"/>
      <c r="F6" s="471"/>
      <c r="H6" s="296"/>
      <c r="K6" s="296"/>
      <c r="L6" s="293"/>
      <c r="M6" s="564" t="s">
        <v>179</v>
      </c>
      <c r="N6" s="565"/>
      <c r="O6" s="566" t="s">
        <v>491</v>
      </c>
      <c r="P6" s="565"/>
      <c r="Q6" s="566" t="s">
        <v>523</v>
      </c>
      <c r="R6" s="565"/>
      <c r="S6" s="567" t="s">
        <v>511</v>
      </c>
    </row>
    <row r="7" spans="1:19" ht="13.5" customHeight="1">
      <c r="K7" s="296"/>
      <c r="L7" s="293"/>
      <c r="M7" s="542" t="s">
        <v>481</v>
      </c>
      <c r="N7" s="543"/>
      <c r="O7" s="544">
        <v>2533177</v>
      </c>
      <c r="P7" s="543"/>
      <c r="Q7" s="545">
        <v>2533177</v>
      </c>
      <c r="R7" s="543"/>
      <c r="S7" s="546">
        <f>Q7-O7</f>
        <v>0</v>
      </c>
    </row>
    <row r="8" spans="1:19" ht="13.5" customHeight="1">
      <c r="K8" s="296"/>
      <c r="M8" s="547" t="s">
        <v>482</v>
      </c>
      <c r="N8" s="269"/>
      <c r="O8" s="295">
        <v>7773988</v>
      </c>
      <c r="P8" s="269"/>
      <c r="Q8" s="548">
        <v>7773988</v>
      </c>
      <c r="R8" s="269"/>
      <c r="S8" s="549">
        <f t="shared" ref="S8:S21" si="0">Q8-O8</f>
        <v>0</v>
      </c>
    </row>
    <row r="9" spans="1:19" ht="13.5" customHeight="1">
      <c r="A9" s="207" t="s">
        <v>481</v>
      </c>
      <c r="B9" s="300"/>
      <c r="C9" s="300"/>
      <c r="D9" s="499"/>
      <c r="E9" s="499"/>
      <c r="F9" s="471"/>
      <c r="H9" s="296"/>
      <c r="K9" s="296"/>
      <c r="M9" s="547" t="s">
        <v>483</v>
      </c>
      <c r="N9" s="269"/>
      <c r="O9" s="550">
        <v>4738878</v>
      </c>
      <c r="P9" s="269"/>
      <c r="Q9" s="548">
        <v>4738878</v>
      </c>
      <c r="R9" s="269"/>
      <c r="S9" s="549">
        <f t="shared" si="0"/>
        <v>0</v>
      </c>
    </row>
    <row r="10" spans="1:19" ht="13.5" customHeight="1">
      <c r="A10" s="207" t="s">
        <v>482</v>
      </c>
      <c r="B10" s="300"/>
      <c r="C10" s="300"/>
      <c r="D10" s="499"/>
      <c r="E10" s="499"/>
      <c r="F10" s="471"/>
      <c r="H10" s="296"/>
      <c r="K10" s="296"/>
      <c r="M10" s="547" t="s">
        <v>485</v>
      </c>
      <c r="N10" s="269"/>
      <c r="O10" s="295">
        <v>934205</v>
      </c>
      <c r="P10" s="269"/>
      <c r="Q10" s="548">
        <v>934205</v>
      </c>
      <c r="R10" s="269"/>
      <c r="S10" s="549">
        <f t="shared" si="0"/>
        <v>0</v>
      </c>
    </row>
    <row r="11" spans="1:19" ht="13.5" customHeight="1">
      <c r="A11" s="207" t="s">
        <v>483</v>
      </c>
      <c r="B11" s="300"/>
      <c r="C11" s="300"/>
      <c r="D11" s="499"/>
      <c r="E11" s="499"/>
      <c r="F11" s="471"/>
      <c r="H11" s="296"/>
      <c r="K11" s="296"/>
      <c r="M11" s="547" t="s">
        <v>486</v>
      </c>
      <c r="N11" s="269"/>
      <c r="O11" s="295">
        <v>994084</v>
      </c>
      <c r="P11" s="269"/>
      <c r="Q11" s="548">
        <v>994084</v>
      </c>
      <c r="R11" s="269"/>
      <c r="S11" s="549">
        <f t="shared" si="0"/>
        <v>0</v>
      </c>
    </row>
    <row r="12" spans="1:19" ht="13.5" customHeight="1">
      <c r="A12" s="207" t="s">
        <v>484</v>
      </c>
      <c r="B12" s="300"/>
      <c r="C12" s="300"/>
      <c r="D12" s="499"/>
      <c r="E12" s="499"/>
      <c r="F12" s="471"/>
      <c r="H12" s="296"/>
      <c r="K12" s="475"/>
      <c r="M12" s="547" t="s">
        <v>487</v>
      </c>
      <c r="N12" s="269"/>
      <c r="O12" s="295">
        <v>376403</v>
      </c>
      <c r="P12" s="269"/>
      <c r="Q12" s="550">
        <v>376403</v>
      </c>
      <c r="R12" s="269"/>
      <c r="S12" s="549">
        <f t="shared" si="0"/>
        <v>0</v>
      </c>
    </row>
    <row r="13" spans="1:19" ht="13.5" customHeight="1">
      <c r="A13" s="207" t="s">
        <v>485</v>
      </c>
      <c r="B13" s="300"/>
      <c r="C13" s="300"/>
      <c r="D13" s="499"/>
      <c r="E13" s="499"/>
      <c r="F13" s="471"/>
      <c r="H13" s="296"/>
      <c r="K13" s="415">
        <f t="shared" ref="K13:K21" si="1">F15-H15</f>
        <v>0</v>
      </c>
      <c r="M13" s="547" t="s">
        <v>488</v>
      </c>
      <c r="N13" s="269"/>
      <c r="O13" s="295">
        <v>1737800</v>
      </c>
      <c r="P13" s="269"/>
      <c r="Q13" s="550">
        <v>1737800</v>
      </c>
      <c r="R13" s="269"/>
      <c r="S13" s="549">
        <f t="shared" si="0"/>
        <v>0</v>
      </c>
    </row>
    <row r="14" spans="1:19" ht="13.5" customHeight="1">
      <c r="A14" s="207" t="s">
        <v>486</v>
      </c>
      <c r="B14" s="294"/>
      <c r="C14" s="294"/>
      <c r="F14" s="299"/>
      <c r="H14" s="475"/>
      <c r="K14" s="415">
        <f t="shared" si="1"/>
        <v>0</v>
      </c>
      <c r="M14" s="547" t="s">
        <v>489</v>
      </c>
      <c r="N14" s="269"/>
      <c r="O14" s="295">
        <v>383771</v>
      </c>
      <c r="P14" s="269"/>
      <c r="Q14" s="550">
        <v>383771</v>
      </c>
      <c r="R14" s="269"/>
      <c r="S14" s="549">
        <f t="shared" si="0"/>
        <v>0</v>
      </c>
    </row>
    <row r="15" spans="1:19" ht="13.5" customHeight="1">
      <c r="A15" s="207" t="s">
        <v>361</v>
      </c>
      <c r="B15" s="207"/>
      <c r="C15" s="207"/>
      <c r="D15" s="207"/>
      <c r="E15" s="207"/>
      <c r="F15" s="415">
        <v>17535124</v>
      </c>
      <c r="H15" s="415">
        <v>17535124</v>
      </c>
      <c r="K15" s="415">
        <f t="shared" si="1"/>
        <v>-150000</v>
      </c>
      <c r="M15" s="547" t="s">
        <v>419</v>
      </c>
      <c r="N15" s="269"/>
      <c r="O15" s="551">
        <v>119928</v>
      </c>
      <c r="P15" s="269"/>
      <c r="Q15" s="550">
        <v>119928</v>
      </c>
      <c r="R15" s="269"/>
      <c r="S15" s="549">
        <f t="shared" si="0"/>
        <v>0</v>
      </c>
    </row>
    <row r="16" spans="1:19" ht="13.5" customHeight="1">
      <c r="A16" s="207" t="s">
        <v>362</v>
      </c>
      <c r="B16" s="207"/>
      <c r="C16" s="207"/>
      <c r="D16" s="429"/>
      <c r="E16" s="429"/>
      <c r="F16" s="415">
        <v>350702</v>
      </c>
      <c r="H16" s="297">
        <v>350702</v>
      </c>
      <c r="K16" s="415">
        <f t="shared" si="1"/>
        <v>0</v>
      </c>
      <c r="M16" s="547" t="s">
        <v>420</v>
      </c>
      <c r="N16" s="269"/>
      <c r="O16" s="295">
        <v>499811</v>
      </c>
      <c r="P16" s="269"/>
      <c r="Q16" s="550">
        <v>499811</v>
      </c>
      <c r="R16" s="269"/>
      <c r="S16" s="549">
        <f t="shared" si="0"/>
        <v>0</v>
      </c>
    </row>
    <row r="17" spans="1:19" ht="13.5" customHeight="1">
      <c r="A17" s="207" t="s">
        <v>418</v>
      </c>
      <c r="B17" s="207"/>
      <c r="C17" s="207"/>
      <c r="D17" s="429"/>
      <c r="E17" s="429"/>
      <c r="F17" s="415">
        <v>100000</v>
      </c>
      <c r="H17" s="415">
        <f>5000000*0.05</f>
        <v>250000</v>
      </c>
      <c r="K17" s="297">
        <f t="shared" si="1"/>
        <v>0</v>
      </c>
      <c r="M17" s="547" t="s">
        <v>421</v>
      </c>
      <c r="N17" s="269"/>
      <c r="O17" s="295">
        <v>28715</v>
      </c>
      <c r="P17" s="269"/>
      <c r="Q17" s="550">
        <v>28715</v>
      </c>
      <c r="R17" s="269"/>
      <c r="S17" s="549">
        <f t="shared" si="0"/>
        <v>0</v>
      </c>
    </row>
    <row r="18" spans="1:19" ht="13.5" customHeight="1">
      <c r="A18" t="s">
        <v>363</v>
      </c>
      <c r="F18" s="415">
        <v>2158299</v>
      </c>
      <c r="H18" s="297">
        <v>2158299</v>
      </c>
      <c r="K18" s="415">
        <f t="shared" si="1"/>
        <v>-500000</v>
      </c>
      <c r="M18" s="547" t="s">
        <v>422</v>
      </c>
      <c r="N18" s="109"/>
      <c r="O18" s="295">
        <v>19912</v>
      </c>
      <c r="P18" s="269"/>
      <c r="Q18" s="550">
        <v>19912</v>
      </c>
      <c r="R18" s="269"/>
      <c r="S18" s="549">
        <f t="shared" si="0"/>
        <v>0</v>
      </c>
    </row>
    <row r="19" spans="1:19" ht="13.5" customHeight="1">
      <c r="A19" t="s">
        <v>185</v>
      </c>
      <c r="B19" s="35"/>
      <c r="C19" s="35"/>
      <c r="F19" s="297">
        <v>896000</v>
      </c>
      <c r="H19" s="297">
        <v>896000</v>
      </c>
      <c r="K19" s="415">
        <f t="shared" si="1"/>
        <v>-119928</v>
      </c>
      <c r="M19" s="547" t="s">
        <v>423</v>
      </c>
      <c r="N19" s="269"/>
      <c r="O19" s="298">
        <v>136160</v>
      </c>
      <c r="P19" s="269"/>
      <c r="Q19" s="298">
        <v>136160</v>
      </c>
      <c r="R19" s="269"/>
      <c r="S19" s="552">
        <f t="shared" si="0"/>
        <v>0</v>
      </c>
    </row>
    <row r="20" spans="1:19" s="207" customFormat="1" ht="13.5" customHeight="1">
      <c r="A20" t="s">
        <v>433</v>
      </c>
      <c r="B20" s="35"/>
      <c r="C20" s="35"/>
      <c r="D20"/>
      <c r="E20"/>
      <c r="F20" s="297">
        <v>0</v>
      </c>
      <c r="G20"/>
      <c r="H20" s="297">
        <v>500000</v>
      </c>
      <c r="I20"/>
      <c r="J20"/>
      <c r="K20" s="415">
        <f t="shared" si="1"/>
        <v>-499811</v>
      </c>
      <c r="M20" s="547" t="s">
        <v>501</v>
      </c>
      <c r="N20" s="109"/>
      <c r="O20" s="295">
        <f>SUM(O7:O19)</f>
        <v>20276832</v>
      </c>
      <c r="P20" s="553"/>
      <c r="Q20" s="550">
        <f>SUM(Q7:Q19)</f>
        <v>20276832</v>
      </c>
      <c r="R20" s="109"/>
      <c r="S20" s="554">
        <f>SUM(S7:S19)</f>
        <v>0</v>
      </c>
    </row>
    <row r="21" spans="1:19" ht="13.5" customHeight="1">
      <c r="A21" s="207" t="s">
        <v>419</v>
      </c>
      <c r="B21" s="35"/>
      <c r="C21" s="35"/>
      <c r="F21" s="297">
        <v>0</v>
      </c>
      <c r="H21" s="297">
        <v>119928</v>
      </c>
      <c r="K21" s="415">
        <f t="shared" si="1"/>
        <v>-28715</v>
      </c>
      <c r="M21" s="547" t="s">
        <v>492</v>
      </c>
      <c r="N21" s="535">
        <v>0.06</v>
      </c>
      <c r="O21" s="298">
        <f>+O20*N21</f>
        <v>1216609.92</v>
      </c>
      <c r="P21" s="269"/>
      <c r="Q21" s="298">
        <f>+(Q20*N21)</f>
        <v>1216609.92</v>
      </c>
      <c r="R21" s="269"/>
      <c r="S21" s="552">
        <f t="shared" si="0"/>
        <v>0</v>
      </c>
    </row>
    <row r="22" spans="1:19" ht="13.5" customHeight="1">
      <c r="A22" s="207" t="s">
        <v>420</v>
      </c>
      <c r="B22" s="35"/>
      <c r="C22" s="35"/>
      <c r="F22" s="297">
        <v>0</v>
      </c>
      <c r="H22" s="297">
        <v>499811</v>
      </c>
      <c r="K22" s="415"/>
      <c r="M22" s="547" t="s">
        <v>499</v>
      </c>
      <c r="N22" s="541"/>
      <c r="O22" s="295">
        <f>SUM(O20:O21)</f>
        <v>21493441.920000002</v>
      </c>
      <c r="P22" s="269"/>
      <c r="Q22" s="548">
        <f>SUM(Q20:Q21)</f>
        <v>21493441.920000002</v>
      </c>
      <c r="R22" s="269"/>
      <c r="S22" s="549">
        <f>SUM(S20:S21)</f>
        <v>0</v>
      </c>
    </row>
    <row r="23" spans="1:19" ht="13.5" customHeight="1">
      <c r="A23" s="207" t="s">
        <v>421</v>
      </c>
      <c r="B23" s="35"/>
      <c r="C23" s="35"/>
      <c r="F23" s="297">
        <v>0</v>
      </c>
      <c r="H23" s="297">
        <v>28715</v>
      </c>
      <c r="K23" s="415"/>
      <c r="M23" s="547"/>
      <c r="N23" s="541"/>
      <c r="O23" s="295"/>
      <c r="P23" s="269"/>
      <c r="Q23" s="269"/>
      <c r="R23" s="269"/>
      <c r="S23" s="555"/>
    </row>
    <row r="24" spans="1:19" ht="21">
      <c r="A24" s="207"/>
      <c r="B24" s="35"/>
      <c r="C24" s="35"/>
      <c r="F24" s="297">
        <v>0</v>
      </c>
      <c r="K24" s="415"/>
      <c r="M24" s="563" t="s">
        <v>502</v>
      </c>
      <c r="N24" s="541"/>
      <c r="O24" s="295"/>
      <c r="P24" s="269"/>
      <c r="Q24" s="269"/>
      <c r="R24" s="269"/>
      <c r="S24" s="555"/>
    </row>
    <row r="25" spans="1:19" ht="13.5" customHeight="1">
      <c r="A25" s="207"/>
      <c r="B25" s="35"/>
      <c r="C25" s="35"/>
      <c r="F25" s="297">
        <v>0</v>
      </c>
      <c r="K25" s="415">
        <f>F27-H27</f>
        <v>-19912</v>
      </c>
      <c r="M25" s="547" t="s">
        <v>185</v>
      </c>
      <c r="N25" s="269"/>
      <c r="O25" s="295">
        <v>896000</v>
      </c>
      <c r="P25" s="269"/>
      <c r="Q25" s="548">
        <f>+(O25+(286400+310200))*1.06</f>
        <v>1582156</v>
      </c>
      <c r="R25" s="269"/>
      <c r="S25" s="549">
        <f>Q25-O25</f>
        <v>686156</v>
      </c>
    </row>
    <row r="26" spans="1:19" ht="13.5" customHeight="1">
      <c r="A26" s="207"/>
      <c r="B26" s="35"/>
      <c r="C26" s="35"/>
      <c r="F26" s="297">
        <v>0</v>
      </c>
      <c r="K26" s="415">
        <f>F28-H28</f>
        <v>-136160</v>
      </c>
      <c r="M26" s="547" t="s">
        <v>433</v>
      </c>
      <c r="N26" s="269"/>
      <c r="O26" s="295">
        <v>500000</v>
      </c>
      <c r="P26" s="269"/>
      <c r="Q26" s="548">
        <f>+O26</f>
        <v>500000</v>
      </c>
      <c r="R26" s="269"/>
      <c r="S26" s="549">
        <f>Q26-O26</f>
        <v>0</v>
      </c>
    </row>
    <row r="27" spans="1:19" ht="13.5" customHeight="1">
      <c r="A27" s="207" t="s">
        <v>422</v>
      </c>
      <c r="B27" s="35"/>
      <c r="C27" s="35"/>
      <c r="F27" s="297">
        <v>0</v>
      </c>
      <c r="H27" s="297">
        <v>19912</v>
      </c>
      <c r="K27" s="298">
        <f>F29-H29</f>
        <v>0</v>
      </c>
      <c r="M27" s="547" t="s">
        <v>484</v>
      </c>
      <c r="N27" s="269"/>
      <c r="O27" s="298">
        <v>250000</v>
      </c>
      <c r="P27" s="269"/>
      <c r="Q27" s="298">
        <f>+O27</f>
        <v>250000</v>
      </c>
      <c r="R27" s="269"/>
      <c r="S27" s="552">
        <f>Q27-O27</f>
        <v>0</v>
      </c>
    </row>
    <row r="28" spans="1:19" ht="13.5" customHeight="1">
      <c r="A28" s="207" t="s">
        <v>423</v>
      </c>
      <c r="B28" s="35"/>
      <c r="C28" s="35"/>
      <c r="F28" s="297">
        <v>0</v>
      </c>
      <c r="H28" s="297">
        <v>136160</v>
      </c>
      <c r="K28" s="295"/>
      <c r="M28" s="547" t="s">
        <v>503</v>
      </c>
      <c r="N28" s="269"/>
      <c r="O28" s="295">
        <f>SUM(O25:O27)</f>
        <v>1646000</v>
      </c>
      <c r="P28" s="269"/>
      <c r="Q28" s="548">
        <f>SUM(Q25:Q27)</f>
        <v>2332156</v>
      </c>
      <c r="R28" s="269"/>
      <c r="S28" s="549">
        <f>SUM(S25:S27)</f>
        <v>686156</v>
      </c>
    </row>
    <row r="29" spans="1:19" ht="13.5" customHeight="1">
      <c r="A29" t="s">
        <v>427</v>
      </c>
      <c r="B29" s="207"/>
      <c r="C29" s="207"/>
      <c r="F29" s="298">
        <f>1822856-46000</f>
        <v>1776856</v>
      </c>
      <c r="H29" s="298">
        <v>1776856</v>
      </c>
      <c r="K29" s="295"/>
      <c r="M29" s="547"/>
      <c r="N29" s="269"/>
      <c r="O29" s="295"/>
      <c r="P29" s="269"/>
      <c r="Q29" s="269"/>
      <c r="R29" s="269"/>
      <c r="S29" s="555"/>
    </row>
    <row r="30" spans="1:19" s="557" customFormat="1" ht="13.5" customHeight="1">
      <c r="A30" s="557" t="s">
        <v>354</v>
      </c>
      <c r="F30" s="558">
        <f>SUM(F15:F29)</f>
        <v>22816981</v>
      </c>
      <c r="H30" s="558">
        <f>SUM(H15:H29)</f>
        <v>24271507</v>
      </c>
      <c r="K30" s="558">
        <f>SUM(K13:K27)</f>
        <v>-1454526</v>
      </c>
      <c r="M30" s="559" t="s">
        <v>500</v>
      </c>
      <c r="N30" s="560"/>
      <c r="O30" s="561">
        <f>O22+O28</f>
        <v>23139441.920000002</v>
      </c>
      <c r="P30" s="560"/>
      <c r="Q30" s="561">
        <f>Q22+Q28</f>
        <v>23825597.920000002</v>
      </c>
      <c r="R30" s="560"/>
      <c r="S30" s="562">
        <f>+S22+S28</f>
        <v>686156</v>
      </c>
    </row>
    <row r="31" spans="1:19" s="269" customFormat="1" ht="21" hidden="1">
      <c r="A31" s="109" t="s">
        <v>354</v>
      </c>
      <c r="B31" s="109"/>
      <c r="C31" s="109"/>
      <c r="D31" s="109"/>
      <c r="E31" s="109"/>
      <c r="F31" s="550">
        <f>SUM(F16:F30)</f>
        <v>28098838</v>
      </c>
      <c r="G31" s="109"/>
      <c r="H31" s="550">
        <f>SUM(H16:H30)</f>
        <v>31007890</v>
      </c>
      <c r="I31" s="109"/>
      <c r="K31" s="550">
        <f>SUM(K14:K28)</f>
        <v>-1454526</v>
      </c>
      <c r="M31" s="477" t="s">
        <v>512</v>
      </c>
      <c r="O31" s="548">
        <f>+O30</f>
        <v>23139441.920000002</v>
      </c>
      <c r="Q31" s="548">
        <f>+Q30</f>
        <v>23825597.920000002</v>
      </c>
      <c r="S31" s="550">
        <f>Q31-O31</f>
        <v>686156</v>
      </c>
    </row>
    <row r="32" spans="1:19" ht="13.5" customHeight="1">
      <c r="M32" s="453"/>
    </row>
    <row r="33" spans="1:19" ht="21">
      <c r="A33" s="294" t="s">
        <v>180</v>
      </c>
      <c r="B33" s="294"/>
      <c r="C33" s="294"/>
      <c r="M33" s="477" t="s">
        <v>180</v>
      </c>
    </row>
    <row r="34" spans="1:19" ht="13.5" customHeight="1">
      <c r="A34" s="207" t="s">
        <v>364</v>
      </c>
      <c r="F34" s="297">
        <v>2000000</v>
      </c>
      <c r="H34" s="297">
        <v>2000000</v>
      </c>
      <c r="K34" s="297">
        <f>F34-H34</f>
        <v>0</v>
      </c>
      <c r="M34" s="207" t="s">
        <v>364</v>
      </c>
      <c r="O34" s="297">
        <v>2000000</v>
      </c>
      <c r="Q34" s="297">
        <v>2000000</v>
      </c>
      <c r="S34" s="297">
        <f>Q34-O34</f>
        <v>0</v>
      </c>
    </row>
    <row r="35" spans="1:19" ht="13.5" customHeight="1">
      <c r="A35" s="207" t="s">
        <v>365</v>
      </c>
      <c r="F35" s="297">
        <v>162480</v>
      </c>
      <c r="H35" s="297">
        <f>165430*1.05</f>
        <v>173701.5</v>
      </c>
      <c r="K35" s="297">
        <f>F35-H35</f>
        <v>-11221.5</v>
      </c>
      <c r="M35" s="207" t="s">
        <v>365</v>
      </c>
      <c r="O35" s="297">
        <v>173701.5</v>
      </c>
      <c r="Q35" s="297">
        <v>173701.5</v>
      </c>
      <c r="S35" s="297">
        <f>Q35-O35</f>
        <v>0</v>
      </c>
    </row>
    <row r="36" spans="1:19" ht="13.5" customHeight="1">
      <c r="A36" s="207" t="s">
        <v>366</v>
      </c>
      <c r="F36" s="298">
        <v>59780</v>
      </c>
      <c r="H36" s="298">
        <f>75356*1.05</f>
        <v>79123.8</v>
      </c>
      <c r="K36" s="298">
        <f>F36-H36</f>
        <v>-19343.800000000003</v>
      </c>
      <c r="M36" s="207" t="s">
        <v>366</v>
      </c>
      <c r="O36" s="298">
        <v>79123.8</v>
      </c>
      <c r="Q36" s="298">
        <v>79123.8</v>
      </c>
      <c r="S36" s="298">
        <f>Q36-O36</f>
        <v>0</v>
      </c>
    </row>
    <row r="37" spans="1:19" ht="13.5" customHeight="1">
      <c r="A37" s="207" t="s">
        <v>367</v>
      </c>
      <c r="F37" s="415">
        <f>SUM(F34:F36)</f>
        <v>2222260</v>
      </c>
      <c r="H37" s="415">
        <f>SUM(H34:H36)</f>
        <v>2252825.2999999998</v>
      </c>
      <c r="K37" s="415">
        <f>F37-H37</f>
        <v>-30565.299999999814</v>
      </c>
      <c r="L37" s="293"/>
      <c r="M37" s="207" t="s">
        <v>367</v>
      </c>
      <c r="O37" s="415">
        <f>SUM(O34:O36)</f>
        <v>2252825.2999999998</v>
      </c>
      <c r="Q37" s="415">
        <f>SUM(Q34:Q36)</f>
        <v>2252825.2999999998</v>
      </c>
      <c r="S37" s="415">
        <f>SUM(S34:S36)</f>
        <v>0</v>
      </c>
    </row>
    <row r="38" spans="1:19" ht="13.5" customHeight="1">
      <c r="A38" s="207"/>
      <c r="F38" s="415"/>
      <c r="H38" s="415"/>
      <c r="K38" s="415"/>
      <c r="M38" s="207"/>
      <c r="Q38" s="415"/>
      <c r="S38" s="415"/>
    </row>
    <row r="39" spans="1:19" ht="13.5" customHeight="1">
      <c r="Q39" s="297"/>
      <c r="S39" s="297"/>
    </row>
    <row r="40" spans="1:19" ht="21">
      <c r="A40" s="294" t="s">
        <v>181</v>
      </c>
      <c r="B40" s="582" t="s">
        <v>424</v>
      </c>
      <c r="C40" s="583"/>
      <c r="D40" s="584"/>
      <c r="M40" s="477" t="s">
        <v>181</v>
      </c>
      <c r="Q40" s="297"/>
      <c r="S40" s="297"/>
    </row>
    <row r="41" spans="1:19" ht="13.5" customHeight="1">
      <c r="A41" s="207" t="s">
        <v>350</v>
      </c>
      <c r="B41" s="500"/>
      <c r="C41" s="501" t="s">
        <v>247</v>
      </c>
      <c r="D41" s="502" t="s">
        <v>372</v>
      </c>
      <c r="E41" s="474"/>
      <c r="M41" s="207" t="s">
        <v>350</v>
      </c>
      <c r="Q41" s="297"/>
      <c r="S41" s="297"/>
    </row>
    <row r="42" spans="1:19" ht="13.5" customHeight="1">
      <c r="A42" s="207" t="s">
        <v>355</v>
      </c>
      <c r="B42" s="503" t="s">
        <v>348</v>
      </c>
      <c r="C42" s="295">
        <f>25595000/3</f>
        <v>8531666.666666666</v>
      </c>
      <c r="D42" s="504">
        <f>'Project Assumptions'!$I$8</f>
        <v>3</v>
      </c>
      <c r="E42" s="453"/>
      <c r="F42" s="297">
        <v>25595000</v>
      </c>
      <c r="H42" s="297">
        <v>25595000</v>
      </c>
      <c r="K42" s="297">
        <f>F42-H42</f>
        <v>0</v>
      </c>
      <c r="M42" s="207" t="s">
        <v>355</v>
      </c>
      <c r="O42" s="297">
        <v>25595000</v>
      </c>
      <c r="Q42" s="297">
        <v>25595000</v>
      </c>
      <c r="S42" s="297">
        <f>Q42-O42</f>
        <v>0</v>
      </c>
    </row>
    <row r="43" spans="1:19" ht="13.5" customHeight="1">
      <c r="A43" s="207" t="s">
        <v>356</v>
      </c>
      <c r="B43" s="503" t="s">
        <v>348</v>
      </c>
      <c r="C43" s="295">
        <f>(22291769.33)/4</f>
        <v>5572942.3324999996</v>
      </c>
      <c r="D43" s="504">
        <f>'Project Assumptions'!$I$8</f>
        <v>3</v>
      </c>
      <c r="E43" s="453"/>
      <c r="F43" s="297">
        <v>16718826.997499999</v>
      </c>
      <c r="H43" s="297">
        <f>'Refurb Budget'!E43</f>
        <v>19263010</v>
      </c>
      <c r="I43" s="297"/>
      <c r="K43" s="297">
        <f>F43-H43</f>
        <v>-2544183.0025000013</v>
      </c>
      <c r="M43" s="207" t="s">
        <v>356</v>
      </c>
      <c r="O43" s="297">
        <f>'Refurb Budget'!E43</f>
        <v>19263010</v>
      </c>
      <c r="Q43" s="297">
        <v>19263010</v>
      </c>
      <c r="S43" s="297">
        <f>Q43-O43</f>
        <v>0</v>
      </c>
    </row>
    <row r="44" spans="1:19" ht="13.5" customHeight="1">
      <c r="A44" s="207" t="s">
        <v>357</v>
      </c>
      <c r="B44" s="503" t="s">
        <v>348</v>
      </c>
      <c r="C44" s="505">
        <f>1100000/3</f>
        <v>366666.66666666669</v>
      </c>
      <c r="D44" s="504">
        <f>'Project Assumptions'!$I$8</f>
        <v>3</v>
      </c>
      <c r="E44" s="453"/>
      <c r="F44" s="298">
        <v>1100000</v>
      </c>
      <c r="H44" s="298">
        <v>0</v>
      </c>
      <c r="K44" s="416">
        <f>F44-H44</f>
        <v>1100000</v>
      </c>
      <c r="M44" s="207" t="s">
        <v>357</v>
      </c>
      <c r="O44" s="298">
        <v>0</v>
      </c>
      <c r="P44" s="297"/>
      <c r="Q44" s="298">
        <v>0</v>
      </c>
      <c r="S44" s="298">
        <f>Q44-O44</f>
        <v>0</v>
      </c>
    </row>
    <row r="45" spans="1:19" ht="13.5" customHeight="1">
      <c r="A45" s="207" t="s">
        <v>351</v>
      </c>
      <c r="B45" s="506" t="s">
        <v>348</v>
      </c>
      <c r="C45" s="507">
        <f>SUM(C42:C44)</f>
        <v>14471275.665833332</v>
      </c>
      <c r="D45" s="508">
        <f>'Project Assumptions'!$I$8</f>
        <v>3</v>
      </c>
      <c r="E45" s="453"/>
      <c r="F45" s="297">
        <f>SUM(F42:F44)</f>
        <v>43413826.997500002</v>
      </c>
      <c r="H45" s="297">
        <f>SUM(H42:H44)</f>
        <v>44858010</v>
      </c>
      <c r="K45" s="297">
        <f>SUM(K42:K44)</f>
        <v>-1444183.0025000013</v>
      </c>
      <c r="M45" s="207" t="s">
        <v>351</v>
      </c>
      <c r="O45" s="297">
        <f>SUM(O42:O44)</f>
        <v>44858010</v>
      </c>
      <c r="P45" s="297"/>
      <c r="Q45" s="297">
        <f>SUM(Q42:Q44)</f>
        <v>44858010</v>
      </c>
      <c r="S45" s="297">
        <f>SUM(S42:S44)</f>
        <v>0</v>
      </c>
    </row>
    <row r="46" spans="1:19" ht="13.5" customHeight="1">
      <c r="D46" s="293"/>
      <c r="E46" s="293"/>
      <c r="O46" s="297"/>
      <c r="P46" s="297"/>
      <c r="Q46" s="297"/>
      <c r="S46" s="297"/>
    </row>
    <row r="47" spans="1:19" ht="13.5" customHeight="1">
      <c r="A47" s="473" t="s">
        <v>349</v>
      </c>
      <c r="B47" s="500"/>
      <c r="C47" s="501" t="s">
        <v>246</v>
      </c>
      <c r="D47" s="502" t="s">
        <v>372</v>
      </c>
      <c r="E47" s="474"/>
      <c r="M47" s="473" t="s">
        <v>349</v>
      </c>
      <c r="O47" s="297"/>
      <c r="P47" s="297"/>
      <c r="Q47" s="297"/>
      <c r="S47" s="297"/>
    </row>
    <row r="48" spans="1:19" ht="13.5" customHeight="1">
      <c r="A48" s="207" t="s">
        <v>358</v>
      </c>
      <c r="B48" s="503" t="s">
        <v>348</v>
      </c>
      <c r="C48" s="295">
        <v>16000000</v>
      </c>
      <c r="D48" s="504">
        <v>2</v>
      </c>
      <c r="E48" s="453"/>
      <c r="F48" s="297">
        <v>32000000</v>
      </c>
      <c r="H48" s="297">
        <v>32172000</v>
      </c>
      <c r="K48" s="297">
        <f>F48-H48</f>
        <v>-172000</v>
      </c>
      <c r="M48" s="207" t="s">
        <v>358</v>
      </c>
      <c r="O48" s="297">
        <v>32172000</v>
      </c>
      <c r="P48" s="297"/>
      <c r="Q48" s="297">
        <v>32172000</v>
      </c>
      <c r="S48" s="297">
        <f>Q48-O48</f>
        <v>0</v>
      </c>
    </row>
    <row r="49" spans="1:19" ht="13.5" customHeight="1">
      <c r="A49" s="207" t="s">
        <v>359</v>
      </c>
      <c r="B49" s="503" t="s">
        <v>348</v>
      </c>
      <c r="C49" s="295">
        <v>408000</v>
      </c>
      <c r="D49" s="504">
        <v>2</v>
      </c>
      <c r="E49" s="453"/>
      <c r="F49" s="297">
        <v>816000</v>
      </c>
      <c r="H49" s="297">
        <v>896000</v>
      </c>
      <c r="K49" s="297">
        <f>F49-H49</f>
        <v>-80000</v>
      </c>
      <c r="M49" s="207" t="s">
        <v>359</v>
      </c>
      <c r="O49" s="297">
        <v>896000</v>
      </c>
      <c r="P49" s="297"/>
      <c r="Q49" s="297">
        <v>896000</v>
      </c>
      <c r="S49" s="297">
        <f>Q49-O49</f>
        <v>0</v>
      </c>
    </row>
    <row r="50" spans="1:19" ht="13.5" customHeight="1">
      <c r="A50" s="207" t="s">
        <v>360</v>
      </c>
      <c r="B50" s="503" t="s">
        <v>348</v>
      </c>
      <c r="C50" s="505">
        <v>500000</v>
      </c>
      <c r="D50" s="504">
        <v>2</v>
      </c>
      <c r="E50" s="453"/>
      <c r="F50" s="298">
        <v>1000000</v>
      </c>
      <c r="H50" s="298">
        <v>1192000</v>
      </c>
      <c r="K50" s="298">
        <f>F50-H50</f>
        <v>-192000</v>
      </c>
      <c r="M50" s="207" t="s">
        <v>360</v>
      </c>
      <c r="O50" s="298">
        <v>1192000</v>
      </c>
      <c r="P50" s="297"/>
      <c r="Q50" s="298">
        <v>1192000</v>
      </c>
      <c r="S50" s="298">
        <f>Q50-O50</f>
        <v>0</v>
      </c>
    </row>
    <row r="51" spans="1:19" ht="13.5" customHeight="1">
      <c r="A51" s="207" t="s">
        <v>352</v>
      </c>
      <c r="B51" s="506" t="s">
        <v>348</v>
      </c>
      <c r="C51" s="507">
        <f>SUM(C48:C50)</f>
        <v>16908000</v>
      </c>
      <c r="D51" s="508">
        <v>2</v>
      </c>
      <c r="E51" s="453"/>
      <c r="F51" s="415">
        <f>SUM(F48:F50)</f>
        <v>33816000</v>
      </c>
      <c r="H51" s="415">
        <f>SUM(H48:H50)</f>
        <v>34260000</v>
      </c>
      <c r="K51" s="415">
        <f>SUM(K48:K50)</f>
        <v>-444000</v>
      </c>
      <c r="M51" s="207" t="s">
        <v>352</v>
      </c>
      <c r="O51" s="415">
        <f>SUM(O48:O50)</f>
        <v>34260000</v>
      </c>
      <c r="P51" s="297"/>
      <c r="Q51" s="415">
        <f>SUM(Q48:Q50)</f>
        <v>34260000</v>
      </c>
      <c r="S51" s="415">
        <f>SUM(S48:S50)</f>
        <v>0</v>
      </c>
    </row>
    <row r="52" spans="1:19" ht="13.5" customHeight="1">
      <c r="O52" s="297"/>
      <c r="P52" s="416"/>
      <c r="Q52" s="297"/>
      <c r="S52" s="297"/>
    </row>
    <row r="53" spans="1:19" ht="13.5" customHeight="1">
      <c r="A53" s="207" t="s">
        <v>368</v>
      </c>
      <c r="D53" s="416"/>
      <c r="E53" s="416"/>
      <c r="F53" s="297">
        <f>+F45+F51</f>
        <v>77229826.997500002</v>
      </c>
      <c r="H53" s="297">
        <f>H45+H51</f>
        <v>79118010</v>
      </c>
      <c r="K53" s="297">
        <f>F53-H53</f>
        <v>-1888183.0024999976</v>
      </c>
      <c r="M53" s="207" t="s">
        <v>368</v>
      </c>
      <c r="O53" s="297">
        <f>O45+O51</f>
        <v>79118010</v>
      </c>
      <c r="P53" s="297"/>
      <c r="Q53" s="297">
        <f>Q45+Q51</f>
        <v>79118010</v>
      </c>
      <c r="S53" s="297">
        <f>Q53-O53</f>
        <v>0</v>
      </c>
    </row>
    <row r="54" spans="1:19" ht="13.5" customHeight="1">
      <c r="D54" s="416"/>
      <c r="E54" s="416"/>
      <c r="O54" s="297"/>
      <c r="Q54" s="297"/>
      <c r="S54" s="297"/>
    </row>
    <row r="55" spans="1:19" ht="13.5" customHeight="1">
      <c r="O55" s="297"/>
      <c r="Q55" s="297"/>
      <c r="S55" s="297"/>
    </row>
    <row r="56" spans="1:19" ht="13.5" customHeight="1">
      <c r="O56" s="297"/>
      <c r="P56" s="293"/>
      <c r="Q56" s="297"/>
      <c r="S56" s="297"/>
    </row>
    <row r="57" spans="1:19" ht="21">
      <c r="A57" s="294" t="s">
        <v>353</v>
      </c>
      <c r="M57" s="477" t="s">
        <v>353</v>
      </c>
      <c r="O57" s="297"/>
      <c r="P57" s="293"/>
      <c r="Q57" s="297"/>
      <c r="S57" s="297"/>
    </row>
    <row r="58" spans="1:19" ht="13.5" customHeight="1">
      <c r="A58" s="207" t="s">
        <v>262</v>
      </c>
      <c r="B58" s="207"/>
      <c r="C58" s="207"/>
      <c r="D58" s="207"/>
      <c r="E58" s="207"/>
      <c r="F58" s="415">
        <v>1300000</v>
      </c>
      <c r="H58" s="415">
        <v>1300000</v>
      </c>
      <c r="K58" s="415">
        <f>F58-H58</f>
        <v>0</v>
      </c>
      <c r="M58" s="207" t="s">
        <v>262</v>
      </c>
      <c r="O58" s="415">
        <v>1300000</v>
      </c>
      <c r="Q58" s="415">
        <v>1000000</v>
      </c>
      <c r="S58" s="573">
        <f>Q58-O58</f>
        <v>-300000</v>
      </c>
    </row>
    <row r="59" spans="1:19" ht="13.5" customHeight="1">
      <c r="A59" s="207" t="s">
        <v>22</v>
      </c>
      <c r="F59" s="415">
        <v>1694670</v>
      </c>
      <c r="H59" s="415">
        <v>1694670</v>
      </c>
      <c r="K59" s="415">
        <f>F59-H59</f>
        <v>0</v>
      </c>
      <c r="M59" s="207" t="s">
        <v>22</v>
      </c>
      <c r="O59" s="415">
        <v>1694670</v>
      </c>
      <c r="P59" s="293"/>
      <c r="Q59" s="415">
        <v>1694670</v>
      </c>
      <c r="S59" s="415">
        <f>Q59-O59</f>
        <v>0</v>
      </c>
    </row>
    <row r="60" spans="1:19" ht="13.5" customHeight="1">
      <c r="A60" s="207" t="s">
        <v>70</v>
      </c>
      <c r="B60" s="294"/>
      <c r="C60" s="294"/>
      <c r="F60" s="298">
        <v>343000</v>
      </c>
      <c r="H60" s="298">
        <v>343000</v>
      </c>
      <c r="K60" s="298">
        <f>F60-H60</f>
        <v>0</v>
      </c>
      <c r="M60" s="207" t="s">
        <v>70</v>
      </c>
      <c r="O60" s="298">
        <v>343000</v>
      </c>
      <c r="Q60" s="479">
        <v>351920.32</v>
      </c>
      <c r="S60" s="298">
        <f>Q60-O60</f>
        <v>8920.320000000007</v>
      </c>
    </row>
    <row r="61" spans="1:19" ht="13.5" customHeight="1">
      <c r="A61" s="207" t="s">
        <v>369</v>
      </c>
      <c r="B61" s="35"/>
      <c r="C61" s="35"/>
      <c r="F61" s="295">
        <v>3337670</v>
      </c>
      <c r="H61" s="295">
        <f>SUM(H58:H60)</f>
        <v>3337670</v>
      </c>
      <c r="K61" s="295">
        <f>F61-H61</f>
        <v>0</v>
      </c>
      <c r="M61" s="207" t="s">
        <v>369</v>
      </c>
      <c r="O61" s="295">
        <f>SUM(O58:O60)</f>
        <v>3337670</v>
      </c>
      <c r="Q61" s="295">
        <f>SUM(Q58:Q60)</f>
        <v>3046590.32</v>
      </c>
      <c r="S61" s="295">
        <f>SUM(S58:S60)</f>
        <v>-291079.67999999999</v>
      </c>
    </row>
    <row r="62" spans="1:19" ht="13.5" customHeight="1">
      <c r="B62" s="35"/>
      <c r="C62" s="35"/>
      <c r="F62" s="295"/>
      <c r="H62" s="295"/>
      <c r="K62" s="295"/>
      <c r="O62" s="295"/>
      <c r="Q62" s="295"/>
      <c r="S62" s="295"/>
    </row>
    <row r="63" spans="1:19" ht="13.5" customHeight="1">
      <c r="A63" s="35"/>
      <c r="B63" s="35"/>
      <c r="C63" s="35"/>
      <c r="F63" s="295"/>
      <c r="H63" s="295"/>
      <c r="K63" s="295"/>
      <c r="M63" s="35"/>
      <c r="O63" s="295"/>
      <c r="Q63" s="295"/>
      <c r="S63" s="295"/>
    </row>
    <row r="64" spans="1:19" ht="21">
      <c r="A64" s="11" t="s">
        <v>494</v>
      </c>
      <c r="B64" s="35"/>
      <c r="C64" s="35"/>
      <c r="F64" s="299">
        <f>+F61+F53+F37+F30</f>
        <v>105606737.9975</v>
      </c>
      <c r="H64" s="299">
        <f>+H61+H53+H37+H30</f>
        <v>108980012.3</v>
      </c>
      <c r="K64" s="299">
        <f>+K61+K53+K37+K30</f>
        <v>-3373274.3024999974</v>
      </c>
      <c r="M64" s="477" t="s">
        <v>495</v>
      </c>
      <c r="O64" s="299">
        <f>+O61+O53+O37+O30</f>
        <v>107847947.22</v>
      </c>
      <c r="Q64" s="299">
        <f>+Q61+Q53+Q37+Q30</f>
        <v>108243023.53999999</v>
      </c>
      <c r="S64" s="299">
        <f>Q64-O64</f>
        <v>395076.31999999285</v>
      </c>
    </row>
    <row r="65" spans="1:22" ht="13.5" customHeight="1">
      <c r="A65" s="11"/>
      <c r="B65" s="11"/>
      <c r="C65" s="11"/>
      <c r="F65" s="299"/>
      <c r="H65" s="299"/>
      <c r="K65" s="299"/>
      <c r="M65" s="11"/>
      <c r="O65" s="299"/>
      <c r="Q65" s="299"/>
      <c r="S65" s="299"/>
    </row>
    <row r="66" spans="1:22" ht="13.5" customHeight="1">
      <c r="A66" s="11"/>
      <c r="B66" s="11"/>
      <c r="C66" s="11"/>
      <c r="F66" s="299"/>
      <c r="H66" s="299"/>
      <c r="K66" s="299"/>
      <c r="M66" s="11"/>
      <c r="O66" s="299"/>
      <c r="Q66" s="299"/>
      <c r="S66" s="299"/>
    </row>
    <row r="67" spans="1:22" ht="21">
      <c r="A67" s="294" t="s">
        <v>200</v>
      </c>
      <c r="B67" s="11"/>
      <c r="C67" s="11"/>
      <c r="F67" s="299"/>
      <c r="H67" s="299"/>
      <c r="K67" s="299"/>
      <c r="L67" s="293"/>
      <c r="M67" s="477" t="s">
        <v>200</v>
      </c>
      <c r="O67" s="299"/>
      <c r="Q67" s="299"/>
      <c r="S67" s="299"/>
    </row>
    <row r="68" spans="1:22" ht="13.5" customHeight="1">
      <c r="A68" s="207" t="s">
        <v>8</v>
      </c>
      <c r="B68" s="35"/>
      <c r="C68" s="35"/>
      <c r="F68" s="297">
        <v>375000</v>
      </c>
      <c r="H68" s="480">
        <v>375000</v>
      </c>
      <c r="K68" s="480">
        <f t="shared" ref="K68:K75" si="2">F68-H68</f>
        <v>0</v>
      </c>
      <c r="M68" s="207" t="s">
        <v>8</v>
      </c>
      <c r="O68" s="573">
        <v>375000</v>
      </c>
      <c r="P68" s="574"/>
      <c r="Q68" s="573">
        <v>375000</v>
      </c>
      <c r="S68" s="573">
        <f t="shared" ref="S68:S74" si="3">Q68-O68</f>
        <v>0</v>
      </c>
    </row>
    <row r="69" spans="1:22" ht="13.5" customHeight="1">
      <c r="A69" s="207" t="s">
        <v>182</v>
      </c>
      <c r="B69" s="35"/>
      <c r="C69" s="35"/>
      <c r="F69" s="297">
        <v>400000</v>
      </c>
      <c r="H69" s="480">
        <v>400000</v>
      </c>
      <c r="K69" s="480">
        <f t="shared" si="2"/>
        <v>0</v>
      </c>
      <c r="M69" s="207" t="s">
        <v>182</v>
      </c>
      <c r="O69" s="573">
        <v>400000</v>
      </c>
      <c r="P69" s="574"/>
      <c r="Q69" s="573">
        <v>400000</v>
      </c>
      <c r="S69" s="573">
        <f t="shared" si="3"/>
        <v>0</v>
      </c>
    </row>
    <row r="70" spans="1:22" s="207" customFormat="1" ht="13.5" customHeight="1">
      <c r="A70" s="207" t="s">
        <v>183</v>
      </c>
      <c r="B70" s="35"/>
      <c r="C70" s="35"/>
      <c r="D70"/>
      <c r="E70"/>
      <c r="F70" s="297">
        <v>1096727</v>
      </c>
      <c r="G70"/>
      <c r="H70" s="297">
        <v>1096727</v>
      </c>
      <c r="I70"/>
      <c r="J70"/>
      <c r="K70" s="297">
        <f t="shared" si="2"/>
        <v>0</v>
      </c>
      <c r="M70" s="207" t="s">
        <v>183</v>
      </c>
      <c r="O70" s="573">
        <v>1096727</v>
      </c>
      <c r="P70" s="574"/>
      <c r="Q70" s="573">
        <v>1128564</v>
      </c>
      <c r="S70" s="573">
        <f t="shared" si="3"/>
        <v>31837</v>
      </c>
    </row>
    <row r="71" spans="1:22" ht="13.5" customHeight="1">
      <c r="A71" s="207" t="s">
        <v>184</v>
      </c>
      <c r="B71" s="35"/>
      <c r="C71" s="35"/>
      <c r="F71" s="297">
        <v>300000</v>
      </c>
      <c r="H71" s="480">
        <v>300000</v>
      </c>
      <c r="K71" s="480">
        <f t="shared" si="2"/>
        <v>0</v>
      </c>
      <c r="M71" s="207" t="s">
        <v>184</v>
      </c>
      <c r="O71" s="573">
        <v>300000</v>
      </c>
      <c r="P71" s="574"/>
      <c r="Q71" s="573">
        <v>300000</v>
      </c>
      <c r="S71" s="573">
        <f t="shared" si="3"/>
        <v>0</v>
      </c>
    </row>
    <row r="72" spans="1:22" ht="13.5" customHeight="1">
      <c r="A72" s="207" t="s">
        <v>36</v>
      </c>
      <c r="B72" s="35"/>
      <c r="C72" s="35"/>
      <c r="F72" s="297">
        <v>150000</v>
      </c>
      <c r="H72" s="480">
        <v>150000</v>
      </c>
      <c r="K72" s="480">
        <f t="shared" si="2"/>
        <v>0</v>
      </c>
      <c r="M72" s="207" t="s">
        <v>36</v>
      </c>
      <c r="O72" s="573">
        <v>150000</v>
      </c>
      <c r="P72" s="574"/>
      <c r="Q72" s="573">
        <v>150000</v>
      </c>
      <c r="S72" s="573">
        <f t="shared" si="3"/>
        <v>0</v>
      </c>
    </row>
    <row r="73" spans="1:22" ht="13.5" customHeight="1">
      <c r="A73" s="207" t="s">
        <v>131</v>
      </c>
      <c r="B73" s="35"/>
      <c r="C73" s="35"/>
      <c r="F73" s="297">
        <v>400000</v>
      </c>
      <c r="H73" s="480">
        <v>400000</v>
      </c>
      <c r="K73" s="480">
        <f t="shared" si="2"/>
        <v>0</v>
      </c>
      <c r="M73" s="207" t="s">
        <v>131</v>
      </c>
      <c r="O73" s="573">
        <v>400000</v>
      </c>
      <c r="P73" s="574"/>
      <c r="Q73" s="480">
        <f>254000+27460</f>
        <v>281460</v>
      </c>
      <c r="S73" s="573">
        <f t="shared" si="3"/>
        <v>-118540</v>
      </c>
      <c r="V73" s="293"/>
    </row>
    <row r="74" spans="1:22" ht="13.5" customHeight="1">
      <c r="A74" s="207" t="s">
        <v>186</v>
      </c>
      <c r="B74" s="35"/>
      <c r="C74" s="35"/>
      <c r="F74" s="298">
        <v>600000</v>
      </c>
      <c r="H74" s="479">
        <v>400000</v>
      </c>
      <c r="K74" s="479">
        <f t="shared" si="2"/>
        <v>200000</v>
      </c>
      <c r="M74" s="207" t="s">
        <v>186</v>
      </c>
      <c r="O74" s="575">
        <v>400000</v>
      </c>
      <c r="P74" s="574"/>
      <c r="Q74" s="575">
        <v>400000</v>
      </c>
      <c r="S74" s="575">
        <f t="shared" si="3"/>
        <v>0</v>
      </c>
    </row>
    <row r="75" spans="1:22" ht="13.5" customHeight="1">
      <c r="A75" s="207" t="s">
        <v>370</v>
      </c>
      <c r="B75" s="35"/>
      <c r="C75" s="35"/>
      <c r="D75" s="207"/>
      <c r="E75" s="207"/>
      <c r="F75" s="297">
        <f>SUM(F68:F74)</f>
        <v>3321727</v>
      </c>
      <c r="G75" s="207"/>
      <c r="H75" s="415">
        <f>SUM(H68:H74)</f>
        <v>3121727</v>
      </c>
      <c r="I75" s="207"/>
      <c r="K75" s="415">
        <f t="shared" si="2"/>
        <v>200000</v>
      </c>
      <c r="L75" s="293"/>
      <c r="M75" s="207" t="s">
        <v>370</v>
      </c>
      <c r="O75" s="415">
        <f>SUM(O68:O74)</f>
        <v>3121727</v>
      </c>
      <c r="Q75" s="415">
        <f>SUM(Q68:Q74)</f>
        <v>3035024</v>
      </c>
      <c r="S75" s="415">
        <f>SUM(S68:S74)</f>
        <v>-86703</v>
      </c>
    </row>
    <row r="76" spans="1:22" ht="13.5" customHeight="1">
      <c r="B76" s="11"/>
      <c r="C76" s="11"/>
      <c r="F76" s="415"/>
      <c r="L76" s="293"/>
      <c r="O76" s="297"/>
      <c r="Q76" s="297"/>
      <c r="S76" s="297"/>
    </row>
    <row r="77" spans="1:22" s="207" customFormat="1" ht="21">
      <c r="A77" s="294" t="s">
        <v>242</v>
      </c>
      <c r="B77"/>
      <c r="C77"/>
      <c r="D77"/>
      <c r="E77"/>
      <c r="F77" s="415"/>
      <c r="G77"/>
      <c r="H77" s="415"/>
      <c r="I77"/>
      <c r="J77"/>
      <c r="K77" s="415"/>
      <c r="L77" s="221"/>
      <c r="M77" s="477" t="s">
        <v>242</v>
      </c>
      <c r="O77" s="415"/>
      <c r="Q77" s="415"/>
      <c r="S77" s="415"/>
    </row>
    <row r="78" spans="1:22" ht="13.5" customHeight="1">
      <c r="A78" s="207" t="s">
        <v>429</v>
      </c>
      <c r="B78" s="294"/>
      <c r="C78" s="294"/>
      <c r="F78" s="415">
        <v>1150000</v>
      </c>
      <c r="H78" s="415">
        <v>0</v>
      </c>
      <c r="K78" s="415">
        <f>F78-H78</f>
        <v>1150000</v>
      </c>
      <c r="M78" s="207" t="s">
        <v>429</v>
      </c>
      <c r="O78" s="415">
        <v>0</v>
      </c>
      <c r="Q78" s="415">
        <v>0</v>
      </c>
      <c r="S78" s="415">
        <f>Q78-O78</f>
        <v>0</v>
      </c>
    </row>
    <row r="79" spans="1:22">
      <c r="A79" s="207" t="s">
        <v>201</v>
      </c>
      <c r="B79" s="35"/>
      <c r="C79" s="35"/>
      <c r="F79" s="415">
        <v>-1018500.6604865385</v>
      </c>
      <c r="H79" s="415">
        <v>-2693401.7611174169</v>
      </c>
      <c r="K79" s="415">
        <f>F79-H79</f>
        <v>1674901.1006308785</v>
      </c>
      <c r="M79" s="207" t="s">
        <v>201</v>
      </c>
      <c r="O79" s="415">
        <v>-2028262.8974166303</v>
      </c>
      <c r="Q79" s="415">
        <v>-1753625.2844651877</v>
      </c>
      <c r="S79" s="415">
        <v>0</v>
      </c>
    </row>
    <row r="80" spans="1:22" hidden="1">
      <c r="A80" s="207"/>
      <c r="F80" s="415">
        <v>0</v>
      </c>
      <c r="H80" s="415">
        <v>0</v>
      </c>
      <c r="K80" s="415">
        <f>F80-H80</f>
        <v>0</v>
      </c>
      <c r="M80" s="207"/>
      <c r="O80" s="415">
        <v>0</v>
      </c>
      <c r="Q80" s="415">
        <v>0</v>
      </c>
      <c r="S80" s="415">
        <f>Q80-O80</f>
        <v>0</v>
      </c>
    </row>
    <row r="81" spans="1:19">
      <c r="A81" s="207" t="s">
        <v>380</v>
      </c>
      <c r="B81" s="34"/>
      <c r="C81" s="34"/>
      <c r="F81" s="298">
        <v>6916199.1103301533</v>
      </c>
      <c r="H81" s="298">
        <f>IDC!$Z$53*1000</f>
        <v>7133882.4107151506</v>
      </c>
      <c r="K81" s="298">
        <f>F81-H81</f>
        <v>-217683.30038499739</v>
      </c>
      <c r="M81" s="207" t="s">
        <v>513</v>
      </c>
      <c r="O81" s="298">
        <f>IDC!$Z$53*1000</f>
        <v>7133882.4107151506</v>
      </c>
      <c r="Q81" s="298">
        <f>IDC!$Z$53*1000</f>
        <v>7133882.4107151506</v>
      </c>
      <c r="S81" s="298">
        <f>Q81-O81</f>
        <v>0</v>
      </c>
    </row>
    <row r="82" spans="1:19">
      <c r="A82" s="207" t="s">
        <v>371</v>
      </c>
      <c r="B82" s="34"/>
      <c r="C82" s="34"/>
      <c r="D82" s="207"/>
      <c r="E82" s="207"/>
      <c r="F82" s="297">
        <f>SUM(F78:F81)</f>
        <v>7047698.4498436144</v>
      </c>
      <c r="G82" s="207"/>
      <c r="H82" s="415">
        <f>SUM(H78:H81)</f>
        <v>4440480.6495977342</v>
      </c>
      <c r="I82" s="207"/>
      <c r="K82" s="415">
        <f>SUM(K78:K81)</f>
        <v>2607217.8002458811</v>
      </c>
      <c r="M82" s="207" t="s">
        <v>371</v>
      </c>
      <c r="O82" s="415">
        <f>SUM(O78:O81)</f>
        <v>5105619.5132985208</v>
      </c>
      <c r="Q82" s="415">
        <f>SUM(Q78:Q81)</f>
        <v>5380257.1262499634</v>
      </c>
      <c r="S82" s="415">
        <f>SUM(S78:S81)</f>
        <v>0</v>
      </c>
    </row>
    <row r="83" spans="1:19">
      <c r="B83" s="11"/>
      <c r="C83" s="11"/>
      <c r="O83" s="297"/>
      <c r="Q83" s="297"/>
      <c r="S83" s="297"/>
    </row>
    <row r="84" spans="1:19" ht="21">
      <c r="A84" s="11" t="s">
        <v>202</v>
      </c>
      <c r="F84" s="299">
        <v>115976163.44734401</v>
      </c>
      <c r="H84" s="299">
        <f>+H64+H75+H82</f>
        <v>116542219.94959773</v>
      </c>
      <c r="K84" s="299">
        <f>F84-H84</f>
        <v>-566056.50225372612</v>
      </c>
      <c r="M84" s="477" t="s">
        <v>202</v>
      </c>
      <c r="O84" s="299">
        <f>+O64+O75+O82</f>
        <v>116075293.73329853</v>
      </c>
      <c r="Q84" s="299">
        <f>+Q64+Q75+Q82</f>
        <v>116658304.66624996</v>
      </c>
      <c r="S84" s="299">
        <f>SUM(S64+S75+S82)</f>
        <v>308373.31999999285</v>
      </c>
    </row>
    <row r="85" spans="1:19">
      <c r="A85" s="207"/>
      <c r="F85" s="299"/>
      <c r="H85" s="299"/>
      <c r="J85" s="299"/>
      <c r="K85" s="299"/>
      <c r="M85" s="207"/>
      <c r="O85" s="299"/>
    </row>
    <row r="86" spans="1:19">
      <c r="A86" s="207" t="s">
        <v>475</v>
      </c>
      <c r="F86" s="299"/>
      <c r="H86" s="415">
        <f>+H79</f>
        <v>-2693401.7611174169</v>
      </c>
      <c r="J86" s="299"/>
      <c r="K86" s="299"/>
      <c r="M86" s="207" t="s">
        <v>475</v>
      </c>
      <c r="O86" s="415">
        <f>+O79</f>
        <v>-2028262.8974166303</v>
      </c>
      <c r="Q86" s="415">
        <f>+Q79</f>
        <v>-1753625.2844651877</v>
      </c>
    </row>
    <row r="87" spans="1:19">
      <c r="A87" s="207" t="s">
        <v>476</v>
      </c>
      <c r="F87" s="299"/>
      <c r="H87" s="298">
        <v>900000</v>
      </c>
      <c r="J87" s="299"/>
      <c r="K87" s="299"/>
      <c r="M87" s="207" t="s">
        <v>476</v>
      </c>
      <c r="O87" s="298">
        <v>900000</v>
      </c>
      <c r="Q87" s="298">
        <v>900000</v>
      </c>
    </row>
    <row r="88" spans="1:19" ht="21">
      <c r="A88" s="11" t="s">
        <v>477</v>
      </c>
      <c r="B88" s="11"/>
      <c r="C88" s="11"/>
      <c r="F88" s="299"/>
      <c r="H88" s="299">
        <f>SUM(H86:H87)</f>
        <v>-1793401.7611174169</v>
      </c>
      <c r="M88" s="477" t="s">
        <v>477</v>
      </c>
      <c r="O88" s="299">
        <f>SUM(O86:O87)</f>
        <v>-1128262.8974166303</v>
      </c>
      <c r="Q88" s="299">
        <f>SUM(Q86:Q87)</f>
        <v>-853625.28446518769</v>
      </c>
    </row>
    <row r="89" spans="1:19">
      <c r="B89" s="11"/>
      <c r="C89" s="11"/>
      <c r="F89" s="299"/>
    </row>
    <row r="90" spans="1:19" ht="22.8">
      <c r="A90" s="494" t="s">
        <v>408</v>
      </c>
      <c r="B90" s="494" t="str">
        <f ca="1">CELL("Filename")</f>
        <v>O:\NAES\GenSvcs\Doyle\Current Models\[AV.IDC Fix.xls]Project Assumptions</v>
      </c>
      <c r="J90" s="297"/>
      <c r="M90" s="477" t="s">
        <v>522</v>
      </c>
      <c r="O90" s="293">
        <f>+O84-O79</f>
        <v>118103556.63071516</v>
      </c>
      <c r="Q90" s="293">
        <f>+Q84-Q79</f>
        <v>118411929.95071515</v>
      </c>
    </row>
    <row r="91" spans="1:19">
      <c r="A91" s="11" t="s">
        <v>425</v>
      </c>
      <c r="F91" s="299"/>
      <c r="H91" s="415"/>
      <c r="J91" s="293"/>
      <c r="K91" s="415"/>
    </row>
    <row r="94" spans="1:19">
      <c r="J94" s="293"/>
      <c r="Q94" s="415"/>
    </row>
    <row r="103" spans="8:8">
      <c r="H103" s="297">
        <f>119339.165696309*1000</f>
        <v>119339165.696309</v>
      </c>
    </row>
    <row r="105" spans="8:8">
      <c r="H105" s="297">
        <f>+H103-H84</f>
        <v>2796945.746711269</v>
      </c>
    </row>
    <row r="107" spans="8:8">
      <c r="H107" s="297">
        <f>+H105+H79</f>
        <v>103543.98559385212</v>
      </c>
    </row>
  </sheetData>
  <mergeCells count="1">
    <mergeCell ref="B40:D40"/>
  </mergeCells>
  <pageMargins left="0.73" right="0.5" top="0.84" bottom="0.84" header="0.5" footer="0.26"/>
  <pageSetup scale="53" fitToHeight="2" orientation="portrait" r:id="rId1"/>
  <headerFooter alignWithMargins="0">
    <oddFooter>&amp;L&amp;D   &amp;T&amp;R&amp;A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M57"/>
  <sheetViews>
    <sheetView zoomScale="75" zoomScaleNormal="100" workbookViewId="0">
      <selection activeCell="C22" sqref="C22"/>
    </sheetView>
  </sheetViews>
  <sheetFormatPr defaultRowHeight="13.2"/>
  <cols>
    <col min="1" max="1" width="26.88671875" bestFit="1" customWidth="1"/>
    <col min="2" max="2" width="13.109375" hidden="1" customWidth="1"/>
    <col min="3" max="3" width="15.88671875" hidden="1" customWidth="1"/>
    <col min="4" max="4" width="9.6640625" hidden="1" customWidth="1"/>
    <col min="5" max="5" width="19.109375" bestFit="1" customWidth="1"/>
    <col min="6" max="6" width="5.5546875" customWidth="1"/>
    <col min="7" max="7" width="28.6640625" bestFit="1" customWidth="1"/>
    <col min="8" max="8" width="5.6640625" customWidth="1"/>
    <col min="9" max="9" width="20.88671875" bestFit="1" customWidth="1"/>
    <col min="10" max="10" width="5.6640625" customWidth="1"/>
    <col min="11" max="11" width="17.33203125" hidden="1" customWidth="1"/>
  </cols>
  <sheetData>
    <row r="2" spans="1:11" ht="22.8">
      <c r="A2" s="585" t="s">
        <v>498</v>
      </c>
      <c r="B2" s="586"/>
      <c r="C2" s="586"/>
      <c r="D2" s="586"/>
      <c r="E2" s="586"/>
      <c r="F2" s="586"/>
      <c r="G2" s="586"/>
      <c r="H2" s="586"/>
      <c r="I2" s="586"/>
      <c r="J2" s="568"/>
      <c r="K2" s="568"/>
    </row>
    <row r="4" spans="1:11">
      <c r="A4" s="11" t="s">
        <v>434</v>
      </c>
      <c r="B4" s="11"/>
      <c r="C4" s="509" t="s">
        <v>435</v>
      </c>
      <c r="D4" s="296"/>
      <c r="E4" s="509" t="s">
        <v>490</v>
      </c>
      <c r="G4" s="509" t="s">
        <v>507</v>
      </c>
      <c r="H4" s="556"/>
      <c r="I4" s="509" t="s">
        <v>506</v>
      </c>
      <c r="K4" s="509" t="s">
        <v>436</v>
      </c>
    </row>
    <row r="5" spans="1:11" hidden="1">
      <c r="A5" s="11" t="s">
        <v>493</v>
      </c>
    </row>
    <row r="6" spans="1:11" hidden="1">
      <c r="A6" t="s">
        <v>437</v>
      </c>
      <c r="C6" s="297">
        <v>7517446</v>
      </c>
      <c r="D6" s="297"/>
      <c r="E6" s="297">
        <v>0</v>
      </c>
      <c r="K6" s="453" t="s">
        <v>438</v>
      </c>
    </row>
    <row r="7" spans="1:11">
      <c r="A7" t="s">
        <v>445</v>
      </c>
      <c r="C7" s="297">
        <v>0</v>
      </c>
      <c r="D7" s="297"/>
      <c r="E7" s="297">
        <v>300000</v>
      </c>
      <c r="G7" s="297">
        <f>264206+110000</f>
        <v>374206</v>
      </c>
      <c r="H7" s="297"/>
      <c r="I7" s="297">
        <f>+G7-E7</f>
        <v>74206</v>
      </c>
      <c r="K7" s="453" t="s">
        <v>440</v>
      </c>
    </row>
    <row r="8" spans="1:11">
      <c r="A8" t="s">
        <v>508</v>
      </c>
      <c r="C8" s="297">
        <v>0</v>
      </c>
      <c r="D8" s="297"/>
      <c r="E8" s="297">
        <f>1000000-(45000*3)</f>
        <v>865000</v>
      </c>
      <c r="G8" s="297">
        <f t="shared" ref="G8:G19" si="0">+E8</f>
        <v>865000</v>
      </c>
      <c r="H8" s="297"/>
      <c r="I8" s="297">
        <f t="shared" ref="I8:I24" si="1">+G8-E8</f>
        <v>0</v>
      </c>
      <c r="K8" s="453" t="s">
        <v>440</v>
      </c>
    </row>
    <row r="9" spans="1:11" ht="15.6">
      <c r="A9" t="s">
        <v>468</v>
      </c>
      <c r="C9" s="297">
        <f>70000*3</f>
        <v>210000</v>
      </c>
      <c r="D9" s="297"/>
      <c r="E9" s="297">
        <f>45000*3</f>
        <v>135000</v>
      </c>
      <c r="G9" s="297">
        <f t="shared" si="0"/>
        <v>135000</v>
      </c>
      <c r="H9" s="297"/>
      <c r="I9" s="297">
        <f t="shared" si="1"/>
        <v>0</v>
      </c>
      <c r="K9" s="453" t="s">
        <v>440</v>
      </c>
    </row>
    <row r="10" spans="1:11">
      <c r="A10" t="s">
        <v>450</v>
      </c>
      <c r="C10" s="297">
        <v>0</v>
      </c>
      <c r="E10" s="297">
        <v>172000</v>
      </c>
      <c r="G10" s="297">
        <f t="shared" si="0"/>
        <v>172000</v>
      </c>
      <c r="H10" s="297"/>
      <c r="I10" s="297">
        <f t="shared" si="1"/>
        <v>0</v>
      </c>
      <c r="K10" s="453" t="s">
        <v>440</v>
      </c>
    </row>
    <row r="11" spans="1:11">
      <c r="A11" t="s">
        <v>451</v>
      </c>
      <c r="C11" s="297">
        <v>0</v>
      </c>
      <c r="E11" s="297">
        <v>165000</v>
      </c>
      <c r="G11" s="297">
        <f t="shared" si="0"/>
        <v>165000</v>
      </c>
      <c r="H11" s="297"/>
      <c r="I11" s="297">
        <f t="shared" si="1"/>
        <v>0</v>
      </c>
      <c r="K11" s="453" t="s">
        <v>440</v>
      </c>
    </row>
    <row r="12" spans="1:11">
      <c r="A12" t="s">
        <v>439</v>
      </c>
      <c r="C12" s="297">
        <v>0</v>
      </c>
      <c r="D12" s="297"/>
      <c r="E12" s="297">
        <v>400000</v>
      </c>
      <c r="G12" s="297">
        <f t="shared" si="0"/>
        <v>400000</v>
      </c>
      <c r="H12" s="297"/>
      <c r="I12" s="297">
        <f t="shared" si="1"/>
        <v>0</v>
      </c>
      <c r="K12" s="453" t="s">
        <v>440</v>
      </c>
    </row>
    <row r="13" spans="1:11">
      <c r="A13" t="s">
        <v>442</v>
      </c>
      <c r="C13" s="297">
        <v>0</v>
      </c>
      <c r="D13" s="297"/>
      <c r="E13" s="297">
        <v>600000</v>
      </c>
      <c r="G13" s="297">
        <v>249969</v>
      </c>
      <c r="H13" s="297"/>
      <c r="I13" s="297">
        <f t="shared" si="1"/>
        <v>-350031</v>
      </c>
      <c r="K13" s="453" t="s">
        <v>440</v>
      </c>
    </row>
    <row r="14" spans="1:11">
      <c r="A14" t="s">
        <v>443</v>
      </c>
      <c r="C14" s="297">
        <v>0</v>
      </c>
      <c r="D14" s="297"/>
      <c r="E14" s="297">
        <f>350000*2+500000*3+130000*3</f>
        <v>2590000</v>
      </c>
      <c r="G14" s="297">
        <f>350000*2+150000*3+130000*3</f>
        <v>1540000</v>
      </c>
      <c r="H14" s="297"/>
      <c r="I14" s="297">
        <f t="shared" si="1"/>
        <v>-1050000</v>
      </c>
      <c r="K14" s="453" t="s">
        <v>440</v>
      </c>
    </row>
    <row r="15" spans="1:11">
      <c r="A15" t="s">
        <v>505</v>
      </c>
      <c r="C15" s="297">
        <v>0</v>
      </c>
      <c r="D15" s="297"/>
      <c r="E15" s="297">
        <v>500000</v>
      </c>
      <c r="G15" s="297">
        <f t="shared" si="0"/>
        <v>500000</v>
      </c>
      <c r="H15" s="297"/>
      <c r="I15" s="297">
        <f t="shared" si="1"/>
        <v>0</v>
      </c>
      <c r="K15" s="453" t="s">
        <v>441</v>
      </c>
    </row>
    <row r="16" spans="1:11">
      <c r="A16" t="s">
        <v>444</v>
      </c>
      <c r="C16" s="297">
        <v>1000000</v>
      </c>
      <c r="D16" s="297"/>
      <c r="E16" s="297">
        <v>1000000</v>
      </c>
      <c r="G16" s="297">
        <f t="shared" si="0"/>
        <v>1000000</v>
      </c>
      <c r="H16" s="297"/>
      <c r="I16" s="297">
        <f t="shared" si="1"/>
        <v>0</v>
      </c>
      <c r="K16" s="453" t="s">
        <v>441</v>
      </c>
    </row>
    <row r="17" spans="1:13">
      <c r="A17" t="s">
        <v>510</v>
      </c>
      <c r="C17" s="297">
        <v>0</v>
      </c>
      <c r="D17" s="297"/>
      <c r="E17" s="297">
        <v>600000</v>
      </c>
      <c r="G17" s="297">
        <f t="shared" si="0"/>
        <v>600000</v>
      </c>
      <c r="H17" s="297"/>
      <c r="I17" s="297">
        <f t="shared" si="1"/>
        <v>0</v>
      </c>
      <c r="K17" s="453" t="s">
        <v>441</v>
      </c>
    </row>
    <row r="18" spans="1:13">
      <c r="A18" t="s">
        <v>504</v>
      </c>
      <c r="C18" s="297">
        <v>0</v>
      </c>
      <c r="D18" s="297"/>
      <c r="E18" s="297">
        <v>800000</v>
      </c>
      <c r="G18" s="297">
        <f t="shared" si="0"/>
        <v>800000</v>
      </c>
      <c r="H18" s="297"/>
      <c r="I18" s="297">
        <f t="shared" si="1"/>
        <v>0</v>
      </c>
      <c r="K18" s="453" t="s">
        <v>441</v>
      </c>
    </row>
    <row r="19" spans="1:13">
      <c r="A19" t="s">
        <v>446</v>
      </c>
      <c r="C19" s="297">
        <v>0</v>
      </c>
      <c r="D19" s="297"/>
      <c r="E19" s="297">
        <v>905000</v>
      </c>
      <c r="G19" s="297">
        <f t="shared" si="0"/>
        <v>905000</v>
      </c>
      <c r="H19" s="297"/>
      <c r="I19" s="297">
        <f t="shared" si="1"/>
        <v>0</v>
      </c>
      <c r="K19" s="453" t="s">
        <v>441</v>
      </c>
    </row>
    <row r="20" spans="1:13" hidden="1">
      <c r="A20" t="s">
        <v>447</v>
      </c>
      <c r="C20" s="297">
        <v>-200000</v>
      </c>
      <c r="D20" s="297"/>
      <c r="E20" s="297">
        <v>0</v>
      </c>
      <c r="G20" s="297"/>
      <c r="H20" s="297"/>
      <c r="I20" s="297">
        <f t="shared" si="1"/>
        <v>0</v>
      </c>
      <c r="K20" s="453" t="s">
        <v>438</v>
      </c>
    </row>
    <row r="21" spans="1:13" hidden="1">
      <c r="A21" t="s">
        <v>448</v>
      </c>
      <c r="C21" s="297">
        <v>300000</v>
      </c>
      <c r="D21" s="297"/>
      <c r="E21" s="297">
        <v>0</v>
      </c>
      <c r="G21" s="297"/>
      <c r="H21" s="297"/>
      <c r="I21" s="297">
        <f t="shared" si="1"/>
        <v>0</v>
      </c>
      <c r="K21" s="453" t="s">
        <v>438</v>
      </c>
    </row>
    <row r="22" spans="1:13" hidden="1">
      <c r="A22" t="s">
        <v>449</v>
      </c>
      <c r="C22" s="297">
        <v>300000</v>
      </c>
      <c r="D22" s="297"/>
      <c r="E22" s="297">
        <v>0</v>
      </c>
      <c r="G22" s="297"/>
      <c r="H22" s="297"/>
      <c r="I22" s="297">
        <f t="shared" si="1"/>
        <v>0</v>
      </c>
      <c r="K22" s="453" t="s">
        <v>438</v>
      </c>
    </row>
    <row r="23" spans="1:13">
      <c r="A23" t="s">
        <v>452</v>
      </c>
      <c r="C23" s="298">
        <v>0</v>
      </c>
      <c r="E23" s="298">
        <v>400000</v>
      </c>
      <c r="G23" s="298">
        <f>((3*10000)+200000)</f>
        <v>230000</v>
      </c>
      <c r="H23" s="295"/>
      <c r="I23" s="298">
        <f t="shared" si="1"/>
        <v>-170000</v>
      </c>
      <c r="K23" s="453" t="s">
        <v>441</v>
      </c>
    </row>
    <row r="24" spans="1:13">
      <c r="A24" t="s">
        <v>453</v>
      </c>
      <c r="C24" s="297">
        <f>SUM(C6:C23)</f>
        <v>9127446</v>
      </c>
      <c r="D24" s="297"/>
      <c r="E24" s="297">
        <f>SUM(E6:E23)</f>
        <v>9432000</v>
      </c>
      <c r="G24" s="293">
        <f>SUM(G7:G23)</f>
        <v>7936175</v>
      </c>
      <c r="H24" s="293"/>
      <c r="I24" s="293">
        <f t="shared" si="1"/>
        <v>-1495825</v>
      </c>
      <c r="K24" s="453"/>
    </row>
    <row r="25" spans="1:13">
      <c r="C25" s="297"/>
      <c r="D25" s="297"/>
      <c r="E25" s="297"/>
      <c r="K25" s="453"/>
    </row>
    <row r="26" spans="1:13">
      <c r="E26" s="297"/>
      <c r="K26" s="453"/>
    </row>
    <row r="27" spans="1:13">
      <c r="A27" s="11" t="s">
        <v>454</v>
      </c>
      <c r="C27" s="297"/>
      <c r="E27" s="297"/>
      <c r="K27" s="453"/>
    </row>
    <row r="28" spans="1:13">
      <c r="A28" t="s">
        <v>455</v>
      </c>
      <c r="C28" s="297">
        <v>3176000</v>
      </c>
      <c r="E28" s="297">
        <v>3029010</v>
      </c>
      <c r="G28" s="297">
        <v>3030210</v>
      </c>
      <c r="H28" s="297"/>
      <c r="I28" s="297">
        <f t="shared" ref="I28:I33" si="2">+G28-E28</f>
        <v>1200</v>
      </c>
      <c r="K28" s="453" t="s">
        <v>441</v>
      </c>
      <c r="M28" s="293"/>
    </row>
    <row r="29" spans="1:13">
      <c r="A29" t="s">
        <v>456</v>
      </c>
      <c r="C29" s="297">
        <v>350000</v>
      </c>
      <c r="E29" s="297">
        <v>350000</v>
      </c>
      <c r="G29" s="297">
        <f>+E29</f>
        <v>350000</v>
      </c>
      <c r="H29" s="297"/>
      <c r="I29" s="297">
        <f t="shared" si="2"/>
        <v>0</v>
      </c>
      <c r="K29" s="453" t="s">
        <v>441</v>
      </c>
    </row>
    <row r="30" spans="1:13">
      <c r="A30" t="s">
        <v>457</v>
      </c>
      <c r="C30" s="297">
        <v>4500000</v>
      </c>
      <c r="E30" s="297">
        <v>4500000</v>
      </c>
      <c r="G30" s="297">
        <f>+E30</f>
        <v>4500000</v>
      </c>
      <c r="H30" s="297"/>
      <c r="I30" s="297">
        <f t="shared" si="2"/>
        <v>0</v>
      </c>
      <c r="K30" s="453" t="s">
        <v>441</v>
      </c>
    </row>
    <row r="31" spans="1:13" hidden="1">
      <c r="A31" t="s">
        <v>458</v>
      </c>
      <c r="C31" s="297">
        <v>33000</v>
      </c>
      <c r="E31" s="297">
        <v>0</v>
      </c>
      <c r="G31" s="297">
        <f>+E31</f>
        <v>0</v>
      </c>
      <c r="H31" s="297"/>
      <c r="I31" s="297">
        <f t="shared" si="2"/>
        <v>0</v>
      </c>
      <c r="K31" s="453" t="s">
        <v>438</v>
      </c>
    </row>
    <row r="32" spans="1:13">
      <c r="A32" t="s">
        <v>459</v>
      </c>
      <c r="C32" s="298">
        <v>245000</v>
      </c>
      <c r="E32" s="298">
        <v>252000</v>
      </c>
      <c r="G32" s="298">
        <f>+E32</f>
        <v>252000</v>
      </c>
      <c r="H32" s="295"/>
      <c r="I32" s="298">
        <f t="shared" si="2"/>
        <v>0</v>
      </c>
      <c r="K32" s="453" t="s">
        <v>441</v>
      </c>
    </row>
    <row r="33" spans="1:13">
      <c r="A33" t="s">
        <v>89</v>
      </c>
      <c r="C33" s="293">
        <f>SUM(C28:C32)</f>
        <v>8304000</v>
      </c>
      <c r="E33" s="293">
        <f>SUM(E28:E32)</f>
        <v>8131010</v>
      </c>
      <c r="G33" s="297">
        <f>SUM(G28:G32)</f>
        <v>8132210</v>
      </c>
      <c r="H33" s="297"/>
      <c r="I33" s="297">
        <f t="shared" si="2"/>
        <v>1200</v>
      </c>
      <c r="K33" s="453"/>
    </row>
    <row r="34" spans="1:13">
      <c r="C34" s="293"/>
      <c r="E34" s="293"/>
      <c r="K34" s="453"/>
    </row>
    <row r="35" spans="1:13">
      <c r="K35" s="453"/>
    </row>
    <row r="36" spans="1:13">
      <c r="A36" s="11" t="s">
        <v>460</v>
      </c>
      <c r="B36" s="11"/>
      <c r="C36" s="510">
        <f>C24+C33</f>
        <v>17431446</v>
      </c>
      <c r="D36" s="11"/>
      <c r="E36" s="510">
        <f>E24+E33</f>
        <v>17563010</v>
      </c>
      <c r="G36" s="510">
        <f>G24+G33</f>
        <v>16068385</v>
      </c>
      <c r="H36" s="510"/>
      <c r="I36" s="510">
        <f>+G36-E36</f>
        <v>-1494625</v>
      </c>
      <c r="K36" s="453"/>
    </row>
    <row r="37" spans="1:13">
      <c r="K37" s="453"/>
    </row>
    <row r="38" spans="1:13">
      <c r="A38" s="11" t="s">
        <v>461</v>
      </c>
      <c r="K38" s="453"/>
    </row>
    <row r="39" spans="1:13" hidden="1">
      <c r="C39" s="297"/>
      <c r="E39" s="297"/>
      <c r="K39" s="453"/>
    </row>
    <row r="40" spans="1:13">
      <c r="A40" t="s">
        <v>509</v>
      </c>
      <c r="C40" s="298">
        <v>1700000</v>
      </c>
      <c r="E40" s="298">
        <v>1700000</v>
      </c>
      <c r="G40" s="298">
        <f>+E40</f>
        <v>1700000</v>
      </c>
      <c r="H40" s="295"/>
      <c r="I40" s="298">
        <f>+G40-E40</f>
        <v>0</v>
      </c>
      <c r="K40" s="453" t="s">
        <v>440</v>
      </c>
    </row>
    <row r="41" spans="1:13">
      <c r="A41" t="s">
        <v>462</v>
      </c>
      <c r="C41" s="293">
        <f>SUM(C39:C40)</f>
        <v>1700000</v>
      </c>
      <c r="E41" s="293">
        <f>SUM(E39:E40)</f>
        <v>1700000</v>
      </c>
      <c r="G41" s="293">
        <f>SUM(G40)</f>
        <v>1700000</v>
      </c>
      <c r="H41" s="293"/>
      <c r="I41" s="293">
        <f>+G41-E41</f>
        <v>0</v>
      </c>
    </row>
    <row r="43" spans="1:13">
      <c r="A43" s="11" t="s">
        <v>463</v>
      </c>
      <c r="B43" s="11"/>
      <c r="C43" s="510">
        <f>+C36+C41</f>
        <v>19131446</v>
      </c>
      <c r="D43" s="11"/>
      <c r="E43" s="510">
        <f>+E36+E41</f>
        <v>19263010</v>
      </c>
      <c r="G43" s="510">
        <f>+G36+G41</f>
        <v>17768385</v>
      </c>
      <c r="H43" s="510"/>
      <c r="I43" s="510">
        <f>+G43-E43</f>
        <v>-1494625</v>
      </c>
      <c r="K43" s="511" t="s">
        <v>464</v>
      </c>
    </row>
    <row r="44" spans="1:13">
      <c r="K44" s="514">
        <f>+E32+E30+E29+E28+E23+E19+E17+E16+E15+E18</f>
        <v>12336010</v>
      </c>
      <c r="M44" s="512">
        <f>+K44/E43</f>
        <v>0.64039887847226373</v>
      </c>
    </row>
    <row r="45" spans="1:13">
      <c r="A45" t="s">
        <v>465</v>
      </c>
      <c r="C45" s="293">
        <v>17818826.997499999</v>
      </c>
      <c r="E45" s="293">
        <v>17818826.997499999</v>
      </c>
      <c r="G45" s="293">
        <v>17818826.997499999</v>
      </c>
      <c r="H45" s="293"/>
      <c r="I45" s="297"/>
      <c r="M45" s="513"/>
    </row>
    <row r="46" spans="1:13">
      <c r="K46" s="511" t="s">
        <v>466</v>
      </c>
      <c r="M46" s="513"/>
    </row>
    <row r="47" spans="1:13">
      <c r="A47" t="s">
        <v>467</v>
      </c>
      <c r="C47" s="293">
        <f>+C45-C43</f>
        <v>-1312619.0025000013</v>
      </c>
      <c r="E47" s="293">
        <f>+E45-E43</f>
        <v>-1444183.0025000013</v>
      </c>
      <c r="G47" s="293">
        <f>+G45-G43</f>
        <v>50441.997499998659</v>
      </c>
      <c r="H47" s="293"/>
      <c r="I47" s="297"/>
      <c r="K47" s="514">
        <f>+E43-K44</f>
        <v>6927000</v>
      </c>
      <c r="M47" s="512">
        <f>+K47/E43</f>
        <v>0.35960112152773632</v>
      </c>
    </row>
    <row r="50" spans="1:11" ht="22.8">
      <c r="A50" s="585" t="s">
        <v>514</v>
      </c>
      <c r="B50" s="585"/>
      <c r="C50" s="585"/>
      <c r="D50" s="585"/>
      <c r="E50" s="585"/>
      <c r="F50" s="585"/>
      <c r="G50" s="585"/>
      <c r="H50" s="585"/>
      <c r="I50" s="585"/>
      <c r="J50" s="568"/>
      <c r="K50" s="568"/>
    </row>
    <row r="52" spans="1:11">
      <c r="A52" s="11" t="s">
        <v>434</v>
      </c>
      <c r="B52" s="11"/>
      <c r="C52" s="509" t="s">
        <v>435</v>
      </c>
      <c r="D52" s="296"/>
      <c r="E52" s="509" t="s">
        <v>515</v>
      </c>
      <c r="G52" s="509" t="s">
        <v>516</v>
      </c>
      <c r="H52" s="556"/>
      <c r="I52" s="509" t="s">
        <v>517</v>
      </c>
    </row>
    <row r="53" spans="1:11">
      <c r="A53" t="s">
        <v>518</v>
      </c>
      <c r="E53" s="297">
        <v>1534122</v>
      </c>
      <c r="G53" s="297">
        <v>1733558</v>
      </c>
      <c r="H53" s="297"/>
      <c r="I53" s="297">
        <f>+G53-E53</f>
        <v>199436</v>
      </c>
    </row>
    <row r="54" spans="1:11">
      <c r="A54" t="s">
        <v>519</v>
      </c>
      <c r="E54" s="297">
        <v>1995048</v>
      </c>
      <c r="G54" s="297">
        <v>2254404</v>
      </c>
      <c r="H54" s="297"/>
      <c r="I54" s="297">
        <f>+G54-E54</f>
        <v>259356</v>
      </c>
    </row>
    <row r="55" spans="1:11">
      <c r="A55" t="s">
        <v>520</v>
      </c>
      <c r="E55" s="297">
        <v>76588</v>
      </c>
      <c r="G55" s="297">
        <v>86545</v>
      </c>
      <c r="H55" s="297"/>
      <c r="I55" s="297">
        <f>+G55-E55</f>
        <v>9957</v>
      </c>
    </row>
    <row r="56" spans="1:11">
      <c r="A56" t="s">
        <v>521</v>
      </c>
      <c r="E56" s="298">
        <v>287053</v>
      </c>
      <c r="G56" s="298">
        <v>324370</v>
      </c>
      <c r="H56" s="295"/>
      <c r="I56" s="298">
        <f>+G56-E56</f>
        <v>37317</v>
      </c>
    </row>
    <row r="57" spans="1:11">
      <c r="A57" s="11" t="s">
        <v>463</v>
      </c>
      <c r="B57" s="11"/>
      <c r="C57" s="11"/>
      <c r="D57" s="11"/>
      <c r="E57" s="510">
        <f>SUM(E53:E56)</f>
        <v>3892811</v>
      </c>
      <c r="F57" s="11"/>
      <c r="G57" s="299">
        <f>SUM(G53:G56)</f>
        <v>4398877</v>
      </c>
      <c r="H57" s="299"/>
      <c r="I57" s="299">
        <f>+G57-E57</f>
        <v>506066</v>
      </c>
    </row>
  </sheetData>
  <mergeCells count="2">
    <mergeCell ref="A2:I2"/>
    <mergeCell ref="A50:I50"/>
  </mergeCells>
  <pageMargins left="0.75" right="0.75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V281"/>
  <sheetViews>
    <sheetView topLeftCell="O1" zoomScale="75" zoomScaleNormal="100" workbookViewId="0">
      <selection activeCell="Y32" sqref="Y32"/>
    </sheetView>
  </sheetViews>
  <sheetFormatPr defaultColWidth="9.33203125" defaultRowHeight="12.6" customHeight="1"/>
  <cols>
    <col min="1" max="1" width="34.33203125" style="5" customWidth="1"/>
    <col min="2" max="2" width="12.5546875" style="5" customWidth="1"/>
    <col min="3" max="11" width="10.44140625" style="5" customWidth="1"/>
    <col min="12" max="12" width="11.33203125" style="5" bestFit="1" customWidth="1"/>
    <col min="13" max="25" width="10.44140625" style="5" customWidth="1"/>
    <col min="26" max="26" width="11.6640625" style="5" bestFit="1" customWidth="1"/>
    <col min="27" max="27" width="13.33203125" style="5" bestFit="1" customWidth="1"/>
    <col min="28" max="28" width="10.44140625" style="5" customWidth="1"/>
    <col min="29" max="29" width="33.44140625" style="5" bestFit="1" customWidth="1"/>
    <col min="30" max="30" width="12.44140625" style="5" customWidth="1"/>
    <col min="31" max="46" width="9.6640625" style="1" customWidth="1"/>
    <col min="47" max="55" width="9.6640625" customWidth="1"/>
    <col min="56" max="57" width="9.33203125" style="1" customWidth="1"/>
    <col min="58" max="58" width="9.6640625" customWidth="1"/>
    <col min="59" max="59" width="10.6640625" style="1" customWidth="1"/>
    <col min="60" max="16384" width="9.33203125" style="1"/>
  </cols>
  <sheetData>
    <row r="1" spans="1:210" ht="24.6">
      <c r="A1" s="438" t="str">
        <f>'Project Assumptions'!$A$2</f>
        <v>PROJECT DOYLE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8"/>
      <c r="O1" s="438"/>
      <c r="P1" s="438"/>
      <c r="Q1" s="438"/>
      <c r="R1" s="438"/>
      <c r="S1" s="438"/>
      <c r="T1" s="438"/>
      <c r="U1" s="438"/>
      <c r="V1" s="438"/>
      <c r="W1" s="438"/>
      <c r="X1" s="438"/>
      <c r="Y1" s="438"/>
      <c r="Z1" s="438"/>
      <c r="AA1" s="438"/>
      <c r="AB1" s="438"/>
      <c r="AC1" s="438"/>
      <c r="AD1"/>
      <c r="BE1" s="9"/>
    </row>
    <row r="2" spans="1:210" s="212" customFormat="1" ht="15.6" customHeight="1">
      <c r="A2" s="439" t="s">
        <v>407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9"/>
      <c r="P2" s="439"/>
      <c r="Q2" s="439"/>
      <c r="R2" s="439"/>
      <c r="S2" s="439"/>
      <c r="T2" s="439"/>
      <c r="U2" s="439"/>
      <c r="V2" s="439"/>
      <c r="W2" s="439"/>
      <c r="X2" s="439"/>
      <c r="Y2" s="439"/>
      <c r="Z2" s="439"/>
      <c r="AA2" s="439"/>
      <c r="AB2" s="439"/>
      <c r="AC2" s="439"/>
      <c r="AD2" s="207"/>
      <c r="AE2" s="213"/>
      <c r="AF2" s="213"/>
      <c r="AG2" s="213"/>
      <c r="AH2" s="213"/>
      <c r="AI2" s="213"/>
      <c r="AJ2" s="213"/>
      <c r="AK2" s="483"/>
      <c r="AL2" s="345"/>
      <c r="AM2" s="345"/>
      <c r="AN2" s="345"/>
      <c r="AO2" s="345"/>
      <c r="AP2" s="345"/>
      <c r="AQ2" s="345"/>
      <c r="AR2" s="345"/>
      <c r="AS2" s="345"/>
      <c r="AT2" s="345"/>
      <c r="AU2"/>
      <c r="AV2"/>
      <c r="AW2"/>
      <c r="AX2"/>
      <c r="AY2"/>
      <c r="AZ2"/>
      <c r="BA2"/>
      <c r="BB2"/>
      <c r="BC2"/>
      <c r="BE2" s="328"/>
      <c r="BF2" s="207"/>
      <c r="HB2" s="488"/>
    </row>
    <row r="3" spans="1:210" s="212" customFormat="1" ht="12.6" customHeight="1">
      <c r="A3" s="211"/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483"/>
    </row>
    <row r="4" spans="1:210" s="212" customFormat="1" ht="12.6" customHeight="1">
      <c r="A4" s="329"/>
      <c r="B4" s="329"/>
      <c r="C4" s="483">
        <v>36145</v>
      </c>
      <c r="D4" s="483">
        <f>EOMONTH(C4,0)+1</f>
        <v>36161</v>
      </c>
      <c r="E4" s="483">
        <f>EDATE(D4,1)</f>
        <v>36192</v>
      </c>
      <c r="F4" s="483">
        <f>EDATE(E4,1)</f>
        <v>36220</v>
      </c>
      <c r="G4" s="483">
        <v>36251</v>
      </c>
      <c r="H4" s="483">
        <f t="shared" ref="H4:T4" si="0">EDATE(G4,1)</f>
        <v>36281</v>
      </c>
      <c r="I4" s="483">
        <f t="shared" si="0"/>
        <v>36312</v>
      </c>
      <c r="J4" s="483">
        <f t="shared" si="0"/>
        <v>36342</v>
      </c>
      <c r="K4" s="483">
        <f t="shared" si="0"/>
        <v>36373</v>
      </c>
      <c r="L4" s="483">
        <f t="shared" si="0"/>
        <v>36404</v>
      </c>
      <c r="M4" s="483">
        <f t="shared" si="0"/>
        <v>36434</v>
      </c>
      <c r="N4" s="483">
        <f t="shared" si="0"/>
        <v>36465</v>
      </c>
      <c r="O4" s="483">
        <f t="shared" si="0"/>
        <v>36495</v>
      </c>
      <c r="P4" s="483">
        <f t="shared" si="0"/>
        <v>36526</v>
      </c>
      <c r="Q4" s="483">
        <f t="shared" si="0"/>
        <v>36557</v>
      </c>
      <c r="R4" s="483">
        <f t="shared" si="0"/>
        <v>36586</v>
      </c>
      <c r="S4" s="483">
        <f t="shared" si="0"/>
        <v>36617</v>
      </c>
      <c r="T4" s="483">
        <f t="shared" si="0"/>
        <v>36647</v>
      </c>
      <c r="U4" s="483">
        <v>36661</v>
      </c>
      <c r="V4" s="483">
        <v>36678</v>
      </c>
      <c r="W4" s="483">
        <f>EDATE(V4,1)</f>
        <v>36708</v>
      </c>
      <c r="X4" s="483">
        <f>EDATE(W4,1)</f>
        <v>36739</v>
      </c>
      <c r="Y4" s="483">
        <f>EDATE(X4,1)</f>
        <v>36770</v>
      </c>
      <c r="Z4" s="483">
        <f>EDATE(Y4,1)</f>
        <v>36800</v>
      </c>
      <c r="AB4" s="483"/>
    </row>
    <row r="5" spans="1:210" s="212" customFormat="1" ht="13.2">
      <c r="A5" s="329"/>
      <c r="B5" s="329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29"/>
      <c r="R5" s="329"/>
      <c r="S5" s="329"/>
      <c r="T5" s="329"/>
      <c r="U5" s="329"/>
      <c r="V5" s="329"/>
      <c r="W5" s="329"/>
      <c r="X5" s="329"/>
      <c r="Y5" s="329"/>
      <c r="Z5" s="329"/>
      <c r="AA5" s="329"/>
      <c r="AB5" s="329"/>
    </row>
    <row r="6" spans="1:210" s="212" customFormat="1" ht="13.2">
      <c r="A6" s="329" t="s">
        <v>387</v>
      </c>
      <c r="B6" s="154">
        <v>0.1</v>
      </c>
      <c r="C6" s="154">
        <v>0.1</v>
      </c>
      <c r="D6" s="154">
        <v>6.5000000000000002E-2</v>
      </c>
      <c r="E6" s="154">
        <f t="shared" ref="E6:J6" si="1">D6</f>
        <v>6.5000000000000002E-2</v>
      </c>
      <c r="F6" s="154">
        <f t="shared" si="1"/>
        <v>6.5000000000000002E-2</v>
      </c>
      <c r="G6" s="154">
        <f t="shared" si="1"/>
        <v>6.5000000000000002E-2</v>
      </c>
      <c r="H6" s="154">
        <f t="shared" si="1"/>
        <v>6.5000000000000002E-2</v>
      </c>
      <c r="I6" s="154">
        <f t="shared" si="1"/>
        <v>6.5000000000000002E-2</v>
      </c>
      <c r="J6" s="154">
        <f t="shared" si="1"/>
        <v>6.5000000000000002E-2</v>
      </c>
      <c r="K6" s="154">
        <v>0.06</v>
      </c>
      <c r="L6" s="154">
        <v>0.06</v>
      </c>
      <c r="M6" s="154">
        <v>0.06</v>
      </c>
      <c r="N6" s="154">
        <v>0.06</v>
      </c>
      <c r="O6" s="154">
        <v>0.06</v>
      </c>
      <c r="P6" s="154">
        <v>0.06</v>
      </c>
      <c r="Q6" s="154">
        <v>0.06</v>
      </c>
      <c r="R6" s="154">
        <v>0.06</v>
      </c>
      <c r="S6" s="154">
        <v>0.06</v>
      </c>
      <c r="T6" s="154">
        <v>0.06</v>
      </c>
      <c r="U6" s="154">
        <v>0.06</v>
      </c>
      <c r="V6" s="154">
        <v>0.06</v>
      </c>
      <c r="W6" s="154">
        <v>0.06</v>
      </c>
      <c r="X6" s="154">
        <f>+IF(X4&lt;'Project Assumptions'!$F$25,'Project Assumptions'!$I$43,0)</f>
        <v>0.06</v>
      </c>
      <c r="Y6" s="154">
        <f>+IF(Y4&lt;'Project Assumptions'!$F$25,'Project Assumptions'!$I$43,0)</f>
        <v>0</v>
      </c>
      <c r="Z6" s="329"/>
      <c r="AA6" s="329"/>
      <c r="AB6" s="329"/>
    </row>
    <row r="7" spans="1:210" s="212" customFormat="1" ht="13.2">
      <c r="A7" s="329"/>
      <c r="B7" s="329"/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  <c r="R7" s="329"/>
      <c r="S7" s="329"/>
      <c r="T7" s="329"/>
      <c r="U7" s="329"/>
      <c r="V7" s="329"/>
      <c r="W7" s="329"/>
      <c r="X7" s="329"/>
      <c r="Y7" s="329"/>
      <c r="Z7" s="329"/>
      <c r="AA7" s="329"/>
      <c r="AB7" s="329"/>
    </row>
    <row r="8" spans="1:210" s="212" customFormat="1" ht="13.2">
      <c r="A8" s="211" t="s">
        <v>390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</row>
    <row r="9" spans="1:210" s="212" customFormat="1" ht="13.2">
      <c r="A9" s="214" t="s">
        <v>389</v>
      </c>
      <c r="B9" s="214"/>
      <c r="C9" s="213">
        <v>0</v>
      </c>
      <c r="D9" s="213">
        <v>0</v>
      </c>
      <c r="E9" s="213">
        <v>0</v>
      </c>
      <c r="F9" s="213">
        <v>0</v>
      </c>
      <c r="G9" s="213">
        <v>0</v>
      </c>
      <c r="H9" s="213">
        <v>1590.873</v>
      </c>
      <c r="I9" s="213">
        <v>979.54200000000003</v>
      </c>
      <c r="J9" s="213">
        <v>2062.0619999999999</v>
      </c>
      <c r="K9" s="213">
        <v>1840.2560000000001</v>
      </c>
      <c r="L9" s="213">
        <v>2305.6819999999998</v>
      </c>
      <c r="M9" s="213">
        <v>2593.7689999999998</v>
      </c>
      <c r="N9" s="213">
        <v>2212.8620000000001</v>
      </c>
      <c r="O9" s="213">
        <v>1540.018</v>
      </c>
      <c r="P9" s="213">
        <v>1133.2049999999999</v>
      </c>
      <c r="Q9" s="213">
        <v>1202.4939999999999</v>
      </c>
      <c r="R9" s="213">
        <v>2942.2150000000001</v>
      </c>
      <c r="S9" s="213">
        <v>911.69399999999996</v>
      </c>
      <c r="T9" s="213">
        <v>917.82399999999996</v>
      </c>
      <c r="U9" s="213">
        <v>0</v>
      </c>
      <c r="V9" s="213">
        <v>950.10799999999995</v>
      </c>
      <c r="W9" s="213">
        <f>652.302+1204.335</f>
        <v>1856.6370000000002</v>
      </c>
      <c r="X9" s="570">
        <v>0</v>
      </c>
      <c r="Y9" s="570">
        <v>0</v>
      </c>
      <c r="Z9" s="570">
        <v>0</v>
      </c>
      <c r="AA9" s="213"/>
      <c r="AB9" s="213">
        <f>+SUM(C9:Z15)-SUM(C14:Z14)</f>
        <v>108928.46499999997</v>
      </c>
    </row>
    <row r="10" spans="1:210" s="212" customFormat="1" ht="13.2">
      <c r="A10" s="214" t="s">
        <v>381</v>
      </c>
      <c r="B10" s="214"/>
      <c r="C10" s="458">
        <v>25595</v>
      </c>
      <c r="D10" s="458">
        <v>0</v>
      </c>
      <c r="E10" s="458">
        <v>0</v>
      </c>
      <c r="F10" s="458">
        <v>3055.1460000000002</v>
      </c>
      <c r="G10" s="458">
        <v>0</v>
      </c>
      <c r="H10" s="458">
        <v>0</v>
      </c>
      <c r="I10" s="458">
        <v>2952.7361999999903</v>
      </c>
      <c r="J10" s="458">
        <v>2952.7361999999903</v>
      </c>
      <c r="K10" s="458">
        <v>2952.7361999999903</v>
      </c>
      <c r="L10" s="458">
        <v>2952.7361999999903</v>
      </c>
      <c r="M10" s="458">
        <v>2952.7361999999903</v>
      </c>
      <c r="N10" s="458">
        <v>0</v>
      </c>
      <c r="O10" s="458">
        <v>0</v>
      </c>
      <c r="P10" s="458">
        <v>0</v>
      </c>
      <c r="Q10" s="458">
        <v>0</v>
      </c>
      <c r="R10" s="458">
        <v>0</v>
      </c>
      <c r="S10" s="458">
        <v>0</v>
      </c>
      <c r="T10" s="458">
        <v>0</v>
      </c>
      <c r="U10" s="458">
        <v>0</v>
      </c>
      <c r="V10" s="458">
        <v>0</v>
      </c>
      <c r="W10" s="458">
        <v>0</v>
      </c>
      <c r="X10" s="458">
        <v>0</v>
      </c>
      <c r="Y10" s="458">
        <v>0</v>
      </c>
      <c r="Z10" s="458">
        <v>0</v>
      </c>
      <c r="AA10" s="213"/>
      <c r="AB10" s="213"/>
    </row>
    <row r="11" spans="1:210" s="212" customFormat="1" ht="13.2">
      <c r="A11" s="214" t="s">
        <v>382</v>
      </c>
      <c r="B11" s="214"/>
      <c r="C11" s="458">
        <v>0</v>
      </c>
      <c r="D11" s="458">
        <v>0</v>
      </c>
      <c r="E11" s="458">
        <v>0</v>
      </c>
      <c r="F11" s="458">
        <v>0</v>
      </c>
      <c r="G11" s="458">
        <v>3381.6</v>
      </c>
      <c r="H11" s="458">
        <v>2028.96</v>
      </c>
      <c r="I11" s="458">
        <v>2028.96</v>
      </c>
      <c r="J11" s="458">
        <v>2028.96</v>
      </c>
      <c r="K11" s="458">
        <v>2028.96</v>
      </c>
      <c r="L11" s="458">
        <v>2028.96</v>
      </c>
      <c r="M11" s="458">
        <v>2028.96</v>
      </c>
      <c r="N11" s="458">
        <v>2028.96</v>
      </c>
      <c r="O11" s="458">
        <v>2028.96</v>
      </c>
      <c r="P11" s="458">
        <v>2028.96</v>
      </c>
      <c r="Q11" s="458">
        <v>2028.96</v>
      </c>
      <c r="R11" s="458">
        <v>8454</v>
      </c>
      <c r="S11" s="458">
        <v>1690.8</v>
      </c>
      <c r="T11" s="458">
        <v>0</v>
      </c>
      <c r="U11" s="458">
        <v>0</v>
      </c>
      <c r="V11" s="458">
        <v>0</v>
      </c>
      <c r="W11" s="458">
        <v>0</v>
      </c>
      <c r="X11" s="458">
        <v>0</v>
      </c>
      <c r="Y11" s="458">
        <v>0</v>
      </c>
      <c r="Z11" s="458">
        <v>0</v>
      </c>
      <c r="AA11" s="213"/>
      <c r="AB11" s="486">
        <f>+('Current Budget'!Q64+'Current Budget'!Q75)/1000-AB9</f>
        <v>2349.5825400000176</v>
      </c>
    </row>
    <row r="12" spans="1:210" s="212" customFormat="1" ht="13.2">
      <c r="A12" s="214" t="s">
        <v>383</v>
      </c>
      <c r="B12" s="214"/>
      <c r="C12" s="458">
        <v>0</v>
      </c>
      <c r="D12" s="458">
        <v>0</v>
      </c>
      <c r="E12" s="458">
        <v>0</v>
      </c>
      <c r="F12" s="458">
        <v>0</v>
      </c>
      <c r="G12" s="458">
        <v>245</v>
      </c>
      <c r="H12" s="458">
        <v>245</v>
      </c>
      <c r="I12" s="458">
        <v>645</v>
      </c>
      <c r="J12" s="458">
        <v>245</v>
      </c>
      <c r="K12" s="458">
        <v>245</v>
      </c>
      <c r="L12" s="458">
        <v>0</v>
      </c>
      <c r="M12" s="458">
        <v>0</v>
      </c>
      <c r="N12" s="458">
        <v>0</v>
      </c>
      <c r="O12" s="458">
        <v>182.787833333333</v>
      </c>
      <c r="P12" s="458">
        <v>182.78783333333334</v>
      </c>
      <c r="Q12" s="458">
        <v>182.78783333333334</v>
      </c>
      <c r="R12" s="458">
        <v>182.78783333333334</v>
      </c>
      <c r="S12" s="458">
        <v>482.78783333333297</v>
      </c>
      <c r="T12" s="458">
        <v>482.78783333333297</v>
      </c>
      <c r="U12" s="458">
        <v>0</v>
      </c>
      <c r="V12" s="458">
        <v>0</v>
      </c>
      <c r="W12" s="458">
        <v>0</v>
      </c>
      <c r="X12" s="458">
        <v>0</v>
      </c>
      <c r="Y12" s="458">
        <v>0</v>
      </c>
      <c r="Z12" s="458">
        <v>0</v>
      </c>
      <c r="AA12" s="213"/>
      <c r="AB12" s="214"/>
    </row>
    <row r="13" spans="1:210" s="212" customFormat="1" ht="13.2">
      <c r="A13" s="214" t="s">
        <v>384</v>
      </c>
      <c r="B13" s="214"/>
      <c r="C13" s="458">
        <v>0</v>
      </c>
      <c r="D13" s="458">
        <v>0</v>
      </c>
      <c r="E13" s="458">
        <v>0</v>
      </c>
      <c r="F13" s="458">
        <v>0</v>
      </c>
      <c r="G13" s="458">
        <v>0</v>
      </c>
      <c r="H13" s="458">
        <v>0</v>
      </c>
      <c r="I13" s="458">
        <v>0</v>
      </c>
      <c r="J13" s="458">
        <v>0</v>
      </c>
      <c r="K13" s="537">
        <f>('Current Budget'!O59+'Current Budget'!O60)/1000</f>
        <v>2037.67</v>
      </c>
      <c r="L13" s="458">
        <v>0</v>
      </c>
      <c r="M13" s="458">
        <v>0</v>
      </c>
      <c r="N13" s="458">
        <v>0</v>
      </c>
      <c r="O13" s="458">
        <v>0</v>
      </c>
      <c r="P13" s="458">
        <v>0</v>
      </c>
      <c r="Q13" s="458">
        <f>'Current Budget'!O58/1000</f>
        <v>1300</v>
      </c>
      <c r="R13" s="458">
        <v>0</v>
      </c>
      <c r="S13" s="458">
        <v>0</v>
      </c>
      <c r="T13" s="458">
        <v>0</v>
      </c>
      <c r="U13" s="458">
        <v>0</v>
      </c>
      <c r="V13" s="458">
        <v>0</v>
      </c>
      <c r="W13" s="458">
        <v>0</v>
      </c>
      <c r="X13" s="458">
        <v>0</v>
      </c>
      <c r="Y13" s="458">
        <v>0</v>
      </c>
      <c r="Z13" s="458">
        <v>0</v>
      </c>
      <c r="AA13" s="213"/>
      <c r="AB13" s="214"/>
    </row>
    <row r="14" spans="1:210" s="212" customFormat="1" ht="13.2">
      <c r="A14" s="214" t="s">
        <v>396</v>
      </c>
      <c r="B14" s="214"/>
      <c r="C14" s="458">
        <v>0</v>
      </c>
      <c r="D14" s="458">
        <v>0</v>
      </c>
      <c r="E14" s="458">
        <v>0</v>
      </c>
      <c r="F14" s="458">
        <v>0</v>
      </c>
      <c r="G14" s="458">
        <v>0</v>
      </c>
      <c r="H14" s="458">
        <v>0</v>
      </c>
      <c r="I14" s="537">
        <f>'Current Budget'!$Q$79/12/1000</f>
        <v>-146.13544037209897</v>
      </c>
      <c r="J14" s="537">
        <f>'Current Budget'!$Q$79/12/1000</f>
        <v>-146.13544037209897</v>
      </c>
      <c r="K14" s="537">
        <f>'Current Budget'!$Q$79/12/1000</f>
        <v>-146.13544037209897</v>
      </c>
      <c r="L14" s="537">
        <f>'Current Budget'!$Q$79/12/1000</f>
        <v>-146.13544037209897</v>
      </c>
      <c r="M14" s="537">
        <f>'Current Budget'!$Q$79/12/1000</f>
        <v>-146.13544037209897</v>
      </c>
      <c r="N14" s="537">
        <f>'Current Budget'!$Q$79/12/1000</f>
        <v>-146.13544037209897</v>
      </c>
      <c r="O14" s="537">
        <f>'Current Budget'!$Q$79/12/1000</f>
        <v>-146.13544037209897</v>
      </c>
      <c r="P14" s="537">
        <f>'Current Budget'!$Q$79/12/1000</f>
        <v>-146.13544037209897</v>
      </c>
      <c r="Q14" s="537">
        <f>'Current Budget'!$Q$79/12/1000</f>
        <v>-146.13544037209897</v>
      </c>
      <c r="R14" s="537">
        <f>'Current Budget'!$Q$79/12/1000</f>
        <v>-146.13544037209897</v>
      </c>
      <c r="S14" s="537">
        <f>'Current Budget'!$Q$79/12/1000</f>
        <v>-146.13544037209897</v>
      </c>
      <c r="T14" s="537">
        <f>'Current Budget'!$Q$79/12/1000</f>
        <v>-146.13544037209897</v>
      </c>
      <c r="U14" s="458">
        <v>0</v>
      </c>
      <c r="V14" s="458">
        <v>0</v>
      </c>
      <c r="W14" s="458">
        <v>0</v>
      </c>
      <c r="X14" s="458">
        <v>0</v>
      </c>
      <c r="Y14" s="458">
        <v>0</v>
      </c>
      <c r="Z14" s="458">
        <v>0</v>
      </c>
      <c r="AB14" s="214"/>
    </row>
    <row r="15" spans="1:210" s="212" customFormat="1" ht="15" customHeight="1">
      <c r="A15" s="214" t="s">
        <v>431</v>
      </c>
      <c r="B15" s="214"/>
      <c r="C15" s="458">
        <v>0</v>
      </c>
      <c r="D15" s="458">
        <v>0</v>
      </c>
      <c r="E15" s="458">
        <v>0</v>
      </c>
      <c r="F15" s="458">
        <v>0</v>
      </c>
      <c r="G15" s="458">
        <v>0</v>
      </c>
      <c r="H15" s="458">
        <v>0</v>
      </c>
      <c r="I15" s="458">
        <f>'Project Assumptions'!C38</f>
        <v>0</v>
      </c>
      <c r="J15" s="458">
        <v>0</v>
      </c>
      <c r="K15" s="458">
        <v>0</v>
      </c>
      <c r="L15" s="458">
        <v>0</v>
      </c>
      <c r="M15" s="458">
        <v>0</v>
      </c>
      <c r="N15" s="458">
        <v>0</v>
      </c>
      <c r="O15" s="458">
        <v>0</v>
      </c>
      <c r="P15" s="458">
        <v>0</v>
      </c>
      <c r="Q15" s="458">
        <v>0</v>
      </c>
      <c r="R15" s="458">
        <v>0</v>
      </c>
      <c r="S15" s="458">
        <v>0</v>
      </c>
      <c r="T15" s="458">
        <v>0</v>
      </c>
      <c r="U15" s="458">
        <v>0</v>
      </c>
      <c r="V15" s="458">
        <v>0</v>
      </c>
      <c r="W15" s="458">
        <v>0</v>
      </c>
      <c r="X15" s="458">
        <v>0</v>
      </c>
      <c r="Y15" s="458">
        <v>0</v>
      </c>
      <c r="Z15" s="458">
        <v>0</v>
      </c>
      <c r="AB15" s="214"/>
    </row>
    <row r="16" spans="1:210" s="212" customFormat="1" ht="15" customHeight="1">
      <c r="A16" s="214" t="s">
        <v>428</v>
      </c>
      <c r="B16" s="214"/>
      <c r="C16" s="458">
        <v>0</v>
      </c>
      <c r="D16" s="458">
        <v>0</v>
      </c>
      <c r="E16" s="458">
        <v>0</v>
      </c>
      <c r="F16" s="458">
        <v>0</v>
      </c>
      <c r="G16" s="458">
        <v>0</v>
      </c>
      <c r="H16" s="458">
        <v>0</v>
      </c>
      <c r="I16" s="458">
        <v>0</v>
      </c>
      <c r="J16" s="458">
        <f>$AB$11/COUNT($J$4:$T$4)</f>
        <v>213.59841272727434</v>
      </c>
      <c r="K16" s="458">
        <f t="shared" ref="K16:T16" si="2">$AB$11/COUNT($J$4:$T$4)</f>
        <v>213.59841272727434</v>
      </c>
      <c r="L16" s="458">
        <f t="shared" si="2"/>
        <v>213.59841272727434</v>
      </c>
      <c r="M16" s="458">
        <f t="shared" si="2"/>
        <v>213.59841272727434</v>
      </c>
      <c r="N16" s="458">
        <f t="shared" si="2"/>
        <v>213.59841272727434</v>
      </c>
      <c r="O16" s="458">
        <f t="shared" si="2"/>
        <v>213.59841272727434</v>
      </c>
      <c r="P16" s="458">
        <f t="shared" si="2"/>
        <v>213.59841272727434</v>
      </c>
      <c r="Q16" s="458">
        <f t="shared" si="2"/>
        <v>213.59841272727434</v>
      </c>
      <c r="R16" s="458">
        <f t="shared" si="2"/>
        <v>213.59841272727434</v>
      </c>
      <c r="S16" s="458">
        <f t="shared" si="2"/>
        <v>213.59841272727434</v>
      </c>
      <c r="T16" s="458">
        <f t="shared" si="2"/>
        <v>213.59841272727434</v>
      </c>
      <c r="U16" s="458">
        <v>0</v>
      </c>
      <c r="V16" s="458">
        <v>0</v>
      </c>
      <c r="W16" s="458">
        <v>0</v>
      </c>
      <c r="X16" s="458">
        <v>0</v>
      </c>
      <c r="Y16" s="458">
        <v>0</v>
      </c>
      <c r="Z16" s="458">
        <v>0</v>
      </c>
      <c r="AB16" s="214"/>
    </row>
    <row r="17" spans="1:58" s="212" customFormat="1" ht="13.2">
      <c r="A17" s="214" t="s">
        <v>388</v>
      </c>
      <c r="B17" s="214"/>
      <c r="C17" s="458">
        <f t="shared" ref="C17:I17" si="3">(B19*B6)/365.25*(C4-B4)</f>
        <v>0</v>
      </c>
      <c r="D17" s="458">
        <f t="shared" si="3"/>
        <v>112.12046543463381</v>
      </c>
      <c r="E17" s="458">
        <f t="shared" si="3"/>
        <v>141.82025390239778</v>
      </c>
      <c r="F17" s="458">
        <f t="shared" si="3"/>
        <v>128.80238770484161</v>
      </c>
      <c r="G17" s="458">
        <f t="shared" si="3"/>
        <v>160.16775236328368</v>
      </c>
      <c r="H17" s="458">
        <f t="shared" si="3"/>
        <v>175.21788056355939</v>
      </c>
      <c r="I17" s="458">
        <f t="shared" si="3"/>
        <v>203.34650539640509</v>
      </c>
      <c r="J17" s="458">
        <v>0</v>
      </c>
      <c r="K17" s="458">
        <v>0</v>
      </c>
      <c r="L17" s="458">
        <v>0</v>
      </c>
      <c r="M17" s="458">
        <v>0</v>
      </c>
      <c r="N17" s="458">
        <v>0</v>
      </c>
      <c r="O17" s="458">
        <v>0</v>
      </c>
      <c r="P17" s="458">
        <v>0</v>
      </c>
      <c r="Q17" s="458">
        <v>0</v>
      </c>
      <c r="R17" s="458">
        <v>0</v>
      </c>
      <c r="S17" s="458">
        <v>0</v>
      </c>
      <c r="T17" s="458">
        <v>0</v>
      </c>
      <c r="U17" s="458">
        <v>0</v>
      </c>
      <c r="V17" s="458">
        <v>0</v>
      </c>
      <c r="W17" s="458">
        <v>0</v>
      </c>
      <c r="X17" s="458">
        <v>0</v>
      </c>
      <c r="Y17" s="458">
        <v>0</v>
      </c>
      <c r="Z17" s="458">
        <v>0</v>
      </c>
      <c r="AA17" s="213"/>
      <c r="AB17" s="214"/>
    </row>
    <row r="18" spans="1:58" s="212" customFormat="1" ht="15">
      <c r="A18" s="214" t="s">
        <v>385</v>
      </c>
      <c r="B18" s="214"/>
      <c r="C18" s="484">
        <v>0</v>
      </c>
      <c r="D18" s="484">
        <v>0</v>
      </c>
      <c r="E18" s="484">
        <v>0</v>
      </c>
      <c r="F18" s="484">
        <v>0</v>
      </c>
      <c r="G18" s="484">
        <v>0</v>
      </c>
      <c r="H18" s="484">
        <v>0</v>
      </c>
      <c r="I18" s="484">
        <v>-5000</v>
      </c>
      <c r="J18" s="484">
        <v>0</v>
      </c>
      <c r="K18" s="484">
        <v>0</v>
      </c>
      <c r="L18" s="484">
        <v>0</v>
      </c>
      <c r="M18" s="484">
        <v>0</v>
      </c>
      <c r="N18" s="484">
        <v>0</v>
      </c>
      <c r="O18" s="484">
        <v>0</v>
      </c>
      <c r="P18" s="484">
        <v>0</v>
      </c>
      <c r="Q18" s="484">
        <v>0</v>
      </c>
      <c r="R18" s="484">
        <v>0</v>
      </c>
      <c r="S18" s="484">
        <v>0</v>
      </c>
      <c r="T18" s="484">
        <v>1250</v>
      </c>
      <c r="U18" s="484">
        <v>0</v>
      </c>
      <c r="V18" s="484">
        <v>1250</v>
      </c>
      <c r="W18" s="484">
        <v>1250</v>
      </c>
      <c r="X18" s="484">
        <v>1250</v>
      </c>
      <c r="Y18" s="484">
        <v>0</v>
      </c>
      <c r="Z18" s="484">
        <v>0</v>
      </c>
      <c r="AA18" s="214"/>
      <c r="AB18" s="214"/>
    </row>
    <row r="19" spans="1:58" s="212" customFormat="1" ht="13.2">
      <c r="A19" s="211" t="s">
        <v>386</v>
      </c>
      <c r="B19" s="211"/>
      <c r="C19" s="213">
        <f t="shared" ref="C19:Z19" si="4">B19+SUM(C9:C18)</f>
        <v>25595</v>
      </c>
      <c r="D19" s="213">
        <f t="shared" si="4"/>
        <v>25707.120465434633</v>
      </c>
      <c r="E19" s="213">
        <f t="shared" si="4"/>
        <v>25848.940719337032</v>
      </c>
      <c r="F19" s="213">
        <f t="shared" si="4"/>
        <v>29032.889107041872</v>
      </c>
      <c r="G19" s="213">
        <f t="shared" si="4"/>
        <v>32819.656859405157</v>
      </c>
      <c r="H19" s="213">
        <f t="shared" si="4"/>
        <v>36859.707739968719</v>
      </c>
      <c r="I19" s="213">
        <f t="shared" si="4"/>
        <v>38523.157004993016</v>
      </c>
      <c r="J19" s="213">
        <f t="shared" si="4"/>
        <v>45879.378177348182</v>
      </c>
      <c r="K19" s="213">
        <f t="shared" si="4"/>
        <v>55051.46334970335</v>
      </c>
      <c r="L19" s="213">
        <f t="shared" si="4"/>
        <v>62406.304522058519</v>
      </c>
      <c r="M19" s="213">
        <f t="shared" si="4"/>
        <v>70049.232694413688</v>
      </c>
      <c r="N19" s="213">
        <f t="shared" si="4"/>
        <v>74358.517666768865</v>
      </c>
      <c r="O19" s="213">
        <f t="shared" si="4"/>
        <v>78177.74647245738</v>
      </c>
      <c r="P19" s="213">
        <f t="shared" si="4"/>
        <v>81590.162278145886</v>
      </c>
      <c r="Q19" s="213">
        <f t="shared" si="4"/>
        <v>86371.867083834397</v>
      </c>
      <c r="R19" s="213">
        <f t="shared" si="4"/>
        <v>98018.332889522906</v>
      </c>
      <c r="S19" s="213">
        <f t="shared" si="4"/>
        <v>101171.07769521141</v>
      </c>
      <c r="T19" s="213">
        <f t="shared" si="4"/>
        <v>103889.15250089992</v>
      </c>
      <c r="U19" s="213">
        <f t="shared" si="4"/>
        <v>103889.15250089992</v>
      </c>
      <c r="V19" s="213">
        <f t="shared" si="4"/>
        <v>106089.26050089992</v>
      </c>
      <c r="W19" s="213">
        <f t="shared" si="4"/>
        <v>109195.89750089993</v>
      </c>
      <c r="X19" s="213">
        <f t="shared" si="4"/>
        <v>110445.89750089993</v>
      </c>
      <c r="Y19" s="213">
        <f t="shared" si="4"/>
        <v>110445.89750089993</v>
      </c>
      <c r="Z19" s="213">
        <f t="shared" si="4"/>
        <v>110445.89750089993</v>
      </c>
      <c r="AA19" s="213"/>
      <c r="AB19" s="211"/>
    </row>
    <row r="20" spans="1:58" s="212" customFormat="1" ht="13.2">
      <c r="A20" s="214"/>
      <c r="B20" s="214"/>
      <c r="C20" s="214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3"/>
      <c r="AA20" s="213"/>
      <c r="AB20" s="214"/>
    </row>
    <row r="21" spans="1:58" s="212" customFormat="1" ht="13.2">
      <c r="Z21" s="213"/>
      <c r="AB21" s="214"/>
    </row>
    <row r="22" spans="1:58" s="212" customFormat="1" ht="15.6" thickBot="1">
      <c r="Z22" s="484"/>
      <c r="AA22" s="213"/>
      <c r="AB22" s="214"/>
      <c r="AC22" s="214"/>
      <c r="AE22" s="318"/>
      <c r="AF22" s="318"/>
      <c r="AG22" s="318"/>
      <c r="AH22" s="318"/>
      <c r="AI22" s="318"/>
      <c r="AJ22" s="318"/>
      <c r="AK22" s="318"/>
      <c r="AL22" s="318"/>
      <c r="AM22" s="318"/>
      <c r="AN22" s="318"/>
      <c r="AO22" s="318"/>
      <c r="AP22" s="318"/>
      <c r="AQ22" s="318"/>
      <c r="AR22" s="318"/>
      <c r="AS22" s="318"/>
      <c r="AT22" s="318"/>
      <c r="AU22"/>
      <c r="AV22"/>
      <c r="AW22"/>
      <c r="AX22"/>
      <c r="AY22"/>
      <c r="AZ22"/>
      <c r="BA22"/>
      <c r="BB22"/>
      <c r="BC22"/>
      <c r="BF22" s="207"/>
    </row>
    <row r="23" spans="1:58" s="212" customFormat="1" ht="13.8" thickBot="1">
      <c r="A23" s="211" t="s">
        <v>391</v>
      </c>
      <c r="B23" s="485">
        <f>'Project Assumptions'!$I$38</f>
        <v>0.97</v>
      </c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3"/>
      <c r="AA23" s="213"/>
      <c r="AB23" s="211"/>
      <c r="AC23" s="214"/>
      <c r="AE23" s="318"/>
      <c r="AF23" s="318"/>
      <c r="AG23" s="318"/>
      <c r="AH23" s="318"/>
      <c r="AI23" s="318"/>
      <c r="AJ23" s="318"/>
      <c r="AK23" s="318"/>
      <c r="AL23" s="318"/>
      <c r="AM23" s="318"/>
      <c r="AN23" s="318"/>
      <c r="AO23" s="318"/>
      <c r="AP23" s="318"/>
      <c r="AQ23" s="318"/>
      <c r="AR23" s="318"/>
      <c r="AS23" s="318"/>
      <c r="AT23" s="318"/>
      <c r="AU23"/>
      <c r="AV23"/>
      <c r="AW23"/>
      <c r="AX23"/>
      <c r="AY23"/>
      <c r="AZ23"/>
      <c r="BA23"/>
      <c r="BB23"/>
      <c r="BC23"/>
      <c r="BF23" s="207"/>
    </row>
    <row r="24" spans="1:58" s="212" customFormat="1" ht="13.2">
      <c r="A24" s="214" t="s">
        <v>389</v>
      </c>
      <c r="B24" s="214"/>
      <c r="C24" s="213"/>
      <c r="D24" s="213"/>
      <c r="E24" s="213"/>
      <c r="F24" s="213"/>
      <c r="G24" s="213"/>
      <c r="H24" s="213"/>
      <c r="I24" s="213">
        <f t="shared" ref="I24:I31" si="5">(SUM(C9:I9)*$B$23)</f>
        <v>2493.3025499999999</v>
      </c>
      <c r="J24" s="213">
        <f>J9*B23</f>
        <v>2000.2001399999999</v>
      </c>
      <c r="K24" s="213">
        <f>K9*B23</f>
        <v>1785.0483200000001</v>
      </c>
      <c r="L24" s="213">
        <f>L9*B23</f>
        <v>2236.5115399999995</v>
      </c>
      <c r="M24" s="213">
        <f>M9*B23</f>
        <v>2515.9559299999996</v>
      </c>
      <c r="N24" s="213">
        <f>N9*B23</f>
        <v>2146.4761400000002</v>
      </c>
      <c r="O24" s="213">
        <f>O9*B23</f>
        <v>1493.81746</v>
      </c>
      <c r="P24" s="213">
        <f>P9*B23</f>
        <v>1099.20885</v>
      </c>
      <c r="Q24" s="213">
        <f>Q9*B23</f>
        <v>1166.4191799999999</v>
      </c>
      <c r="R24" s="213">
        <f>R9*B23</f>
        <v>2853.9485500000001</v>
      </c>
      <c r="S24" s="213">
        <f>S9*B23</f>
        <v>884.34317999999996</v>
      </c>
      <c r="T24" s="213">
        <f>T9*B23</f>
        <v>890.28927999999996</v>
      </c>
      <c r="U24" s="213">
        <f>U9*B23</f>
        <v>0</v>
      </c>
      <c r="V24" s="213">
        <f>V9*B23</f>
        <v>921.60475999999994</v>
      </c>
      <c r="W24" s="213">
        <f>W9*B23</f>
        <v>1800.9378900000002</v>
      </c>
      <c r="X24" s="213">
        <f>X9*B23</f>
        <v>0</v>
      </c>
      <c r="Y24" s="213">
        <f>Y9*B23</f>
        <v>0</v>
      </c>
      <c r="Z24" s="213">
        <f>Z9*B23</f>
        <v>0</v>
      </c>
      <c r="AA24" s="213"/>
      <c r="AB24" s="81"/>
      <c r="AC24" s="294"/>
      <c r="AD24" s="207"/>
      <c r="AE24" s="207"/>
      <c r="AF24" s="207"/>
      <c r="AG24" s="207"/>
      <c r="AH24" s="207"/>
      <c r="AI24" s="318"/>
      <c r="AJ24" s="318"/>
      <c r="AK24" s="318"/>
      <c r="AL24" s="318"/>
      <c r="AM24" s="318"/>
      <c r="AN24" s="318"/>
      <c r="AO24" s="318"/>
      <c r="AP24" s="318"/>
      <c r="AQ24" s="318"/>
      <c r="AR24" s="318"/>
      <c r="AS24" s="318"/>
      <c r="AT24" s="318"/>
      <c r="AU24"/>
      <c r="AV24"/>
      <c r="AW24"/>
      <c r="AX24"/>
      <c r="AY24"/>
      <c r="AZ24"/>
      <c r="BA24"/>
      <c r="BB24"/>
      <c r="BC24"/>
      <c r="BF24" s="207"/>
    </row>
    <row r="25" spans="1:58" s="212" customFormat="1" ht="13.2">
      <c r="A25" s="214" t="s">
        <v>381</v>
      </c>
      <c r="B25" s="214"/>
      <c r="C25" s="458"/>
      <c r="D25" s="458"/>
      <c r="E25" s="458"/>
      <c r="F25" s="458"/>
      <c r="G25" s="458"/>
      <c r="H25" s="458"/>
      <c r="I25" s="458">
        <f t="shared" si="5"/>
        <v>30654.795733999992</v>
      </c>
      <c r="J25" s="458">
        <f>J10*B23</f>
        <v>2864.1541139999904</v>
      </c>
      <c r="K25" s="458">
        <f>K10*B23</f>
        <v>2864.1541139999904</v>
      </c>
      <c r="L25" s="458">
        <f>L10*B23</f>
        <v>2864.1541139999904</v>
      </c>
      <c r="M25" s="458">
        <f>M10*B23</f>
        <v>2864.1541139999904</v>
      </c>
      <c r="N25" s="458">
        <f>N10*B23</f>
        <v>0</v>
      </c>
      <c r="O25" s="458">
        <f>O10*B23</f>
        <v>0</v>
      </c>
      <c r="P25" s="458">
        <f>P10*B23</f>
        <v>0</v>
      </c>
      <c r="Q25" s="458">
        <f>Q10*B23</f>
        <v>0</v>
      </c>
      <c r="R25" s="458">
        <f>R10*B23</f>
        <v>0</v>
      </c>
      <c r="S25" s="458">
        <f>S10*B23</f>
        <v>0</v>
      </c>
      <c r="T25" s="458">
        <f>T10*B23</f>
        <v>0</v>
      </c>
      <c r="U25" s="458">
        <f>U10*B23</f>
        <v>0</v>
      </c>
      <c r="V25" s="458">
        <f>V10*B23</f>
        <v>0</v>
      </c>
      <c r="W25" s="458">
        <f>W10*B23</f>
        <v>0</v>
      </c>
      <c r="X25" s="458">
        <f>X10*B23</f>
        <v>0</v>
      </c>
      <c r="Y25" s="458">
        <f>Y10*B23</f>
        <v>0</v>
      </c>
      <c r="Z25" s="458">
        <f>Z10*C23</f>
        <v>0</v>
      </c>
      <c r="AA25" s="213"/>
      <c r="AB25" s="214"/>
      <c r="AC25" s="214"/>
      <c r="AE25" s="318"/>
      <c r="AF25" s="318"/>
      <c r="AG25" s="318"/>
      <c r="AH25" s="318"/>
      <c r="AI25" s="318"/>
      <c r="AJ25" s="318"/>
      <c r="AK25" s="318"/>
      <c r="AL25" s="318"/>
      <c r="AM25" s="318"/>
      <c r="AN25" s="318"/>
      <c r="AO25" s="318"/>
      <c r="AP25" s="318"/>
      <c r="AQ25" s="318"/>
      <c r="AR25" s="318"/>
      <c r="AS25" s="318"/>
      <c r="AT25" s="318"/>
      <c r="AU25"/>
      <c r="AV25"/>
      <c r="AW25"/>
      <c r="AX25"/>
      <c r="AY25"/>
      <c r="AZ25"/>
      <c r="BA25"/>
      <c r="BB25"/>
      <c r="BC25"/>
      <c r="BF25" s="207"/>
    </row>
    <row r="26" spans="1:58" s="212" customFormat="1" ht="13.2">
      <c r="A26" s="214" t="s">
        <v>382</v>
      </c>
      <c r="B26" s="214"/>
      <c r="C26" s="458"/>
      <c r="D26" s="458"/>
      <c r="E26" s="458"/>
      <c r="F26" s="458"/>
      <c r="G26" s="458"/>
      <c r="H26" s="458"/>
      <c r="I26" s="458">
        <f t="shared" si="5"/>
        <v>7216.3343999999997</v>
      </c>
      <c r="J26" s="458">
        <f>J11*B23</f>
        <v>1968.0912000000001</v>
      </c>
      <c r="K26" s="458">
        <f>K11*B23</f>
        <v>1968.0912000000001</v>
      </c>
      <c r="L26" s="458">
        <f>L11*B23</f>
        <v>1968.0912000000001</v>
      </c>
      <c r="M26" s="458">
        <f>M11*B23</f>
        <v>1968.0912000000001</v>
      </c>
      <c r="N26" s="458">
        <f>N11*B23</f>
        <v>1968.0912000000001</v>
      </c>
      <c r="O26" s="458">
        <f>O11*B23</f>
        <v>1968.0912000000001</v>
      </c>
      <c r="P26" s="458">
        <f>P11*B23</f>
        <v>1968.0912000000001</v>
      </c>
      <c r="Q26" s="458">
        <f>Q11*B23</f>
        <v>1968.0912000000001</v>
      </c>
      <c r="R26" s="458">
        <f>R11*B23</f>
        <v>8200.3799999999992</v>
      </c>
      <c r="S26" s="458">
        <f>S11*B23</f>
        <v>1640.076</v>
      </c>
      <c r="T26" s="458">
        <f>T11*B23</f>
        <v>0</v>
      </c>
      <c r="U26" s="458">
        <f>U11*B23</f>
        <v>0</v>
      </c>
      <c r="V26" s="458">
        <f>V11*B23</f>
        <v>0</v>
      </c>
      <c r="W26" s="458">
        <f>W11*B23</f>
        <v>0</v>
      </c>
      <c r="X26" s="458">
        <f>X11*B23</f>
        <v>0</v>
      </c>
      <c r="Y26" s="458">
        <f>Y11*B23</f>
        <v>0</v>
      </c>
      <c r="Z26" s="458">
        <f>Z11*C23</f>
        <v>0</v>
      </c>
      <c r="AA26" s="211"/>
      <c r="AB26" s="211"/>
      <c r="AC26" s="214"/>
      <c r="AE26" s="318"/>
      <c r="AF26" s="318"/>
      <c r="AG26" s="318"/>
      <c r="AH26" s="318"/>
      <c r="AI26" s="318"/>
      <c r="AJ26" s="318"/>
      <c r="AK26" s="318"/>
      <c r="AL26" s="318"/>
      <c r="AM26" s="318"/>
      <c r="AN26" s="318"/>
      <c r="AO26" s="318"/>
      <c r="AP26" s="318"/>
      <c r="AQ26" s="318"/>
      <c r="AR26" s="318"/>
      <c r="AS26" s="318"/>
      <c r="AT26" s="318"/>
      <c r="AU26"/>
      <c r="AV26"/>
      <c r="AW26"/>
      <c r="AX26"/>
      <c r="AY26"/>
      <c r="AZ26"/>
      <c r="BA26"/>
      <c r="BB26"/>
      <c r="BC26"/>
      <c r="BF26" s="207"/>
    </row>
    <row r="27" spans="1:58" s="212" customFormat="1" ht="13.2">
      <c r="A27" s="214" t="s">
        <v>383</v>
      </c>
      <c r="B27" s="214"/>
      <c r="C27" s="458"/>
      <c r="D27" s="458"/>
      <c r="E27" s="458"/>
      <c r="F27" s="458"/>
      <c r="G27" s="458"/>
      <c r="H27" s="458"/>
      <c r="I27" s="458">
        <f t="shared" si="5"/>
        <v>1100.95</v>
      </c>
      <c r="J27" s="458">
        <f>J12*B23</f>
        <v>237.65</v>
      </c>
      <c r="K27" s="458">
        <f>K12*B23</f>
        <v>237.65</v>
      </c>
      <c r="L27" s="458">
        <f>L12*B23</f>
        <v>0</v>
      </c>
      <c r="M27" s="458">
        <f>M12*B23</f>
        <v>0</v>
      </c>
      <c r="N27" s="458">
        <f>N12*B23</f>
        <v>0</v>
      </c>
      <c r="O27" s="458">
        <f>O12*B23</f>
        <v>177.30419833333301</v>
      </c>
      <c r="P27" s="458">
        <f>P12*B23</f>
        <v>177.30419833333335</v>
      </c>
      <c r="Q27" s="458">
        <f>Q12*B23</f>
        <v>177.30419833333335</v>
      </c>
      <c r="R27" s="458">
        <f>R12*B23</f>
        <v>177.30419833333335</v>
      </c>
      <c r="S27" s="458">
        <f>S12*B23</f>
        <v>468.30419833333298</v>
      </c>
      <c r="T27" s="458">
        <f>T12*B23</f>
        <v>468.30419833333298</v>
      </c>
      <c r="U27" s="458">
        <f>U12*B23</f>
        <v>0</v>
      </c>
      <c r="V27" s="458">
        <f>V12*B23</f>
        <v>0</v>
      </c>
      <c r="W27" s="458">
        <f>W12*B23</f>
        <v>0</v>
      </c>
      <c r="X27" s="458">
        <f>X12*B23</f>
        <v>0</v>
      </c>
      <c r="Y27" s="458">
        <f>Y12*B23</f>
        <v>0</v>
      </c>
      <c r="Z27" s="458">
        <f>Z12*C23</f>
        <v>0</v>
      </c>
      <c r="AA27" s="214"/>
      <c r="AB27" s="214"/>
      <c r="AC27" s="214"/>
      <c r="AE27" s="318"/>
      <c r="AF27" s="318"/>
      <c r="AG27" s="318"/>
      <c r="AH27" s="318"/>
      <c r="AI27" s="318"/>
      <c r="AJ27" s="318"/>
      <c r="AK27" s="318"/>
      <c r="AL27" s="318"/>
      <c r="AM27" s="318"/>
      <c r="AN27" s="318"/>
      <c r="AO27" s="318"/>
      <c r="AP27" s="318"/>
      <c r="AQ27" s="318"/>
      <c r="AR27" s="318"/>
      <c r="AS27" s="318"/>
      <c r="AT27" s="318"/>
      <c r="AU27"/>
      <c r="AV27"/>
      <c r="AW27"/>
      <c r="AX27"/>
      <c r="AY27"/>
      <c r="AZ27"/>
      <c r="BA27"/>
      <c r="BB27"/>
      <c r="BC27"/>
      <c r="BF27" s="207"/>
    </row>
    <row r="28" spans="1:58" s="212" customFormat="1" ht="13.2">
      <c r="A28" s="214" t="s">
        <v>384</v>
      </c>
      <c r="B28" s="214"/>
      <c r="C28" s="458"/>
      <c r="D28" s="458"/>
      <c r="E28" s="458"/>
      <c r="F28" s="458"/>
      <c r="G28" s="458"/>
      <c r="H28" s="458"/>
      <c r="I28" s="458">
        <f t="shared" si="5"/>
        <v>0</v>
      </c>
      <c r="J28" s="458">
        <f>J13*$B$23</f>
        <v>0</v>
      </c>
      <c r="K28" s="458">
        <f>K13*B23</f>
        <v>1976.5399</v>
      </c>
      <c r="L28" s="458">
        <f>L13*B23</f>
        <v>0</v>
      </c>
      <c r="M28" s="458">
        <f>M13*B23</f>
        <v>0</v>
      </c>
      <c r="N28" s="458">
        <f>N13*B23</f>
        <v>0</v>
      </c>
      <c r="O28" s="458">
        <f>O13*B23</f>
        <v>0</v>
      </c>
      <c r="P28" s="458">
        <f>P13*B23</f>
        <v>0</v>
      </c>
      <c r="Q28" s="458">
        <f>Q13*B23</f>
        <v>1261</v>
      </c>
      <c r="R28" s="458">
        <f>R13*B23</f>
        <v>0</v>
      </c>
      <c r="S28" s="458">
        <f>S13*B23</f>
        <v>0</v>
      </c>
      <c r="T28" s="458">
        <f>T13*B23</f>
        <v>0</v>
      </c>
      <c r="U28" s="458">
        <f>U13*B23</f>
        <v>0</v>
      </c>
      <c r="V28" s="458">
        <f>V13*B23</f>
        <v>0</v>
      </c>
      <c r="W28" s="458">
        <f>W13*B23</f>
        <v>0</v>
      </c>
      <c r="X28" s="458">
        <f>X13*B23</f>
        <v>0</v>
      </c>
      <c r="Y28" s="458">
        <f>Y13*B23</f>
        <v>0</v>
      </c>
      <c r="Z28" s="458">
        <f>Z13*C23</f>
        <v>0</v>
      </c>
      <c r="AA28" s="214"/>
      <c r="AB28" s="214"/>
      <c r="AC28" s="214"/>
      <c r="AE28" s="319"/>
      <c r="AF28" s="318"/>
      <c r="AG28" s="318"/>
      <c r="AH28" s="318"/>
      <c r="AI28" s="318"/>
      <c r="AJ28" s="318"/>
      <c r="AK28" s="318"/>
      <c r="AL28" s="318"/>
      <c r="AM28" s="318"/>
      <c r="AN28" s="318"/>
      <c r="AO28" s="318"/>
      <c r="AP28" s="318"/>
      <c r="AQ28" s="318"/>
      <c r="AR28" s="318"/>
      <c r="AS28" s="318"/>
      <c r="AT28" s="318"/>
      <c r="AU28"/>
      <c r="AV28"/>
      <c r="AW28"/>
      <c r="AX28"/>
      <c r="AY28"/>
      <c r="AZ28"/>
      <c r="BA28"/>
      <c r="BB28"/>
      <c r="BC28"/>
      <c r="BF28" s="207"/>
    </row>
    <row r="29" spans="1:58" s="212" customFormat="1" ht="13.2">
      <c r="A29" s="214" t="s">
        <v>396</v>
      </c>
      <c r="B29" s="214"/>
      <c r="C29" s="458"/>
      <c r="D29" s="458"/>
      <c r="E29" s="458"/>
      <c r="F29" s="458"/>
      <c r="G29" s="458"/>
      <c r="H29" s="458"/>
      <c r="I29" s="458">
        <f t="shared" si="5"/>
        <v>-141.75137716093599</v>
      </c>
      <c r="J29" s="458">
        <f>J14*$B$23</f>
        <v>-141.75137716093599</v>
      </c>
      <c r="K29" s="458">
        <f t="shared" ref="K29:Z29" si="6">K14*$B$23</f>
        <v>-141.75137716093599</v>
      </c>
      <c r="L29" s="458">
        <f t="shared" si="6"/>
        <v>-141.75137716093599</v>
      </c>
      <c r="M29" s="458">
        <f t="shared" si="6"/>
        <v>-141.75137716093599</v>
      </c>
      <c r="N29" s="458">
        <f t="shared" si="6"/>
        <v>-141.75137716093599</v>
      </c>
      <c r="O29" s="458">
        <f t="shared" si="6"/>
        <v>-141.75137716093599</v>
      </c>
      <c r="P29" s="458">
        <f t="shared" si="6"/>
        <v>-141.75137716093599</v>
      </c>
      <c r="Q29" s="458">
        <f t="shared" si="6"/>
        <v>-141.75137716093599</v>
      </c>
      <c r="R29" s="458">
        <f t="shared" si="6"/>
        <v>-141.75137716093599</v>
      </c>
      <c r="S29" s="458">
        <f t="shared" si="6"/>
        <v>-141.75137716093599</v>
      </c>
      <c r="T29" s="458">
        <f t="shared" si="6"/>
        <v>-141.75137716093599</v>
      </c>
      <c r="U29" s="458">
        <f t="shared" si="6"/>
        <v>0</v>
      </c>
      <c r="V29" s="458">
        <f t="shared" si="6"/>
        <v>0</v>
      </c>
      <c r="W29" s="458">
        <f t="shared" si="6"/>
        <v>0</v>
      </c>
      <c r="X29" s="458">
        <f t="shared" si="6"/>
        <v>0</v>
      </c>
      <c r="Y29" s="458">
        <f t="shared" si="6"/>
        <v>0</v>
      </c>
      <c r="Z29" s="458">
        <f t="shared" si="6"/>
        <v>0</v>
      </c>
      <c r="AA29" s="214"/>
      <c r="AB29" s="214"/>
      <c r="AC29" s="214"/>
      <c r="AE29" s="318"/>
      <c r="AF29" s="318"/>
      <c r="AG29" s="318"/>
      <c r="AH29" s="318"/>
      <c r="AI29" s="318"/>
      <c r="AJ29" s="318"/>
      <c r="AK29" s="318"/>
      <c r="AL29" s="318"/>
      <c r="AM29" s="318"/>
      <c r="AN29" s="318"/>
      <c r="AO29" s="318"/>
      <c r="AP29" s="318"/>
      <c r="AQ29" s="318"/>
      <c r="AR29" s="318"/>
      <c r="AS29" s="318"/>
      <c r="AT29" s="318"/>
      <c r="AU29"/>
      <c r="AV29"/>
      <c r="AW29"/>
      <c r="AX29"/>
      <c r="AY29"/>
      <c r="AZ29"/>
      <c r="BA29"/>
      <c r="BB29"/>
      <c r="BC29"/>
      <c r="BF29" s="207"/>
    </row>
    <row r="30" spans="1:58" s="212" customFormat="1" ht="13.2">
      <c r="A30" s="214" t="s">
        <v>393</v>
      </c>
      <c r="B30" s="214"/>
      <c r="C30" s="458"/>
      <c r="D30" s="458"/>
      <c r="E30" s="458"/>
      <c r="F30" s="458"/>
      <c r="G30" s="458"/>
      <c r="H30" s="458"/>
      <c r="I30" s="458">
        <f t="shared" si="5"/>
        <v>0</v>
      </c>
      <c r="J30" s="458">
        <f>J15*$B$23</f>
        <v>0</v>
      </c>
      <c r="K30" s="458">
        <f t="shared" ref="K30:Z30" si="7">K15*$B$23</f>
        <v>0</v>
      </c>
      <c r="L30" s="458">
        <f t="shared" si="7"/>
        <v>0</v>
      </c>
      <c r="M30" s="458">
        <f t="shared" si="7"/>
        <v>0</v>
      </c>
      <c r="N30" s="458">
        <f t="shared" si="7"/>
        <v>0</v>
      </c>
      <c r="O30" s="458">
        <f t="shared" si="7"/>
        <v>0</v>
      </c>
      <c r="P30" s="458">
        <f t="shared" si="7"/>
        <v>0</v>
      </c>
      <c r="Q30" s="458">
        <f t="shared" si="7"/>
        <v>0</v>
      </c>
      <c r="R30" s="458">
        <f t="shared" si="7"/>
        <v>0</v>
      </c>
      <c r="S30" s="458">
        <f t="shared" si="7"/>
        <v>0</v>
      </c>
      <c r="T30" s="458">
        <f t="shared" si="7"/>
        <v>0</v>
      </c>
      <c r="U30" s="458">
        <f t="shared" si="7"/>
        <v>0</v>
      </c>
      <c r="V30" s="458">
        <f t="shared" si="7"/>
        <v>0</v>
      </c>
      <c r="W30" s="458">
        <f t="shared" si="7"/>
        <v>0</v>
      </c>
      <c r="X30" s="458">
        <f t="shared" si="7"/>
        <v>0</v>
      </c>
      <c r="Y30" s="458">
        <f t="shared" si="7"/>
        <v>0</v>
      </c>
      <c r="Z30" s="458">
        <f t="shared" si="7"/>
        <v>0</v>
      </c>
      <c r="AA30" s="214"/>
      <c r="AB30" s="214"/>
      <c r="AC30" s="214"/>
      <c r="AE30" s="318"/>
      <c r="AF30" s="318"/>
      <c r="AG30" s="318"/>
      <c r="AH30" s="318"/>
      <c r="AI30" s="318"/>
      <c r="AJ30" s="318"/>
      <c r="AK30" s="318"/>
      <c r="AL30" s="318"/>
      <c r="AM30" s="318"/>
      <c r="AN30" s="318"/>
      <c r="AO30" s="318"/>
      <c r="AP30" s="318"/>
      <c r="AQ30" s="318"/>
      <c r="AR30" s="318"/>
      <c r="AS30" s="318"/>
      <c r="AT30" s="318"/>
      <c r="AU30"/>
      <c r="AV30"/>
      <c r="AW30"/>
      <c r="AX30"/>
      <c r="AY30"/>
      <c r="AZ30"/>
      <c r="BA30"/>
      <c r="BB30"/>
      <c r="BC30"/>
      <c r="BF30" s="207"/>
    </row>
    <row r="31" spans="1:58" s="212" customFormat="1" ht="15" customHeight="1">
      <c r="A31" s="214" t="s">
        <v>428</v>
      </c>
      <c r="B31" s="214"/>
      <c r="C31" s="458"/>
      <c r="D31" s="458"/>
      <c r="E31" s="458"/>
      <c r="F31" s="458"/>
      <c r="G31" s="458"/>
      <c r="H31" s="458"/>
      <c r="I31" s="458">
        <f t="shared" si="5"/>
        <v>0</v>
      </c>
      <c r="J31" s="458">
        <f>J16*$B$23</f>
        <v>207.1904603454561</v>
      </c>
      <c r="K31" s="458">
        <f t="shared" ref="K31:Z31" si="8">K16*$B$23</f>
        <v>207.1904603454561</v>
      </c>
      <c r="L31" s="458">
        <f t="shared" si="8"/>
        <v>207.1904603454561</v>
      </c>
      <c r="M31" s="458">
        <f t="shared" si="8"/>
        <v>207.1904603454561</v>
      </c>
      <c r="N31" s="458">
        <f t="shared" si="8"/>
        <v>207.1904603454561</v>
      </c>
      <c r="O31" s="458">
        <f t="shared" si="8"/>
        <v>207.1904603454561</v>
      </c>
      <c r="P31" s="458">
        <f t="shared" si="8"/>
        <v>207.1904603454561</v>
      </c>
      <c r="Q31" s="458">
        <f t="shared" si="8"/>
        <v>207.1904603454561</v>
      </c>
      <c r="R31" s="458">
        <f t="shared" si="8"/>
        <v>207.1904603454561</v>
      </c>
      <c r="S31" s="458">
        <f t="shared" si="8"/>
        <v>207.1904603454561</v>
      </c>
      <c r="T31" s="458">
        <f t="shared" si="8"/>
        <v>207.1904603454561</v>
      </c>
      <c r="U31" s="458">
        <f t="shared" si="8"/>
        <v>0</v>
      </c>
      <c r="V31" s="458">
        <f t="shared" si="8"/>
        <v>0</v>
      </c>
      <c r="W31" s="458">
        <f t="shared" si="8"/>
        <v>0</v>
      </c>
      <c r="X31" s="458">
        <f t="shared" si="8"/>
        <v>0</v>
      </c>
      <c r="Y31" s="458">
        <f t="shared" si="8"/>
        <v>0</v>
      </c>
      <c r="Z31" s="458">
        <f t="shared" si="8"/>
        <v>0</v>
      </c>
      <c r="AA31" s="213"/>
      <c r="AB31" s="214"/>
    </row>
    <row r="32" spans="1:58" s="212" customFormat="1" ht="15">
      <c r="A32" s="214" t="s">
        <v>388</v>
      </c>
      <c r="B32" s="214"/>
      <c r="C32" s="484"/>
      <c r="D32" s="484"/>
      <c r="E32" s="484"/>
      <c r="F32" s="484"/>
      <c r="G32" s="484"/>
      <c r="H32" s="484"/>
      <c r="I32" s="458">
        <f>(SUM(C17:I17)*$B$23)</f>
        <v>893.83098800416758</v>
      </c>
      <c r="J32" s="458">
        <f>((I34-(SUM($I$29:I29)))*I6)/365.25*IF(J4&lt;='Project Assumptions'!$F$25,(J4-I4),(J4-I4)-'Project Assumptions'!$F$25-IDC!J4)</f>
        <v>199.45370748913928</v>
      </c>
      <c r="K32" s="458">
        <f>((J34-(SUM($I$29:J29)))*J6)/365.25*IF(K4&lt;='Project Assumptions'!$F$25,(K4-J4),(K4-J4)-'Project Assumptions'!$F$25-IDC!K4)</f>
        <v>247.34961228496942</v>
      </c>
      <c r="L32" s="458">
        <f>((K34-(SUM($I$29:K29)))*K6)/365.25*IF(L4&lt;='Project Assumptions'!$F$25,(L4-K4),(L4-K4)-'Project Assumptions'!$F$25-IDC!L4)</f>
        <v>275.61088852805648</v>
      </c>
      <c r="M32" s="458">
        <f>((L34-(SUM($I$29:L29)))*L6)/365.25*IF(M4&lt;='Project Assumptions'!$F$25,(M4-L4),(M4-L4)-'Project Assumptions'!$F$25-IDC!M4)</f>
        <v>303.93528593023075</v>
      </c>
      <c r="N32" s="458">
        <f>((M34-(SUM($I$29:M29)))*M6)/365.25*IF(N4&lt;='Project Assumptions'!$F$25,(N4-M4),(N4-M4)-'Project Assumptions'!$F$25-IDC!N4)</f>
        <v>354.08931825908314</v>
      </c>
      <c r="O32" s="458">
        <f>((N34-(SUM($I$29:N29)))*N6)/365.25*IF(O4&lt;='Project Assumptions'!$F$25,(O4-N4),(O4-N4)-'Project Assumptions'!$F$25-IDC!O4)</f>
        <v>365.71027127173483</v>
      </c>
      <c r="P32" s="458">
        <f>((O34-(SUM($I$29:O29)))*O6)/365.25*IF(P4&lt;='Project Assumptions'!$F$25,(P4-O4),(P4-O4)-'Project Assumptions'!$F$25-IDC!P4)</f>
        <v>399.35039127184808</v>
      </c>
      <c r="Q32" s="458">
        <f>((P34-(SUM($I$29:P29)))*P6)/365.25*IF(Q4&lt;='Project Assumptions'!$F$25,(Q4-P4),(Q4-P4)-'Project Assumptions'!$F$25-IDC!Q4)</f>
        <v>418.96197206831124</v>
      </c>
      <c r="R32" s="458">
        <f>((Q34-(SUM($I$29:Q29)))*Q6)/365.25*IF(R4&lt;='Project Assumptions'!$F$25,(R4-Q4),(R4-Q4)-'Project Assumptions'!$F$25-IDC!R4)</f>
        <v>416.69932032414994</v>
      </c>
      <c r="S32" s="458">
        <f>((R34-(SUM($I$29:R29)))*R6)/365.25*IF(S4&lt;='Project Assumptions'!$F$25,(S4-R4),(S4-R4)-'Project Assumptions'!$F$25-IDC!S4)</f>
        <v>505.81029662391711</v>
      </c>
      <c r="T32" s="458">
        <f>((S34-(SUM($I$29:S29)))*S6)/365.25*IF(T4&lt;='Project Assumptions'!$F$25,(T4-S4),(T4-S4)-'Project Assumptions'!$F$25-IDC!T4)</f>
        <v>507.75613097581987</v>
      </c>
      <c r="U32" s="458">
        <f>((T34-(SUM($I$29:T29)))*T6)/365.25*IF(U4&lt;='Project Assumptions'!$F$25,(U4-T4),(U4-T4)-'Project Assumptions'!$F$25-IDC!U4)</f>
        <v>244.59632083049519</v>
      </c>
      <c r="V32" s="458">
        <f>((U34-(SUM($I$29:U29)))*U6)/365.25*IF(V4&lt;='Project Assumptions'!$F$25,(V4-U4),(V4-U4)-'Project Assumptions'!$F$25-IDC!V4)</f>
        <v>297.69287974542124</v>
      </c>
      <c r="W32" s="458">
        <f>((V34-(SUM($I$29:V29)))*V6)/365.25*IF(W4&lt;='Project Assumptions'!$F$25,(W4-V4),(W4-V4)-'Project Assumptions'!$F$25-IDC!W4)</f>
        <v>537.50939929728429</v>
      </c>
      <c r="X32" s="458">
        <f>((W34-(SUM($I$29:W29)))*W6)/365.25*IF(X4&lt;='Project Assumptions'!$F$25,(X4-W4),(X4-W4)-'Project Assumptions'!$F$25-IDC!X4)</f>
        <v>573.70019709204792</v>
      </c>
      <c r="Y32" s="458">
        <f>((X34-(SUM($I$29:X29)))*X6)/365.25*IF(Y4&lt;='Project Assumptions'!$F$25,(Y4-X4),(Y4-X4)+('Project Assumptions'!$F$25-IDC!Y4))</f>
        <v>564.18117335751936</v>
      </c>
      <c r="Z32" s="458">
        <f>((Y34-(SUM($I$29:Y29)))*Y6)/365.25*IF(Z4&lt;='Project Assumptions'!$F$25,(Z4-Y4),(Z4-Y4)-'Project Assumptions'!$F$25-IDC!Z4)</f>
        <v>0</v>
      </c>
      <c r="AA32" s="214"/>
      <c r="AC32" s="214"/>
      <c r="AE32" s="320"/>
      <c r="AF32" s="320"/>
      <c r="AG32" s="320"/>
      <c r="AH32" s="320"/>
      <c r="AI32" s="318"/>
      <c r="AJ32" s="318"/>
      <c r="AK32" s="318"/>
      <c r="AL32" s="318"/>
      <c r="AM32" s="318"/>
      <c r="AN32" s="318"/>
      <c r="AO32" s="318"/>
      <c r="AP32" s="318"/>
      <c r="AQ32" s="318"/>
      <c r="AR32" s="318"/>
      <c r="AS32" s="318"/>
      <c r="AT32" s="318"/>
      <c r="AU32"/>
      <c r="AV32"/>
      <c r="AW32"/>
      <c r="AX32"/>
      <c r="AY32"/>
      <c r="AZ32"/>
      <c r="BA32"/>
      <c r="BB32"/>
      <c r="BC32"/>
      <c r="BF32" s="207"/>
    </row>
    <row r="33" spans="1:58" s="212" customFormat="1" ht="15">
      <c r="A33" s="214" t="s">
        <v>385</v>
      </c>
      <c r="B33" s="214"/>
      <c r="C33" s="458"/>
      <c r="D33" s="458"/>
      <c r="E33" s="458"/>
      <c r="F33" s="458"/>
      <c r="G33" s="458"/>
      <c r="H33" s="458"/>
      <c r="I33" s="484">
        <f>(SUM(C18:I18))</f>
        <v>-5000</v>
      </c>
      <c r="J33" s="484">
        <f>J18</f>
        <v>0</v>
      </c>
      <c r="K33" s="484">
        <f t="shared" ref="K33:Z33" si="9">K18</f>
        <v>0</v>
      </c>
      <c r="L33" s="484">
        <f t="shared" si="9"/>
        <v>0</v>
      </c>
      <c r="M33" s="484">
        <f t="shared" si="9"/>
        <v>0</v>
      </c>
      <c r="N33" s="484">
        <f t="shared" si="9"/>
        <v>0</v>
      </c>
      <c r="O33" s="484">
        <f t="shared" si="9"/>
        <v>0</v>
      </c>
      <c r="P33" s="484">
        <f t="shared" si="9"/>
        <v>0</v>
      </c>
      <c r="Q33" s="484">
        <f t="shared" si="9"/>
        <v>0</v>
      </c>
      <c r="R33" s="484">
        <f t="shared" si="9"/>
        <v>0</v>
      </c>
      <c r="S33" s="484">
        <f t="shared" si="9"/>
        <v>0</v>
      </c>
      <c r="T33" s="484">
        <f t="shared" si="9"/>
        <v>1250</v>
      </c>
      <c r="U33" s="484">
        <f t="shared" si="9"/>
        <v>0</v>
      </c>
      <c r="V33" s="484">
        <f t="shared" si="9"/>
        <v>1250</v>
      </c>
      <c r="W33" s="484">
        <f t="shared" si="9"/>
        <v>1250</v>
      </c>
      <c r="X33" s="484">
        <f t="shared" si="9"/>
        <v>1250</v>
      </c>
      <c r="Y33" s="484">
        <f t="shared" si="9"/>
        <v>0</v>
      </c>
      <c r="Z33" s="484">
        <f t="shared" si="9"/>
        <v>0</v>
      </c>
      <c r="AA33" s="214"/>
      <c r="AB33" s="214"/>
      <c r="AC33" s="214"/>
      <c r="AD33" s="207"/>
      <c r="AE33" s="321"/>
      <c r="AF33" s="321"/>
      <c r="AG33" s="321"/>
      <c r="AH33" s="321"/>
      <c r="AI33" s="318"/>
      <c r="AJ33" s="318"/>
      <c r="AK33" s="318"/>
      <c r="AL33" s="318"/>
      <c r="AM33" s="318"/>
      <c r="AN33" s="318"/>
      <c r="AO33" s="318"/>
      <c r="AP33" s="318"/>
      <c r="AQ33" s="318"/>
      <c r="AR33" s="318"/>
      <c r="AS33" s="318"/>
      <c r="AT33" s="318"/>
      <c r="AU33"/>
      <c r="AV33"/>
      <c r="AW33"/>
      <c r="AX33"/>
      <c r="AY33"/>
      <c r="AZ33"/>
      <c r="BA33"/>
      <c r="BB33"/>
      <c r="BC33"/>
      <c r="BF33" s="207"/>
    </row>
    <row r="34" spans="1:58" s="212" customFormat="1" ht="13.2">
      <c r="A34" s="211" t="s">
        <v>392</v>
      </c>
      <c r="B34" s="211"/>
      <c r="C34" s="213"/>
      <c r="D34" s="213"/>
      <c r="E34" s="213"/>
      <c r="F34" s="213"/>
      <c r="G34" s="213"/>
      <c r="H34" s="213"/>
      <c r="I34" s="213">
        <f t="shared" ref="I34:Z34" si="10">H34+SUM(I24:I33)</f>
        <v>37217.462294843222</v>
      </c>
      <c r="J34" s="213">
        <f t="shared" si="10"/>
        <v>44552.450539516874</v>
      </c>
      <c r="K34" s="213">
        <f t="shared" si="10"/>
        <v>53696.722768986358</v>
      </c>
      <c r="L34" s="213">
        <f t="shared" si="10"/>
        <v>61106.529594698921</v>
      </c>
      <c r="M34" s="213">
        <f t="shared" si="10"/>
        <v>68824.105207813656</v>
      </c>
      <c r="N34" s="213">
        <f t="shared" si="10"/>
        <v>73358.200949257254</v>
      </c>
      <c r="O34" s="213">
        <f t="shared" si="10"/>
        <v>77428.563162046848</v>
      </c>
      <c r="P34" s="213">
        <f t="shared" si="10"/>
        <v>81137.956884836545</v>
      </c>
      <c r="Q34" s="213">
        <f t="shared" si="10"/>
        <v>86195.172518422711</v>
      </c>
      <c r="R34" s="213">
        <f t="shared" si="10"/>
        <v>97908.943670264707</v>
      </c>
      <c r="S34" s="213">
        <f t="shared" si="10"/>
        <v>101472.91642840648</v>
      </c>
      <c r="T34" s="213">
        <f t="shared" si="10"/>
        <v>104654.70512090015</v>
      </c>
      <c r="U34" s="213">
        <f t="shared" si="10"/>
        <v>104899.30144173064</v>
      </c>
      <c r="V34" s="213">
        <f t="shared" si="10"/>
        <v>107368.59908147606</v>
      </c>
      <c r="W34" s="213">
        <f t="shared" si="10"/>
        <v>110957.04637077334</v>
      </c>
      <c r="X34" s="213">
        <f t="shared" si="10"/>
        <v>112780.7465678654</v>
      </c>
      <c r="Y34" s="213">
        <f t="shared" si="10"/>
        <v>113344.92774122291</v>
      </c>
      <c r="Z34" s="213">
        <f t="shared" si="10"/>
        <v>113344.92774122291</v>
      </c>
      <c r="AA34" s="214"/>
      <c r="AB34" s="214"/>
      <c r="AC34" s="214"/>
      <c r="AE34" s="318"/>
      <c r="AF34" s="318"/>
      <c r="AG34" s="353"/>
      <c r="AH34" s="353"/>
      <c r="AI34" s="318"/>
      <c r="AJ34" s="318"/>
      <c r="AK34" s="318"/>
      <c r="AL34" s="318"/>
      <c r="AM34" s="318"/>
      <c r="AN34" s="318"/>
      <c r="AO34" s="318"/>
      <c r="AP34" s="318"/>
      <c r="AQ34" s="318"/>
      <c r="AR34" s="318"/>
      <c r="AS34" s="318"/>
      <c r="AT34" s="318"/>
      <c r="AU34"/>
      <c r="AV34"/>
      <c r="AW34"/>
      <c r="AX34"/>
      <c r="AY34"/>
      <c r="AZ34"/>
      <c r="BA34"/>
      <c r="BB34"/>
      <c r="BC34"/>
      <c r="BF34" s="207"/>
    </row>
    <row r="35" spans="1:58" s="212" customFormat="1" ht="13.2">
      <c r="Z35" s="214"/>
      <c r="AA35" s="214"/>
      <c r="AB35" s="214"/>
      <c r="AC35" s="214"/>
      <c r="AD35" s="207"/>
      <c r="AE35" s="450"/>
      <c r="AF35" s="450"/>
      <c r="AG35" s="450"/>
      <c r="AH35" s="450"/>
      <c r="AI35" s="318"/>
      <c r="AJ35" s="318"/>
      <c r="AK35" s="318"/>
      <c r="AL35" s="318"/>
      <c r="AM35" s="318"/>
      <c r="AN35" s="318"/>
      <c r="AO35" s="318"/>
      <c r="AP35" s="318"/>
      <c r="AQ35" s="318"/>
      <c r="AR35" s="318"/>
      <c r="AS35" s="318"/>
      <c r="AT35" s="318"/>
      <c r="AU35"/>
      <c r="AV35"/>
      <c r="AW35"/>
      <c r="AX35"/>
      <c r="AY35"/>
      <c r="AZ35"/>
      <c r="BA35"/>
      <c r="BB35"/>
      <c r="BC35"/>
      <c r="BF35" s="207"/>
    </row>
    <row r="36" spans="1:58" s="212" customFormat="1" ht="13.2">
      <c r="U36" s="212" t="s">
        <v>432</v>
      </c>
      <c r="W36" s="213">
        <f>Z34</f>
        <v>113344.92774122291</v>
      </c>
      <c r="AA36" s="214"/>
      <c r="AB36" s="214"/>
      <c r="AC36" s="214"/>
      <c r="AD36" s="207"/>
      <c r="AE36" s="323"/>
      <c r="AF36" s="323"/>
      <c r="AG36" s="323"/>
      <c r="AH36" s="323"/>
      <c r="AI36" s="318"/>
      <c r="AJ36" s="318"/>
      <c r="AK36" s="318"/>
      <c r="AL36" s="318"/>
      <c r="AM36" s="318"/>
      <c r="AN36" s="318"/>
      <c r="AO36" s="318"/>
      <c r="AP36" s="318"/>
      <c r="AQ36" s="318"/>
      <c r="AR36" s="318"/>
      <c r="AS36" s="318"/>
      <c r="AT36" s="318"/>
      <c r="AU36"/>
      <c r="AV36"/>
      <c r="AW36"/>
      <c r="AX36"/>
      <c r="AY36"/>
      <c r="AZ36"/>
      <c r="BA36"/>
      <c r="BB36"/>
      <c r="BC36"/>
      <c r="BF36" s="207"/>
    </row>
    <row r="37" spans="1:58" s="212" customFormat="1" ht="13.8" thickBot="1">
      <c r="AA37" s="214"/>
      <c r="AB37" s="214"/>
      <c r="AC37" s="294"/>
      <c r="AD37" s="207"/>
      <c r="AE37" s="207"/>
      <c r="AF37" s="207"/>
      <c r="AG37" s="207"/>
      <c r="AH37" s="207"/>
      <c r="AI37" s="318"/>
      <c r="AJ37" s="318"/>
      <c r="AK37" s="318"/>
      <c r="AL37" s="318"/>
      <c r="AM37" s="318"/>
      <c r="AN37" s="318"/>
      <c r="AO37" s="318"/>
      <c r="AP37" s="318"/>
      <c r="AQ37" s="318"/>
      <c r="AR37" s="318"/>
      <c r="AS37" s="318"/>
      <c r="AT37" s="318"/>
      <c r="AU37"/>
      <c r="AV37"/>
      <c r="AW37"/>
      <c r="AX37"/>
      <c r="AY37"/>
      <c r="AZ37"/>
      <c r="BA37"/>
      <c r="BB37"/>
      <c r="BC37"/>
      <c r="BF37" s="207"/>
    </row>
    <row r="38" spans="1:58" s="212" customFormat="1" ht="13.8" thickBot="1">
      <c r="A38" s="211" t="s">
        <v>395</v>
      </c>
      <c r="B38" s="485">
        <f>'Project Assumptions'!$I$37</f>
        <v>0.03</v>
      </c>
      <c r="C38" s="211"/>
      <c r="D38" s="211"/>
      <c r="E38" s="211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4"/>
      <c r="AA38" s="214"/>
      <c r="AB38" s="214"/>
      <c r="AC38" s="214"/>
      <c r="AE38" s="319"/>
      <c r="AF38" s="318"/>
      <c r="AG38" s="318"/>
      <c r="AH38" s="318"/>
      <c r="AI38" s="318"/>
      <c r="AJ38" s="318"/>
      <c r="AK38" s="318"/>
      <c r="AL38" s="318"/>
      <c r="AM38" s="318"/>
      <c r="AN38" s="318"/>
      <c r="AO38" s="318"/>
      <c r="AP38" s="318"/>
      <c r="AQ38" s="318"/>
      <c r="AR38" s="318"/>
      <c r="AS38" s="318"/>
      <c r="AT38" s="318"/>
      <c r="AU38"/>
      <c r="AV38"/>
      <c r="AW38"/>
      <c r="AX38"/>
      <c r="AY38"/>
      <c r="AZ38"/>
      <c r="BA38"/>
      <c r="BB38"/>
      <c r="BC38"/>
      <c r="BF38" s="207"/>
    </row>
    <row r="39" spans="1:58" s="212" customFormat="1" ht="13.2">
      <c r="A39" s="214" t="s">
        <v>389</v>
      </c>
      <c r="B39" s="214"/>
      <c r="C39" s="213"/>
      <c r="D39" s="213"/>
      <c r="E39" s="213"/>
      <c r="F39" s="213"/>
      <c r="G39" s="213"/>
      <c r="H39" s="213"/>
      <c r="I39" s="213">
        <f t="shared" ref="I39:I46" si="11">(SUM(C9:I9)*$B$38)</f>
        <v>77.112449999999995</v>
      </c>
      <c r="J39" s="213">
        <f t="shared" ref="J39:Z39" si="12">J9*$B$38</f>
        <v>61.861859999999993</v>
      </c>
      <c r="K39" s="213">
        <f t="shared" si="12"/>
        <v>55.207680000000003</v>
      </c>
      <c r="L39" s="213">
        <f t="shared" si="12"/>
        <v>69.170459999999991</v>
      </c>
      <c r="M39" s="213">
        <f t="shared" si="12"/>
        <v>77.813069999999996</v>
      </c>
      <c r="N39" s="213">
        <f t="shared" si="12"/>
        <v>66.385859999999994</v>
      </c>
      <c r="O39" s="213">
        <f t="shared" si="12"/>
        <v>46.200539999999997</v>
      </c>
      <c r="P39" s="213">
        <f t="shared" si="12"/>
        <v>33.99615</v>
      </c>
      <c r="Q39" s="213">
        <f t="shared" si="12"/>
        <v>36.074819999999995</v>
      </c>
      <c r="R39" s="213">
        <f t="shared" si="12"/>
        <v>88.266450000000006</v>
      </c>
      <c r="S39" s="213">
        <f t="shared" si="12"/>
        <v>27.350819999999999</v>
      </c>
      <c r="T39" s="213">
        <f t="shared" si="12"/>
        <v>27.534719999999997</v>
      </c>
      <c r="U39" s="213">
        <f t="shared" si="12"/>
        <v>0</v>
      </c>
      <c r="V39" s="213">
        <f t="shared" si="12"/>
        <v>28.503239999999998</v>
      </c>
      <c r="W39" s="213">
        <f t="shared" si="12"/>
        <v>55.699110000000005</v>
      </c>
      <c r="X39" s="213">
        <f t="shared" si="12"/>
        <v>0</v>
      </c>
      <c r="Y39" s="213">
        <f t="shared" si="12"/>
        <v>0</v>
      </c>
      <c r="Z39" s="213">
        <f t="shared" si="12"/>
        <v>0</v>
      </c>
      <c r="AA39" s="214"/>
      <c r="AB39" s="214"/>
      <c r="AC39" s="214"/>
      <c r="AE39" s="319"/>
      <c r="AF39" s="318"/>
      <c r="AG39" s="318"/>
      <c r="AH39" s="318"/>
      <c r="AI39" s="318"/>
      <c r="AJ39" s="318"/>
      <c r="AK39" s="318"/>
      <c r="AL39" s="318"/>
      <c r="AM39" s="318"/>
      <c r="AN39" s="318"/>
      <c r="AO39" s="318"/>
      <c r="AP39" s="318"/>
      <c r="AQ39" s="318"/>
      <c r="AR39" s="318"/>
      <c r="AS39" s="318"/>
      <c r="AT39" s="318"/>
      <c r="AU39"/>
      <c r="AV39"/>
      <c r="AW39"/>
      <c r="AX39"/>
      <c r="AY39"/>
      <c r="AZ39"/>
      <c r="BA39"/>
      <c r="BB39"/>
      <c r="BC39"/>
      <c r="BF39" s="207"/>
    </row>
    <row r="40" spans="1:58" s="212" customFormat="1" ht="15">
      <c r="A40" s="214" t="s">
        <v>381</v>
      </c>
      <c r="B40" s="214"/>
      <c r="C40" s="458"/>
      <c r="D40" s="458"/>
      <c r="E40" s="458"/>
      <c r="F40" s="458"/>
      <c r="G40" s="458"/>
      <c r="H40" s="458"/>
      <c r="I40" s="486">
        <f t="shared" si="11"/>
        <v>948.08646599999975</v>
      </c>
      <c r="J40" s="458">
        <f t="shared" ref="J40:Z40" si="13">J10*$B$38</f>
        <v>88.582085999999705</v>
      </c>
      <c r="K40" s="458">
        <f t="shared" si="13"/>
        <v>88.582085999999705</v>
      </c>
      <c r="L40" s="458">
        <f t="shared" si="13"/>
        <v>88.582085999999705</v>
      </c>
      <c r="M40" s="458">
        <f t="shared" si="13"/>
        <v>88.582085999999705</v>
      </c>
      <c r="N40" s="458">
        <f t="shared" si="13"/>
        <v>0</v>
      </c>
      <c r="O40" s="458">
        <f t="shared" si="13"/>
        <v>0</v>
      </c>
      <c r="P40" s="458">
        <f t="shared" si="13"/>
        <v>0</v>
      </c>
      <c r="Q40" s="458">
        <f t="shared" si="13"/>
        <v>0</v>
      </c>
      <c r="R40" s="458">
        <f t="shared" si="13"/>
        <v>0</v>
      </c>
      <c r="S40" s="458">
        <f t="shared" si="13"/>
        <v>0</v>
      </c>
      <c r="T40" s="458">
        <f t="shared" si="13"/>
        <v>0</v>
      </c>
      <c r="U40" s="458">
        <f t="shared" si="13"/>
        <v>0</v>
      </c>
      <c r="V40" s="458">
        <f t="shared" si="13"/>
        <v>0</v>
      </c>
      <c r="W40" s="458">
        <f t="shared" si="13"/>
        <v>0</v>
      </c>
      <c r="X40" s="458">
        <f t="shared" si="13"/>
        <v>0</v>
      </c>
      <c r="Y40" s="458">
        <f t="shared" si="13"/>
        <v>0</v>
      </c>
      <c r="Z40" s="458">
        <f t="shared" si="13"/>
        <v>0</v>
      </c>
      <c r="AA40" s="214"/>
      <c r="AB40" s="214"/>
      <c r="AC40" s="214"/>
      <c r="AE40" s="492"/>
      <c r="AF40" s="320"/>
      <c r="AG40" s="320"/>
      <c r="AH40" s="320"/>
      <c r="AI40" s="318"/>
      <c r="AJ40" s="318"/>
      <c r="AK40" s="318"/>
      <c r="AL40" s="318"/>
      <c r="AM40" s="318"/>
      <c r="AN40" s="318"/>
      <c r="AO40" s="318"/>
      <c r="AP40" s="318"/>
      <c r="AQ40" s="318"/>
      <c r="AR40" s="318"/>
      <c r="AS40" s="318"/>
      <c r="AT40" s="318"/>
      <c r="AU40"/>
      <c r="AV40"/>
      <c r="AW40"/>
      <c r="AX40"/>
      <c r="AY40"/>
      <c r="AZ40"/>
      <c r="BA40"/>
      <c r="BB40"/>
      <c r="BC40"/>
      <c r="BF40" s="207"/>
    </row>
    <row r="41" spans="1:58" s="212" customFormat="1" ht="13.2">
      <c r="A41" s="214" t="s">
        <v>382</v>
      </c>
      <c r="B41" s="214"/>
      <c r="C41" s="458"/>
      <c r="D41" s="458"/>
      <c r="E41" s="458"/>
      <c r="F41" s="458"/>
      <c r="G41" s="458"/>
      <c r="H41" s="458"/>
      <c r="I41" s="486">
        <f t="shared" si="11"/>
        <v>223.18559999999997</v>
      </c>
      <c r="J41" s="458">
        <f t="shared" ref="J41:Z41" si="14">J11*$B$38</f>
        <v>60.8688</v>
      </c>
      <c r="K41" s="458">
        <f t="shared" si="14"/>
        <v>60.8688</v>
      </c>
      <c r="L41" s="458">
        <f t="shared" si="14"/>
        <v>60.8688</v>
      </c>
      <c r="M41" s="458">
        <f t="shared" si="14"/>
        <v>60.8688</v>
      </c>
      <c r="N41" s="458">
        <f t="shared" si="14"/>
        <v>60.8688</v>
      </c>
      <c r="O41" s="458">
        <f t="shared" si="14"/>
        <v>60.8688</v>
      </c>
      <c r="P41" s="458">
        <f t="shared" si="14"/>
        <v>60.8688</v>
      </c>
      <c r="Q41" s="458">
        <f t="shared" si="14"/>
        <v>60.8688</v>
      </c>
      <c r="R41" s="458">
        <f t="shared" si="14"/>
        <v>253.62</v>
      </c>
      <c r="S41" s="458">
        <f t="shared" si="14"/>
        <v>50.723999999999997</v>
      </c>
      <c r="T41" s="458">
        <f t="shared" si="14"/>
        <v>0</v>
      </c>
      <c r="U41" s="458">
        <f t="shared" si="14"/>
        <v>0</v>
      </c>
      <c r="V41" s="458">
        <f t="shared" si="14"/>
        <v>0</v>
      </c>
      <c r="W41" s="458">
        <f t="shared" si="14"/>
        <v>0</v>
      </c>
      <c r="X41" s="458">
        <f t="shared" si="14"/>
        <v>0</v>
      </c>
      <c r="Y41" s="458">
        <f t="shared" si="14"/>
        <v>0</v>
      </c>
      <c r="Z41" s="458">
        <f t="shared" si="14"/>
        <v>0</v>
      </c>
      <c r="AA41" s="214"/>
      <c r="AB41" s="214"/>
      <c r="AC41" s="214"/>
      <c r="AE41" s="318"/>
      <c r="AF41" s="318"/>
      <c r="AG41" s="318"/>
      <c r="AH41" s="318"/>
      <c r="AI41" s="318"/>
      <c r="AJ41" s="318"/>
      <c r="AK41" s="318"/>
      <c r="AL41" s="318"/>
      <c r="AM41" s="318"/>
      <c r="AN41" s="318"/>
      <c r="AO41" s="318"/>
      <c r="AP41" s="318"/>
      <c r="AQ41" s="318"/>
      <c r="AR41" s="318"/>
      <c r="AS41" s="318"/>
      <c r="AT41" s="318"/>
      <c r="AU41"/>
      <c r="AV41"/>
      <c r="AW41"/>
      <c r="AX41"/>
      <c r="AY41"/>
      <c r="AZ41"/>
      <c r="BA41"/>
      <c r="BB41"/>
      <c r="BC41"/>
      <c r="BF41" s="207"/>
    </row>
    <row r="42" spans="1:58" s="212" customFormat="1" ht="13.2">
      <c r="A42" s="214" t="s">
        <v>383</v>
      </c>
      <c r="B42" s="214"/>
      <c r="C42" s="458"/>
      <c r="D42" s="458"/>
      <c r="E42" s="458"/>
      <c r="F42" s="458"/>
      <c r="G42" s="458"/>
      <c r="H42" s="458"/>
      <c r="I42" s="486">
        <f t="shared" si="11"/>
        <v>34.049999999999997</v>
      </c>
      <c r="J42" s="458">
        <f t="shared" ref="J42:Z42" si="15">J12*$B$38</f>
        <v>7.35</v>
      </c>
      <c r="K42" s="458">
        <f t="shared" si="15"/>
        <v>7.35</v>
      </c>
      <c r="L42" s="458">
        <f t="shared" si="15"/>
        <v>0</v>
      </c>
      <c r="M42" s="458">
        <f t="shared" si="15"/>
        <v>0</v>
      </c>
      <c r="N42" s="458">
        <f t="shared" si="15"/>
        <v>0</v>
      </c>
      <c r="O42" s="458">
        <f t="shared" si="15"/>
        <v>5.4836349999999898</v>
      </c>
      <c r="P42" s="458">
        <f t="shared" si="15"/>
        <v>5.4836349999999996</v>
      </c>
      <c r="Q42" s="458">
        <f t="shared" si="15"/>
        <v>5.4836349999999996</v>
      </c>
      <c r="R42" s="458">
        <f t="shared" si="15"/>
        <v>5.4836349999999996</v>
      </c>
      <c r="S42" s="458">
        <f t="shared" si="15"/>
        <v>14.483634999999989</v>
      </c>
      <c r="T42" s="458">
        <f t="shared" si="15"/>
        <v>14.483634999999989</v>
      </c>
      <c r="U42" s="458">
        <f t="shared" si="15"/>
        <v>0</v>
      </c>
      <c r="V42" s="458">
        <f t="shared" si="15"/>
        <v>0</v>
      </c>
      <c r="W42" s="458">
        <f t="shared" si="15"/>
        <v>0</v>
      </c>
      <c r="X42" s="458">
        <f t="shared" si="15"/>
        <v>0</v>
      </c>
      <c r="Y42" s="458">
        <f t="shared" si="15"/>
        <v>0</v>
      </c>
      <c r="Z42" s="458">
        <f t="shared" si="15"/>
        <v>0</v>
      </c>
      <c r="AA42" s="214"/>
      <c r="AB42" s="214"/>
      <c r="AC42" s="214"/>
      <c r="AE42" s="318"/>
      <c r="AF42" s="318"/>
      <c r="AG42" s="318"/>
      <c r="AH42" s="318"/>
      <c r="AI42" s="318"/>
      <c r="AJ42" s="318"/>
      <c r="AK42" s="318"/>
      <c r="AL42" s="318"/>
      <c r="AM42" s="318"/>
      <c r="AN42" s="318"/>
      <c r="AO42" s="318"/>
      <c r="AP42" s="318"/>
      <c r="AQ42" s="318"/>
      <c r="AR42" s="318"/>
      <c r="AS42" s="318"/>
      <c r="AT42" s="318"/>
      <c r="AU42"/>
      <c r="AV42"/>
      <c r="AW42"/>
      <c r="AX42"/>
      <c r="AY42"/>
      <c r="AZ42"/>
      <c r="BA42"/>
      <c r="BB42"/>
      <c r="BC42"/>
      <c r="BF42" s="207"/>
    </row>
    <row r="43" spans="1:58" s="212" customFormat="1" ht="13.2">
      <c r="A43" s="214" t="s">
        <v>384</v>
      </c>
      <c r="B43" s="214"/>
      <c r="C43" s="458"/>
      <c r="D43" s="458"/>
      <c r="E43" s="458"/>
      <c r="F43" s="458"/>
      <c r="G43" s="458"/>
      <c r="H43" s="458"/>
      <c r="I43" s="486">
        <f t="shared" si="11"/>
        <v>0</v>
      </c>
      <c r="J43" s="458">
        <f t="shared" ref="J43:Z43" si="16">J13*$B$38</f>
        <v>0</v>
      </c>
      <c r="K43" s="458">
        <f t="shared" si="16"/>
        <v>61.130099999999999</v>
      </c>
      <c r="L43" s="458">
        <f t="shared" si="16"/>
        <v>0</v>
      </c>
      <c r="M43" s="458">
        <f t="shared" si="16"/>
        <v>0</v>
      </c>
      <c r="N43" s="458">
        <f t="shared" si="16"/>
        <v>0</v>
      </c>
      <c r="O43" s="458">
        <f t="shared" si="16"/>
        <v>0</v>
      </c>
      <c r="P43" s="458">
        <f t="shared" si="16"/>
        <v>0</v>
      </c>
      <c r="Q43" s="458">
        <f t="shared" si="16"/>
        <v>39</v>
      </c>
      <c r="R43" s="458">
        <f t="shared" si="16"/>
        <v>0</v>
      </c>
      <c r="S43" s="458">
        <f t="shared" si="16"/>
        <v>0</v>
      </c>
      <c r="T43" s="458">
        <f t="shared" si="16"/>
        <v>0</v>
      </c>
      <c r="U43" s="458">
        <f t="shared" si="16"/>
        <v>0</v>
      </c>
      <c r="V43" s="458">
        <f t="shared" si="16"/>
        <v>0</v>
      </c>
      <c r="W43" s="458">
        <f t="shared" si="16"/>
        <v>0</v>
      </c>
      <c r="X43" s="458">
        <f t="shared" si="16"/>
        <v>0</v>
      </c>
      <c r="Y43" s="458">
        <f t="shared" si="16"/>
        <v>0</v>
      </c>
      <c r="Z43" s="458">
        <f t="shared" si="16"/>
        <v>0</v>
      </c>
      <c r="AA43" s="214"/>
      <c r="AB43" s="214"/>
      <c r="AC43" s="214"/>
      <c r="AD43" s="207"/>
      <c r="AE43" s="450"/>
      <c r="AF43" s="450"/>
      <c r="AG43" s="450"/>
      <c r="AH43" s="450"/>
      <c r="AI43" s="318"/>
      <c r="AJ43" s="318"/>
      <c r="AK43" s="318"/>
      <c r="AL43" s="318"/>
      <c r="AM43" s="318"/>
      <c r="AN43" s="318"/>
      <c r="AO43" s="318"/>
      <c r="AP43" s="318"/>
      <c r="AQ43" s="318"/>
      <c r="AR43" s="318"/>
      <c r="AS43" s="318"/>
      <c r="AT43" s="318"/>
      <c r="AU43"/>
      <c r="AV43"/>
      <c r="AW43"/>
      <c r="AX43"/>
      <c r="AY43"/>
      <c r="AZ43"/>
      <c r="BA43"/>
      <c r="BB43"/>
      <c r="BC43"/>
      <c r="BF43" s="207"/>
    </row>
    <row r="44" spans="1:58" s="212" customFormat="1" ht="13.2">
      <c r="A44" s="214" t="s">
        <v>396</v>
      </c>
      <c r="B44" s="214"/>
      <c r="C44" s="458"/>
      <c r="D44" s="458"/>
      <c r="E44" s="458"/>
      <c r="F44" s="458"/>
      <c r="G44" s="458"/>
      <c r="H44" s="458"/>
      <c r="I44" s="486">
        <f t="shared" si="11"/>
        <v>-4.3840632111629692</v>
      </c>
      <c r="J44" s="458">
        <f>J14*$B$38</f>
        <v>-4.3840632111629692</v>
      </c>
      <c r="K44" s="458">
        <f t="shared" ref="K44:Z44" si="17">K14*$B$38</f>
        <v>-4.3840632111629692</v>
      </c>
      <c r="L44" s="458">
        <f t="shared" si="17"/>
        <v>-4.3840632111629692</v>
      </c>
      <c r="M44" s="458">
        <f t="shared" si="17"/>
        <v>-4.3840632111629692</v>
      </c>
      <c r="N44" s="458">
        <f t="shared" si="17"/>
        <v>-4.3840632111629692</v>
      </c>
      <c r="O44" s="458">
        <f t="shared" si="17"/>
        <v>-4.3840632111629692</v>
      </c>
      <c r="P44" s="458">
        <f t="shared" si="17"/>
        <v>-4.3840632111629692</v>
      </c>
      <c r="Q44" s="458">
        <f t="shared" si="17"/>
        <v>-4.3840632111629692</v>
      </c>
      <c r="R44" s="458">
        <f t="shared" si="17"/>
        <v>-4.3840632111629692</v>
      </c>
      <c r="S44" s="458">
        <f t="shared" si="17"/>
        <v>-4.3840632111629692</v>
      </c>
      <c r="T44" s="458">
        <f t="shared" si="17"/>
        <v>-4.3840632111629692</v>
      </c>
      <c r="U44" s="458">
        <f t="shared" si="17"/>
        <v>0</v>
      </c>
      <c r="V44" s="458">
        <f t="shared" si="17"/>
        <v>0</v>
      </c>
      <c r="W44" s="458">
        <f t="shared" si="17"/>
        <v>0</v>
      </c>
      <c r="X44" s="458">
        <f t="shared" si="17"/>
        <v>0</v>
      </c>
      <c r="Y44" s="458">
        <f t="shared" si="17"/>
        <v>0</v>
      </c>
      <c r="Z44" s="458">
        <f t="shared" si="17"/>
        <v>0</v>
      </c>
      <c r="AA44" s="214"/>
      <c r="AB44" s="214"/>
      <c r="AC44" s="214"/>
      <c r="AD44" s="221"/>
      <c r="AE44" s="336"/>
      <c r="AF44" s="336"/>
      <c r="AG44" s="336"/>
      <c r="AH44" s="336"/>
      <c r="AI44" s="318"/>
      <c r="AJ44" s="318"/>
      <c r="AK44" s="318"/>
      <c r="AL44" s="318"/>
      <c r="AM44" s="318"/>
      <c r="AN44" s="318"/>
      <c r="AO44" s="318"/>
      <c r="AP44" s="318"/>
      <c r="AQ44" s="318"/>
      <c r="AR44" s="318"/>
      <c r="AS44" s="318"/>
      <c r="AT44" s="318"/>
      <c r="AU44"/>
      <c r="AV44"/>
      <c r="AW44"/>
      <c r="AX44"/>
      <c r="AY44"/>
      <c r="AZ44"/>
      <c r="BA44"/>
      <c r="BB44"/>
      <c r="BC44"/>
      <c r="BF44" s="207"/>
    </row>
    <row r="45" spans="1:58" s="212" customFormat="1" ht="13.2">
      <c r="A45" s="214" t="s">
        <v>393</v>
      </c>
      <c r="B45" s="214"/>
      <c r="C45" s="458"/>
      <c r="D45" s="458"/>
      <c r="E45" s="458"/>
      <c r="F45" s="458"/>
      <c r="G45" s="458"/>
      <c r="H45" s="458"/>
      <c r="I45" s="486">
        <f t="shared" si="11"/>
        <v>0</v>
      </c>
      <c r="J45" s="458">
        <f>J15*$B$38</f>
        <v>0</v>
      </c>
      <c r="K45" s="458">
        <f t="shared" ref="K45:Z45" si="18">K15*$B$38</f>
        <v>0</v>
      </c>
      <c r="L45" s="458">
        <f t="shared" si="18"/>
        <v>0</v>
      </c>
      <c r="M45" s="458">
        <f t="shared" si="18"/>
        <v>0</v>
      </c>
      <c r="N45" s="458">
        <f t="shared" si="18"/>
        <v>0</v>
      </c>
      <c r="O45" s="458">
        <f t="shared" si="18"/>
        <v>0</v>
      </c>
      <c r="P45" s="458">
        <f t="shared" si="18"/>
        <v>0</v>
      </c>
      <c r="Q45" s="458">
        <f t="shared" si="18"/>
        <v>0</v>
      </c>
      <c r="R45" s="458">
        <f t="shared" si="18"/>
        <v>0</v>
      </c>
      <c r="S45" s="458">
        <f t="shared" si="18"/>
        <v>0</v>
      </c>
      <c r="T45" s="458">
        <f t="shared" si="18"/>
        <v>0</v>
      </c>
      <c r="U45" s="458">
        <f t="shared" si="18"/>
        <v>0</v>
      </c>
      <c r="V45" s="458">
        <f t="shared" si="18"/>
        <v>0</v>
      </c>
      <c r="W45" s="458">
        <f t="shared" si="18"/>
        <v>0</v>
      </c>
      <c r="X45" s="458">
        <f t="shared" si="18"/>
        <v>0</v>
      </c>
      <c r="Y45" s="458">
        <f t="shared" si="18"/>
        <v>0</v>
      </c>
      <c r="Z45" s="458">
        <f t="shared" si="18"/>
        <v>0</v>
      </c>
      <c r="AA45" s="214"/>
      <c r="AB45" s="214"/>
      <c r="AC45" s="207"/>
      <c r="AD45" s="207"/>
      <c r="AE45" s="207"/>
      <c r="AF45" s="207"/>
      <c r="AG45" s="207"/>
      <c r="AH45" s="207"/>
      <c r="AI45" s="318"/>
      <c r="AJ45" s="318"/>
      <c r="AK45" s="318"/>
      <c r="AL45" s="318"/>
      <c r="AM45" s="318"/>
      <c r="AN45" s="318"/>
      <c r="AO45" s="318"/>
      <c r="AP45" s="318"/>
      <c r="AQ45" s="318"/>
      <c r="AR45" s="318"/>
      <c r="AS45" s="318"/>
      <c r="AT45" s="318"/>
      <c r="AU45"/>
      <c r="AV45"/>
      <c r="AW45"/>
      <c r="AX45"/>
      <c r="AY45"/>
      <c r="AZ45"/>
      <c r="BA45"/>
      <c r="BB45"/>
      <c r="BC45"/>
      <c r="BF45" s="207"/>
    </row>
    <row r="46" spans="1:58" s="212" customFormat="1" ht="15" customHeight="1">
      <c r="A46" s="214" t="s">
        <v>428</v>
      </c>
      <c r="B46" s="214"/>
      <c r="C46" s="458"/>
      <c r="D46" s="458"/>
      <c r="E46" s="458"/>
      <c r="F46" s="458"/>
      <c r="G46" s="458"/>
      <c r="H46" s="458"/>
      <c r="I46" s="486">
        <f t="shared" si="11"/>
        <v>0</v>
      </c>
      <c r="J46" s="458">
        <f>J16*$B$38</f>
        <v>6.4079523818182302</v>
      </c>
      <c r="K46" s="458">
        <f t="shared" ref="K46:T46" si="19">K16*$B$38</f>
        <v>6.4079523818182302</v>
      </c>
      <c r="L46" s="458">
        <f t="shared" si="19"/>
        <v>6.4079523818182302</v>
      </c>
      <c r="M46" s="458">
        <f t="shared" si="19"/>
        <v>6.4079523818182302</v>
      </c>
      <c r="N46" s="458">
        <f t="shared" si="19"/>
        <v>6.4079523818182302</v>
      </c>
      <c r="O46" s="458">
        <f t="shared" si="19"/>
        <v>6.4079523818182302</v>
      </c>
      <c r="P46" s="458">
        <f t="shared" si="19"/>
        <v>6.4079523818182302</v>
      </c>
      <c r="Q46" s="458">
        <f t="shared" si="19"/>
        <v>6.4079523818182302</v>
      </c>
      <c r="R46" s="458">
        <f t="shared" si="19"/>
        <v>6.4079523818182302</v>
      </c>
      <c r="S46" s="458">
        <f t="shared" si="19"/>
        <v>6.4079523818182302</v>
      </c>
      <c r="T46" s="458">
        <f t="shared" si="19"/>
        <v>6.4079523818182302</v>
      </c>
      <c r="U46" s="458"/>
      <c r="V46" s="458"/>
      <c r="W46" s="458"/>
      <c r="X46" s="458"/>
      <c r="Y46" s="458"/>
      <c r="Z46" s="458"/>
      <c r="AA46" s="213"/>
      <c r="AB46" s="214"/>
    </row>
    <row r="47" spans="1:58" s="212" customFormat="1" ht="15">
      <c r="A47" s="214" t="s">
        <v>388</v>
      </c>
      <c r="B47" s="214"/>
      <c r="C47" s="484"/>
      <c r="D47" s="484"/>
      <c r="E47" s="484"/>
      <c r="F47" s="484"/>
      <c r="G47" s="484"/>
      <c r="H47" s="484"/>
      <c r="I47" s="458">
        <f>(SUM(C17:I17)*$B$38)</f>
        <v>27.644257360953638</v>
      </c>
      <c r="J47" s="458">
        <f t="shared" ref="J47:Z47" si="20">(I49*I21)/365.25*(J19-I19)</f>
        <v>0</v>
      </c>
      <c r="K47" s="458">
        <f t="shared" si="20"/>
        <v>0</v>
      </c>
      <c r="L47" s="458">
        <f t="shared" si="20"/>
        <v>0</v>
      </c>
      <c r="M47" s="458">
        <f t="shared" si="20"/>
        <v>0</v>
      </c>
      <c r="N47" s="458">
        <f t="shared" si="20"/>
        <v>0</v>
      </c>
      <c r="O47" s="458">
        <f t="shared" si="20"/>
        <v>0</v>
      </c>
      <c r="P47" s="458">
        <f t="shared" si="20"/>
        <v>0</v>
      </c>
      <c r="Q47" s="458">
        <f t="shared" si="20"/>
        <v>0</v>
      </c>
      <c r="R47" s="458">
        <f t="shared" si="20"/>
        <v>0</v>
      </c>
      <c r="S47" s="458">
        <f t="shared" si="20"/>
        <v>0</v>
      </c>
      <c r="T47" s="458">
        <f t="shared" si="20"/>
        <v>0</v>
      </c>
      <c r="U47" s="458">
        <f t="shared" si="20"/>
        <v>0</v>
      </c>
      <c r="V47" s="458">
        <f t="shared" si="20"/>
        <v>0</v>
      </c>
      <c r="W47" s="458">
        <f t="shared" si="20"/>
        <v>0</v>
      </c>
      <c r="X47" s="458">
        <f t="shared" si="20"/>
        <v>0</v>
      </c>
      <c r="Y47" s="458">
        <f t="shared" si="20"/>
        <v>0</v>
      </c>
      <c r="Z47" s="458">
        <f t="shared" si="20"/>
        <v>0</v>
      </c>
      <c r="AA47" s="214"/>
      <c r="AB47" s="213"/>
      <c r="AC47" s="207"/>
      <c r="AD47" s="207"/>
      <c r="AE47" s="321"/>
      <c r="AF47" s="321"/>
      <c r="AG47" s="321"/>
      <c r="AH47" s="321"/>
      <c r="AI47" s="318"/>
      <c r="AJ47" s="318"/>
      <c r="AK47" s="318"/>
      <c r="AL47" s="318"/>
      <c r="AM47" s="318"/>
      <c r="AN47" s="318"/>
      <c r="AO47" s="318"/>
      <c r="AP47" s="318"/>
      <c r="AQ47" s="318"/>
      <c r="AR47" s="318"/>
      <c r="AS47" s="318"/>
      <c r="AT47" s="318"/>
      <c r="AU47"/>
      <c r="AV47"/>
      <c r="AW47"/>
      <c r="AX47"/>
      <c r="AY47"/>
      <c r="AZ47"/>
      <c r="BA47"/>
      <c r="BB47"/>
      <c r="BC47"/>
      <c r="BF47" s="207"/>
    </row>
    <row r="48" spans="1:58" s="212" customFormat="1" ht="15">
      <c r="A48" s="214" t="s">
        <v>385</v>
      </c>
      <c r="B48" s="214"/>
      <c r="C48" s="458"/>
      <c r="D48" s="458"/>
      <c r="E48" s="458"/>
      <c r="F48" s="458"/>
      <c r="G48" s="458"/>
      <c r="H48" s="458"/>
      <c r="I48" s="484">
        <f>0</f>
        <v>0</v>
      </c>
      <c r="J48" s="484">
        <v>0</v>
      </c>
      <c r="K48" s="484">
        <v>0</v>
      </c>
      <c r="L48" s="484">
        <v>0</v>
      </c>
      <c r="M48" s="484">
        <v>0</v>
      </c>
      <c r="N48" s="484">
        <v>0</v>
      </c>
      <c r="O48" s="484">
        <v>0</v>
      </c>
      <c r="P48" s="484">
        <v>0</v>
      </c>
      <c r="Q48" s="484">
        <v>0</v>
      </c>
      <c r="R48" s="484">
        <v>0</v>
      </c>
      <c r="S48" s="484">
        <v>0</v>
      </c>
      <c r="T48" s="484">
        <v>0</v>
      </c>
      <c r="U48" s="484">
        <v>0</v>
      </c>
      <c r="V48" s="484">
        <v>0</v>
      </c>
      <c r="W48" s="484">
        <v>0</v>
      </c>
      <c r="X48" s="484">
        <v>0</v>
      </c>
      <c r="Y48" s="484">
        <v>0</v>
      </c>
      <c r="Z48" s="484">
        <v>0</v>
      </c>
      <c r="AA48" s="214"/>
      <c r="AB48" s="214"/>
      <c r="AC48" s="11"/>
      <c r="AE48" s="318"/>
      <c r="AF48" s="318"/>
      <c r="AG48" s="318"/>
      <c r="AH48" s="318"/>
      <c r="AI48" s="318"/>
      <c r="AJ48" s="318"/>
      <c r="AK48" s="318"/>
      <c r="AL48" s="318"/>
      <c r="AM48" s="318"/>
      <c r="AN48" s="318"/>
      <c r="AO48" s="318"/>
      <c r="AP48" s="318"/>
      <c r="AQ48" s="318"/>
      <c r="AR48" s="318"/>
      <c r="AS48" s="318"/>
      <c r="AT48" s="318"/>
      <c r="AU48"/>
      <c r="AV48"/>
      <c r="AW48"/>
      <c r="AX48"/>
      <c r="AY48"/>
      <c r="AZ48"/>
      <c r="BA48"/>
      <c r="BB48"/>
      <c r="BC48"/>
      <c r="BF48" s="207"/>
    </row>
    <row r="49" spans="1:58" s="212" customFormat="1" ht="13.2">
      <c r="A49" s="211" t="s">
        <v>392</v>
      </c>
      <c r="B49" s="211"/>
      <c r="C49" s="213"/>
      <c r="D49" s="213"/>
      <c r="E49" s="213"/>
      <c r="F49" s="213"/>
      <c r="G49" s="213"/>
      <c r="H49" s="213"/>
      <c r="I49" s="213">
        <f t="shared" ref="I49:Z49" si="21">H49+SUM(I39:I48)</f>
        <v>1305.6947101497904</v>
      </c>
      <c r="J49" s="213">
        <f t="shared" si="21"/>
        <v>1526.3813453204452</v>
      </c>
      <c r="K49" s="213">
        <f t="shared" si="21"/>
        <v>1801.5439004911002</v>
      </c>
      <c r="L49" s="213">
        <f t="shared" si="21"/>
        <v>2022.1891356617552</v>
      </c>
      <c r="M49" s="213">
        <f t="shared" si="21"/>
        <v>2251.4769808324104</v>
      </c>
      <c r="N49" s="213">
        <f t="shared" si="21"/>
        <v>2380.7555300030658</v>
      </c>
      <c r="O49" s="213">
        <f t="shared" si="21"/>
        <v>2495.3323941737212</v>
      </c>
      <c r="P49" s="213">
        <f t="shared" si="21"/>
        <v>2597.7048683443763</v>
      </c>
      <c r="Q49" s="213">
        <f t="shared" si="21"/>
        <v>2741.1560125150318</v>
      </c>
      <c r="R49" s="213">
        <f t="shared" si="21"/>
        <v>3090.5499866856871</v>
      </c>
      <c r="S49" s="213">
        <f t="shared" si="21"/>
        <v>3185.1323308563424</v>
      </c>
      <c r="T49" s="213">
        <f t="shared" si="21"/>
        <v>3229.1745750269974</v>
      </c>
      <c r="U49" s="213">
        <f t="shared" si="21"/>
        <v>3229.1745750269974</v>
      </c>
      <c r="V49" s="213">
        <f t="shared" si="21"/>
        <v>3257.6778150269975</v>
      </c>
      <c r="W49" s="213">
        <f t="shared" si="21"/>
        <v>3313.3769250269975</v>
      </c>
      <c r="X49" s="213">
        <f t="shared" si="21"/>
        <v>3313.3769250269975</v>
      </c>
      <c r="Y49" s="213">
        <f t="shared" si="21"/>
        <v>3313.3769250269975</v>
      </c>
      <c r="Z49" s="213">
        <f t="shared" si="21"/>
        <v>3313.3769250269975</v>
      </c>
      <c r="AA49" s="214"/>
      <c r="AB49" s="214"/>
      <c r="AC49" s="207"/>
      <c r="AE49" s="450"/>
      <c r="AF49" s="450"/>
      <c r="AG49" s="450"/>
      <c r="AH49" s="450"/>
      <c r="AI49" s="318"/>
      <c r="AJ49" s="318"/>
      <c r="AK49" s="318"/>
      <c r="AL49" s="318"/>
      <c r="AM49" s="318"/>
      <c r="AN49" s="318"/>
      <c r="AO49" s="318"/>
      <c r="AP49" s="318"/>
      <c r="AQ49" s="318"/>
      <c r="AR49" s="318"/>
      <c r="AS49" s="318"/>
      <c r="AT49" s="318"/>
      <c r="AU49"/>
      <c r="AV49"/>
      <c r="AW49"/>
      <c r="AX49"/>
      <c r="AY49"/>
      <c r="AZ49"/>
      <c r="BA49"/>
      <c r="BB49"/>
      <c r="BC49"/>
      <c r="BF49" s="207"/>
    </row>
    <row r="50" spans="1:58" s="212" customFormat="1" ht="13.2">
      <c r="A50" s="211"/>
      <c r="B50" s="211"/>
      <c r="C50" s="211"/>
      <c r="D50" s="211"/>
      <c r="E50" s="211"/>
      <c r="F50" s="211"/>
      <c r="G50" s="213"/>
      <c r="H50" s="213"/>
      <c r="I50" s="213"/>
      <c r="J50" s="213"/>
      <c r="K50" s="213"/>
      <c r="L50" s="213"/>
      <c r="M50" s="213"/>
      <c r="N50" s="213"/>
      <c r="O50" s="213"/>
      <c r="P50" s="213"/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4"/>
      <c r="AB50" s="214"/>
      <c r="AC50" s="214"/>
      <c r="AE50" s="318"/>
      <c r="AF50" s="318"/>
      <c r="AG50" s="318"/>
      <c r="AH50" s="318"/>
      <c r="AI50" s="318"/>
      <c r="AJ50" s="318"/>
      <c r="AK50" s="318"/>
      <c r="AL50" s="318"/>
      <c r="AM50" s="318"/>
      <c r="AN50" s="318"/>
      <c r="AO50" s="318"/>
      <c r="AP50" s="318"/>
      <c r="AQ50" s="318"/>
      <c r="AR50" s="318"/>
      <c r="AS50" s="318"/>
      <c r="AT50" s="318"/>
      <c r="AU50"/>
      <c r="AV50"/>
      <c r="AW50"/>
      <c r="AX50"/>
      <c r="AY50"/>
      <c r="AZ50"/>
      <c r="BA50"/>
      <c r="BB50"/>
      <c r="BC50"/>
      <c r="BF50" s="207"/>
    </row>
    <row r="51" spans="1:58" s="212" customFormat="1" ht="13.2">
      <c r="A51" s="214"/>
      <c r="B51" s="214"/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  <c r="N51" s="213"/>
      <c r="O51" s="213"/>
      <c r="P51" s="213"/>
      <c r="Q51" s="213"/>
      <c r="R51" s="213"/>
      <c r="S51" s="213"/>
      <c r="T51" s="213"/>
      <c r="U51" s="213"/>
      <c r="V51" s="213"/>
      <c r="W51" s="213"/>
      <c r="X51" s="213"/>
      <c r="Y51" s="213"/>
      <c r="Z51" s="213"/>
      <c r="AA51" s="214"/>
      <c r="AB51" s="214"/>
      <c r="AC51" s="214"/>
      <c r="AE51" s="318"/>
      <c r="AF51" s="318"/>
      <c r="AG51" s="318"/>
      <c r="AH51" s="318"/>
      <c r="AI51" s="318"/>
      <c r="AJ51" s="318"/>
      <c r="AK51" s="318"/>
      <c r="AL51" s="318"/>
      <c r="AM51" s="318"/>
      <c r="AN51" s="318"/>
      <c r="AO51" s="318"/>
      <c r="AP51" s="318"/>
      <c r="AQ51" s="318"/>
      <c r="AR51" s="318"/>
      <c r="AS51" s="318"/>
      <c r="AT51" s="318"/>
      <c r="AU51"/>
      <c r="AV51"/>
      <c r="AW51"/>
      <c r="AX51"/>
      <c r="AY51"/>
      <c r="AZ51"/>
      <c r="BA51"/>
      <c r="BB51"/>
      <c r="BC51"/>
      <c r="BF51" s="207"/>
    </row>
    <row r="52" spans="1:58" s="212" customFormat="1" ht="13.2">
      <c r="A52" s="211"/>
      <c r="B52" s="211"/>
      <c r="C52" s="213"/>
      <c r="D52" s="213"/>
      <c r="E52" s="213"/>
      <c r="F52" s="213"/>
      <c r="G52" s="213"/>
      <c r="H52" s="213"/>
      <c r="I52" s="213"/>
      <c r="J52" s="213"/>
      <c r="K52" s="213"/>
      <c r="L52" s="213"/>
      <c r="M52" s="213"/>
      <c r="N52" s="213"/>
      <c r="O52" s="213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4"/>
      <c r="AB52" s="214"/>
      <c r="AC52" s="214"/>
      <c r="AE52" s="318"/>
      <c r="AF52" s="318"/>
      <c r="AG52" s="318"/>
      <c r="AH52" s="318"/>
      <c r="AI52" s="318"/>
      <c r="AJ52" s="318"/>
      <c r="AK52" s="318"/>
      <c r="AL52" s="318"/>
      <c r="AM52" s="318"/>
      <c r="AN52" s="318"/>
      <c r="AO52" s="318"/>
      <c r="AP52" s="318"/>
      <c r="AQ52" s="318"/>
      <c r="AR52" s="318"/>
      <c r="AS52" s="318"/>
      <c r="AT52" s="318"/>
      <c r="AU52"/>
      <c r="AV52"/>
      <c r="AW52"/>
      <c r="AX52"/>
      <c r="AY52"/>
      <c r="AZ52"/>
      <c r="BA52"/>
      <c r="BB52"/>
      <c r="BC52"/>
      <c r="BF52" s="207"/>
    </row>
    <row r="53" spans="1:58" s="212" customFormat="1" ht="13.2">
      <c r="A53" s="211" t="s">
        <v>394</v>
      </c>
      <c r="C53" s="213">
        <f>C17</f>
        <v>0</v>
      </c>
      <c r="D53" s="213">
        <f>C53+D17</f>
        <v>112.12046543463381</v>
      </c>
      <c r="E53" s="213">
        <f>D53+E17</f>
        <v>253.9407193370316</v>
      </c>
      <c r="F53" s="213">
        <f>E53+F17</f>
        <v>382.7431070418732</v>
      </c>
      <c r="G53" s="213">
        <f>F53+G17</f>
        <v>542.91085940515688</v>
      </c>
      <c r="H53" s="213">
        <f>G53+H17</f>
        <v>718.12873996871622</v>
      </c>
      <c r="I53" s="213">
        <f>I32+I47</f>
        <v>921.47524536512117</v>
      </c>
      <c r="J53" s="213">
        <f>I53+J32+J47</f>
        <v>1120.9289528542604</v>
      </c>
      <c r="K53" s="213">
        <f t="shared" ref="K53:Z53" si="22">J53+K32+K47</f>
        <v>1368.2785651392298</v>
      </c>
      <c r="L53" s="213">
        <f t="shared" si="22"/>
        <v>1643.8894536672863</v>
      </c>
      <c r="M53" s="213">
        <f t="shared" si="22"/>
        <v>1947.824739597517</v>
      </c>
      <c r="N53" s="213">
        <f t="shared" si="22"/>
        <v>2301.9140578566003</v>
      </c>
      <c r="O53" s="213">
        <f t="shared" si="22"/>
        <v>2667.6243291283349</v>
      </c>
      <c r="P53" s="213">
        <f t="shared" si="22"/>
        <v>3066.9747204001828</v>
      </c>
      <c r="Q53" s="213">
        <f t="shared" si="22"/>
        <v>3485.9366924684941</v>
      </c>
      <c r="R53" s="213">
        <f t="shared" si="22"/>
        <v>3902.6360127926441</v>
      </c>
      <c r="S53" s="213">
        <f t="shared" si="22"/>
        <v>4408.4463094165612</v>
      </c>
      <c r="T53" s="213">
        <f t="shared" si="22"/>
        <v>4916.2024403923815</v>
      </c>
      <c r="U53" s="213">
        <f t="shared" si="22"/>
        <v>5160.7987612228771</v>
      </c>
      <c r="V53" s="213">
        <f t="shared" si="22"/>
        <v>5458.4916409682983</v>
      </c>
      <c r="W53" s="213">
        <f t="shared" si="22"/>
        <v>5996.0010402655826</v>
      </c>
      <c r="X53" s="213">
        <f t="shared" si="22"/>
        <v>6569.7012373576308</v>
      </c>
      <c r="Y53" s="213">
        <f t="shared" si="22"/>
        <v>7133.8824107151504</v>
      </c>
      <c r="Z53" s="213">
        <f t="shared" si="22"/>
        <v>7133.8824107151504</v>
      </c>
      <c r="AA53" s="214"/>
      <c r="AB53" s="214"/>
      <c r="AC53" s="214"/>
      <c r="AE53" s="318"/>
      <c r="AF53" s="318"/>
      <c r="AG53" s="318"/>
      <c r="AH53" s="318"/>
      <c r="AI53" s="318"/>
      <c r="AJ53" s="318"/>
      <c r="AK53" s="318"/>
      <c r="AL53" s="318"/>
      <c r="AM53" s="318"/>
      <c r="AN53" s="318"/>
      <c r="AO53" s="318"/>
      <c r="AP53" s="318"/>
      <c r="AQ53" s="318"/>
      <c r="AR53" s="318"/>
      <c r="AS53" s="318"/>
      <c r="AT53" s="318"/>
      <c r="AU53"/>
      <c r="AV53"/>
      <c r="AW53"/>
      <c r="AX53"/>
      <c r="AY53"/>
      <c r="AZ53"/>
      <c r="BA53"/>
      <c r="BB53"/>
      <c r="BC53"/>
      <c r="BF53" s="207"/>
    </row>
    <row r="54" spans="1:58" s="212" customFormat="1" ht="15">
      <c r="A54" s="211" t="s">
        <v>400</v>
      </c>
      <c r="B54" s="214"/>
      <c r="C54" s="484">
        <f>SUM(C9:C15)+C18</f>
        <v>25595</v>
      </c>
      <c r="D54" s="484">
        <f t="shared" ref="D54:Z54" si="23">C54+SUM(D9:D15)+D18</f>
        <v>25595</v>
      </c>
      <c r="E54" s="484">
        <f t="shared" si="23"/>
        <v>25595</v>
      </c>
      <c r="F54" s="484">
        <f t="shared" si="23"/>
        <v>28650.146000000001</v>
      </c>
      <c r="G54" s="484">
        <f t="shared" si="23"/>
        <v>32276.745999999999</v>
      </c>
      <c r="H54" s="484">
        <f t="shared" si="23"/>
        <v>36141.578999999998</v>
      </c>
      <c r="I54" s="484">
        <f t="shared" si="23"/>
        <v>37601.681759627892</v>
      </c>
      <c r="J54" s="484">
        <f t="shared" si="23"/>
        <v>44744.304519255784</v>
      </c>
      <c r="K54" s="484">
        <f t="shared" si="23"/>
        <v>53702.791278883677</v>
      </c>
      <c r="L54" s="484">
        <f t="shared" si="23"/>
        <v>60844.034038511571</v>
      </c>
      <c r="M54" s="484">
        <f t="shared" si="23"/>
        <v>68273.363798139457</v>
      </c>
      <c r="N54" s="484">
        <f t="shared" si="23"/>
        <v>72369.050357767352</v>
      </c>
      <c r="O54" s="484">
        <f t="shared" si="23"/>
        <v>75974.680750728585</v>
      </c>
      <c r="P54" s="484">
        <f t="shared" si="23"/>
        <v>79173.498143689823</v>
      </c>
      <c r="Q54" s="484">
        <f t="shared" si="23"/>
        <v>83741.604536651052</v>
      </c>
      <c r="R54" s="484">
        <f t="shared" si="23"/>
        <v>95174.471929612278</v>
      </c>
      <c r="S54" s="484">
        <f t="shared" si="23"/>
        <v>98113.618322573515</v>
      </c>
      <c r="T54" s="484">
        <f t="shared" si="23"/>
        <v>100618.09471553475</v>
      </c>
      <c r="U54" s="484">
        <f t="shared" si="23"/>
        <v>100618.09471553475</v>
      </c>
      <c r="V54" s="484">
        <f t="shared" si="23"/>
        <v>102818.20271553475</v>
      </c>
      <c r="W54" s="484">
        <f t="shared" si="23"/>
        <v>105924.83971553475</v>
      </c>
      <c r="X54" s="484">
        <f t="shared" si="23"/>
        <v>107174.83971553475</v>
      </c>
      <c r="Y54" s="484">
        <f t="shared" si="23"/>
        <v>107174.83971553475</v>
      </c>
      <c r="Z54" s="484">
        <f t="shared" si="23"/>
        <v>107174.83971553475</v>
      </c>
      <c r="AA54" s="214"/>
      <c r="AB54" s="214"/>
      <c r="AC54" s="214"/>
      <c r="AE54" s="318"/>
      <c r="AF54" s="318"/>
      <c r="AG54" s="318"/>
      <c r="AH54" s="318"/>
      <c r="AI54" s="318"/>
      <c r="AJ54" s="318"/>
      <c r="AK54" s="318"/>
      <c r="AL54" s="318"/>
      <c r="AM54" s="318"/>
      <c r="AN54" s="318"/>
      <c r="AO54" s="318"/>
      <c r="AP54" s="318"/>
      <c r="AQ54" s="318"/>
      <c r="AR54" s="318"/>
      <c r="AS54" s="318"/>
      <c r="AT54" s="318"/>
      <c r="AU54"/>
      <c r="AV54"/>
      <c r="AW54"/>
      <c r="AX54"/>
      <c r="AY54"/>
      <c r="AZ54"/>
      <c r="BA54"/>
      <c r="BB54"/>
      <c r="BC54"/>
      <c r="BF54" s="207"/>
    </row>
    <row r="55" spans="1:58" s="212" customFormat="1" ht="13.2">
      <c r="A55" s="211" t="s">
        <v>399</v>
      </c>
      <c r="C55" s="213">
        <f t="shared" ref="C55:H55" si="24">SUM(C53:C54)</f>
        <v>25595</v>
      </c>
      <c r="D55" s="213">
        <f t="shared" si="24"/>
        <v>25707.120465434633</v>
      </c>
      <c r="E55" s="213">
        <f t="shared" si="24"/>
        <v>25848.940719337032</v>
      </c>
      <c r="F55" s="213">
        <f t="shared" si="24"/>
        <v>29032.889107041872</v>
      </c>
      <c r="G55" s="213">
        <f t="shared" si="24"/>
        <v>32819.656859405157</v>
      </c>
      <c r="H55" s="213">
        <f t="shared" si="24"/>
        <v>36859.707739968711</v>
      </c>
      <c r="I55" s="213">
        <f t="shared" ref="I55:Z55" si="25">I34+I49</f>
        <v>38523.157004993016</v>
      </c>
      <c r="J55" s="213">
        <f t="shared" si="25"/>
        <v>46078.831884837316</v>
      </c>
      <c r="K55" s="213">
        <f t="shared" si="25"/>
        <v>55498.26666947746</v>
      </c>
      <c r="L55" s="213">
        <f t="shared" si="25"/>
        <v>63128.718730360677</v>
      </c>
      <c r="M55" s="213">
        <f t="shared" si="25"/>
        <v>71075.582188646062</v>
      </c>
      <c r="N55" s="213">
        <f t="shared" si="25"/>
        <v>75738.95647926032</v>
      </c>
      <c r="O55" s="213">
        <f t="shared" si="25"/>
        <v>79923.895556220567</v>
      </c>
      <c r="P55" s="213">
        <f t="shared" si="25"/>
        <v>83735.661753180917</v>
      </c>
      <c r="Q55" s="213">
        <f t="shared" si="25"/>
        <v>88936.328530937739</v>
      </c>
      <c r="R55" s="213">
        <f t="shared" si="25"/>
        <v>100999.49365695039</v>
      </c>
      <c r="S55" s="213">
        <f t="shared" si="25"/>
        <v>104658.04875926282</v>
      </c>
      <c r="T55" s="213">
        <f t="shared" si="25"/>
        <v>107883.87969592714</v>
      </c>
      <c r="U55" s="213">
        <f t="shared" si="25"/>
        <v>108128.47601675763</v>
      </c>
      <c r="V55" s="213">
        <f t="shared" si="25"/>
        <v>110626.27689650306</v>
      </c>
      <c r="W55" s="213">
        <f t="shared" si="25"/>
        <v>114270.42329580034</v>
      </c>
      <c r="X55" s="213">
        <f t="shared" si="25"/>
        <v>116094.1234928924</v>
      </c>
      <c r="Y55" s="213">
        <f t="shared" si="25"/>
        <v>116658.30466624991</v>
      </c>
      <c r="Z55" s="213">
        <f t="shared" si="25"/>
        <v>116658.30466624991</v>
      </c>
      <c r="AA55" s="214"/>
      <c r="AB55" s="214"/>
      <c r="AC55" s="214"/>
      <c r="AE55" s="318"/>
      <c r="AF55" s="318"/>
      <c r="AG55" s="318"/>
      <c r="AH55" s="318"/>
      <c r="AI55" s="318"/>
      <c r="AJ55" s="318"/>
      <c r="AK55" s="318"/>
      <c r="AL55" s="318"/>
      <c r="AM55" s="318"/>
      <c r="AN55" s="318"/>
      <c r="AO55" s="318"/>
      <c r="AP55" s="318"/>
      <c r="AQ55" s="318"/>
      <c r="AR55" s="318"/>
      <c r="AS55" s="318"/>
      <c r="AT55" s="318"/>
      <c r="AU55"/>
      <c r="AV55"/>
      <c r="AW55"/>
      <c r="AX55"/>
      <c r="AY55"/>
      <c r="AZ55"/>
      <c r="BA55"/>
      <c r="BB55"/>
      <c r="BC55"/>
      <c r="BF55" s="207"/>
    </row>
    <row r="56" spans="1:58" s="212" customFormat="1" ht="13.2">
      <c r="A56" s="293"/>
      <c r="B56" s="293"/>
      <c r="C56" s="293"/>
      <c r="D56" s="426"/>
      <c r="E56" s="426"/>
      <c r="F56" s="465"/>
      <c r="G56" s="427"/>
      <c r="H56" s="284"/>
      <c r="I56" s="293"/>
      <c r="J56" s="293"/>
      <c r="K56" s="427"/>
      <c r="L56" s="284"/>
      <c r="M56" s="293"/>
      <c r="N56" s="293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E56" s="318"/>
      <c r="AF56" s="318"/>
      <c r="AG56" s="318"/>
      <c r="AH56" s="318"/>
      <c r="AI56" s="318"/>
      <c r="AJ56" s="318"/>
      <c r="AK56" s="318"/>
      <c r="AL56" s="318"/>
      <c r="AM56" s="318"/>
      <c r="AN56" s="318"/>
      <c r="AO56" s="318"/>
      <c r="AP56" s="318"/>
      <c r="AQ56" s="318"/>
      <c r="AR56" s="318"/>
      <c r="AS56" s="318"/>
      <c r="AT56" s="318"/>
      <c r="AU56"/>
      <c r="AV56"/>
      <c r="AW56"/>
      <c r="AX56"/>
      <c r="AY56"/>
      <c r="AZ56"/>
      <c r="BA56"/>
      <c r="BB56"/>
      <c r="BC56"/>
      <c r="BF56" s="207"/>
    </row>
    <row r="57" spans="1:58" s="212" customFormat="1" ht="13.2">
      <c r="A57" s="293"/>
      <c r="B57" s="293"/>
      <c r="C57" s="293"/>
      <c r="D57" s="426"/>
      <c r="E57" s="426"/>
      <c r="F57" s="465"/>
      <c r="G57" s="427"/>
      <c r="H57" s="284"/>
      <c r="I57" s="393"/>
      <c r="J57" s="293"/>
      <c r="K57" s="427"/>
      <c r="L57" s="393"/>
      <c r="M57" s="293"/>
      <c r="N57" s="293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E57" s="318"/>
      <c r="AF57" s="318"/>
      <c r="AG57" s="318"/>
      <c r="AH57" s="318"/>
      <c r="AI57" s="318"/>
      <c r="AJ57" s="318"/>
      <c r="AK57" s="318"/>
      <c r="AL57" s="318"/>
      <c r="AM57" s="318"/>
      <c r="AN57" s="318"/>
      <c r="AO57" s="318"/>
      <c r="AP57" s="318"/>
      <c r="AQ57" s="318"/>
      <c r="AR57" s="318"/>
      <c r="AS57" s="318"/>
      <c r="AT57" s="318"/>
      <c r="AU57"/>
      <c r="AV57"/>
      <c r="AW57"/>
      <c r="AX57"/>
      <c r="AY57"/>
      <c r="AZ57"/>
      <c r="BA57"/>
      <c r="BB57"/>
      <c r="BC57"/>
      <c r="BF57" s="207"/>
    </row>
    <row r="58" spans="1:58" s="212" customFormat="1" ht="13.2">
      <c r="A58" s="293"/>
      <c r="B58" s="293"/>
      <c r="C58" s="293"/>
      <c r="D58" s="426"/>
      <c r="E58" s="426"/>
      <c r="F58" s="465"/>
      <c r="G58" s="427"/>
      <c r="H58" s="284"/>
      <c r="I58" s="293"/>
      <c r="J58" s="293"/>
      <c r="K58" s="427"/>
      <c r="L58" s="284"/>
      <c r="M58" s="293"/>
      <c r="N58" s="293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Z58" s="327"/>
      <c r="AA58" s="214"/>
      <c r="AB58" s="214"/>
      <c r="AC58" s="214"/>
      <c r="AE58" s="318"/>
      <c r="AF58" s="318"/>
      <c r="AG58" s="318"/>
      <c r="AH58" s="318"/>
      <c r="AI58" s="318"/>
      <c r="AJ58" s="318"/>
      <c r="AK58" s="318"/>
      <c r="AL58" s="318"/>
      <c r="AM58" s="318"/>
      <c r="AN58" s="318"/>
      <c r="AO58" s="318"/>
      <c r="AP58" s="318"/>
      <c r="AQ58" s="318"/>
      <c r="AR58" s="318"/>
      <c r="AS58" s="318"/>
      <c r="AT58" s="318"/>
      <c r="AU58"/>
      <c r="AV58"/>
      <c r="AW58"/>
      <c r="AX58"/>
      <c r="AY58"/>
      <c r="AZ58"/>
      <c r="BA58"/>
      <c r="BB58"/>
      <c r="BC58"/>
      <c r="BF58" s="207"/>
    </row>
    <row r="59" spans="1:58" s="212" customFormat="1" ht="13.2">
      <c r="A59" s="293"/>
      <c r="B59" s="293"/>
      <c r="C59" s="293"/>
      <c r="D59" s="426"/>
      <c r="E59" s="426"/>
      <c r="F59" s="465"/>
      <c r="G59" s="427"/>
      <c r="H59" s="284"/>
      <c r="I59" s="293"/>
      <c r="J59" s="293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E59" s="318"/>
      <c r="AF59" s="318"/>
      <c r="AG59" s="318"/>
      <c r="AH59" s="318"/>
      <c r="AI59" s="318"/>
      <c r="AJ59" s="318"/>
      <c r="AK59" s="318"/>
      <c r="AL59" s="318"/>
      <c r="AM59" s="318"/>
      <c r="AN59" s="318"/>
      <c r="AO59" s="318"/>
      <c r="AP59" s="318"/>
      <c r="AQ59" s="318"/>
      <c r="AR59" s="318"/>
      <c r="AS59" s="318"/>
      <c r="AT59" s="318"/>
      <c r="AU59"/>
      <c r="AV59"/>
      <c r="AW59"/>
      <c r="AX59"/>
      <c r="AY59"/>
      <c r="AZ59"/>
      <c r="BA59"/>
      <c r="BB59"/>
      <c r="BC59"/>
      <c r="BF59" s="207"/>
    </row>
    <row r="60" spans="1:58" s="212" customFormat="1" ht="13.2">
      <c r="A60" s="293"/>
      <c r="B60" s="293"/>
      <c r="C60" s="478"/>
      <c r="D60" s="426"/>
      <c r="E60" s="297"/>
      <c r="F60" s="465"/>
      <c r="G60" s="427"/>
      <c r="H60" s="284"/>
      <c r="I60" s="293"/>
      <c r="J60" s="293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E60" s="318"/>
      <c r="AF60" s="318"/>
      <c r="AG60" s="318"/>
      <c r="AH60" s="318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/>
      <c r="AV60"/>
      <c r="AW60"/>
      <c r="AX60"/>
      <c r="AY60"/>
      <c r="AZ60"/>
      <c r="BA60"/>
      <c r="BB60"/>
      <c r="BC60"/>
      <c r="BF60" s="207"/>
    </row>
    <row r="61" spans="1:58" s="212" customFormat="1" ht="13.2">
      <c r="A61" s="293"/>
      <c r="B61" s="293"/>
      <c r="C61" s="293"/>
      <c r="D61" s="426"/>
      <c r="E61" s="293"/>
      <c r="F61" s="465"/>
      <c r="G61" s="427"/>
      <c r="H61" s="284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4"/>
      <c r="AB61" s="214"/>
      <c r="AC61" s="214"/>
      <c r="AE61" s="318"/>
      <c r="AF61" s="318"/>
      <c r="AG61" s="318"/>
      <c r="AH61" s="318"/>
      <c r="AI61" s="318"/>
      <c r="AJ61" s="318"/>
      <c r="AK61" s="318"/>
      <c r="AL61" s="318"/>
      <c r="AM61" s="318"/>
      <c r="AN61" s="318"/>
      <c r="AO61" s="318"/>
      <c r="AP61" s="318"/>
      <c r="AQ61" s="318"/>
      <c r="AR61" s="318"/>
      <c r="AS61" s="318"/>
      <c r="AT61" s="318"/>
      <c r="AU61"/>
      <c r="AV61"/>
      <c r="AW61"/>
      <c r="AX61"/>
      <c r="AY61"/>
      <c r="AZ61"/>
      <c r="BA61"/>
      <c r="BB61"/>
      <c r="BC61"/>
      <c r="BF61" s="207"/>
    </row>
    <row r="62" spans="1:58" s="212" customFormat="1" ht="15">
      <c r="A62" s="214"/>
      <c r="B62" s="214"/>
      <c r="C62" s="214"/>
      <c r="D62" s="214"/>
      <c r="E62" s="214"/>
      <c r="F62" s="214"/>
      <c r="G62" s="214"/>
      <c r="H62" s="214"/>
      <c r="I62" s="484"/>
      <c r="J62" s="484"/>
      <c r="K62" s="484"/>
      <c r="L62" s="484"/>
      <c r="M62" s="484"/>
      <c r="N62" s="484"/>
      <c r="O62" s="484"/>
      <c r="P62" s="484"/>
      <c r="Q62" s="484"/>
      <c r="R62" s="484"/>
      <c r="S62" s="484"/>
      <c r="T62" s="484"/>
      <c r="U62" s="484"/>
      <c r="V62" s="484"/>
      <c r="W62" s="484"/>
      <c r="X62" s="484"/>
      <c r="Y62" s="484"/>
      <c r="Z62" s="484"/>
      <c r="AA62" s="214"/>
      <c r="AB62" s="214"/>
      <c r="AC62" s="214"/>
      <c r="AE62" s="318"/>
      <c r="AF62" s="318"/>
      <c r="AG62" s="318"/>
      <c r="AH62" s="318"/>
      <c r="AI62" s="318"/>
      <c r="AJ62" s="318"/>
      <c r="AK62" s="318"/>
      <c r="AL62" s="318"/>
      <c r="AM62" s="318"/>
      <c r="AN62" s="318"/>
      <c r="AO62" s="318"/>
      <c r="AP62" s="318"/>
      <c r="AQ62" s="318"/>
      <c r="AR62" s="318"/>
      <c r="AS62" s="318"/>
      <c r="AT62" s="318"/>
      <c r="AU62"/>
      <c r="AV62"/>
      <c r="AW62"/>
      <c r="AX62"/>
      <c r="AY62"/>
      <c r="AZ62"/>
      <c r="BA62"/>
      <c r="BB62"/>
      <c r="BC62"/>
      <c r="BF62" s="207"/>
    </row>
    <row r="63" spans="1:58" s="212" customFormat="1" ht="13.2">
      <c r="A63" s="214"/>
      <c r="B63" s="214"/>
      <c r="C63" s="214"/>
      <c r="D63" s="214"/>
      <c r="E63" s="214"/>
      <c r="F63" s="214"/>
      <c r="G63" s="214"/>
      <c r="H63" s="214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4"/>
      <c r="AB63" s="214"/>
      <c r="AC63" s="214"/>
      <c r="AE63" s="318"/>
      <c r="AF63" s="318"/>
      <c r="AG63" s="318"/>
      <c r="AH63" s="318"/>
      <c r="AI63" s="318"/>
      <c r="AJ63" s="318"/>
      <c r="AK63" s="318"/>
      <c r="AL63" s="318"/>
      <c r="AM63" s="318"/>
      <c r="AN63" s="318"/>
      <c r="AO63" s="318"/>
      <c r="AP63" s="318"/>
      <c r="AQ63" s="318"/>
      <c r="AR63" s="318"/>
      <c r="AS63" s="318"/>
      <c r="AT63" s="318"/>
      <c r="AU63"/>
      <c r="AV63"/>
      <c r="AW63"/>
      <c r="AX63"/>
      <c r="AY63"/>
      <c r="AZ63"/>
      <c r="BA63"/>
      <c r="BB63"/>
      <c r="BC63"/>
      <c r="BF63" s="207"/>
    </row>
    <row r="64" spans="1:58" s="212" customFormat="1" ht="13.2">
      <c r="A64" s="214"/>
      <c r="B64" s="214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E64" s="318"/>
      <c r="AF64" s="318"/>
      <c r="AG64" s="318"/>
      <c r="AH64" s="318"/>
      <c r="AI64" s="318"/>
      <c r="AJ64" s="318"/>
      <c r="AK64" s="318"/>
      <c r="AL64" s="318"/>
      <c r="AM64" s="318"/>
      <c r="AN64" s="318"/>
      <c r="AO64" s="318"/>
      <c r="AP64" s="318"/>
      <c r="AQ64" s="318"/>
      <c r="AR64" s="318"/>
      <c r="AS64" s="318"/>
      <c r="AT64" s="318"/>
      <c r="AU64"/>
      <c r="AV64"/>
      <c r="AW64"/>
      <c r="AX64"/>
      <c r="AY64"/>
      <c r="AZ64"/>
      <c r="BA64"/>
      <c r="BB64"/>
      <c r="BC64"/>
      <c r="BF64" s="207"/>
    </row>
    <row r="65" spans="1:256" s="212" customFormat="1" ht="13.2">
      <c r="A65" s="214"/>
      <c r="B65" s="214"/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E65" s="318"/>
      <c r="AF65" s="318"/>
      <c r="AG65" s="318"/>
      <c r="AH65" s="318"/>
      <c r="AI65" s="318"/>
      <c r="AJ65" s="318"/>
      <c r="AK65" s="318"/>
      <c r="AL65" s="318"/>
      <c r="AM65" s="318"/>
      <c r="AN65" s="318"/>
      <c r="AO65" s="318"/>
      <c r="AP65" s="318"/>
      <c r="AQ65" s="318"/>
      <c r="AR65" s="318"/>
      <c r="AS65" s="318"/>
      <c r="AT65" s="318"/>
      <c r="AU65"/>
      <c r="AV65"/>
      <c r="AW65"/>
      <c r="AX65"/>
      <c r="AY65"/>
      <c r="AZ65"/>
      <c r="BA65"/>
      <c r="BB65"/>
      <c r="BC65"/>
      <c r="BF65" s="207"/>
    </row>
    <row r="66" spans="1:256" s="212" customFormat="1" ht="13.2">
      <c r="A66" s="214"/>
      <c r="B66" s="214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E66" s="318"/>
      <c r="AF66" s="318"/>
      <c r="AG66" s="318"/>
      <c r="AH66" s="318"/>
      <c r="AI66" s="318"/>
      <c r="AJ66" s="318"/>
      <c r="AK66" s="318"/>
      <c r="AL66" s="318"/>
      <c r="AM66" s="318"/>
      <c r="AN66" s="318"/>
      <c r="AO66" s="318"/>
      <c r="AP66" s="318"/>
      <c r="AQ66" s="318"/>
      <c r="AR66" s="318"/>
      <c r="AS66" s="318"/>
      <c r="AT66" s="318"/>
      <c r="AU66"/>
      <c r="AV66"/>
      <c r="AW66"/>
      <c r="AX66"/>
      <c r="AY66"/>
      <c r="AZ66"/>
      <c r="BA66"/>
      <c r="BB66"/>
      <c r="BC66"/>
      <c r="BF66" s="207"/>
    </row>
    <row r="67" spans="1:256" s="212" customFormat="1" ht="13.2">
      <c r="A67" s="214"/>
      <c r="B67" s="214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E67" s="318"/>
      <c r="AF67" s="318"/>
      <c r="AG67" s="318"/>
      <c r="AH67" s="318"/>
      <c r="AI67" s="318"/>
      <c r="AJ67" s="318"/>
      <c r="AK67" s="318"/>
      <c r="AL67" s="318"/>
      <c r="AM67" s="318"/>
      <c r="AN67" s="318"/>
      <c r="AO67" s="318"/>
      <c r="AP67" s="318"/>
      <c r="AQ67" s="318"/>
      <c r="AR67" s="318"/>
      <c r="AS67" s="318"/>
      <c r="AT67" s="318"/>
      <c r="AU67"/>
      <c r="AV67"/>
      <c r="AW67"/>
      <c r="AX67"/>
      <c r="AY67"/>
      <c r="AZ67"/>
      <c r="BA67"/>
      <c r="BB67"/>
      <c r="BC67"/>
      <c r="BF67" s="207"/>
    </row>
    <row r="68" spans="1:256" s="212" customFormat="1" ht="13.2">
      <c r="A68" s="214"/>
      <c r="B68" s="214"/>
      <c r="C68" s="214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E68" s="318"/>
      <c r="AF68" s="318"/>
      <c r="AG68" s="318"/>
      <c r="AH68" s="318"/>
      <c r="AI68" s="318"/>
      <c r="AJ68" s="318"/>
      <c r="AK68" s="318"/>
      <c r="AL68" s="318"/>
      <c r="AM68" s="318"/>
      <c r="AN68" s="318"/>
      <c r="AO68" s="318"/>
      <c r="AP68" s="318"/>
      <c r="AQ68" s="318"/>
      <c r="AR68" s="318"/>
      <c r="AS68" s="318"/>
      <c r="AT68" s="318"/>
      <c r="AU68"/>
      <c r="AV68"/>
      <c r="AW68"/>
      <c r="AX68"/>
      <c r="AY68"/>
      <c r="AZ68"/>
      <c r="BA68"/>
      <c r="BB68"/>
      <c r="BC68"/>
      <c r="BF68" s="207"/>
    </row>
    <row r="69" spans="1:256" s="212" customFormat="1" ht="13.2">
      <c r="A69" s="214"/>
      <c r="B69" s="214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E69" s="318"/>
      <c r="AF69" s="318"/>
      <c r="AG69" s="318"/>
      <c r="AH69" s="318"/>
      <c r="AI69" s="318"/>
      <c r="AJ69" s="318"/>
      <c r="AK69" s="318"/>
      <c r="AL69" s="318"/>
      <c r="AM69" s="318"/>
      <c r="AN69" s="318"/>
      <c r="AO69" s="318"/>
      <c r="AP69" s="318"/>
      <c r="AQ69" s="318"/>
      <c r="AR69" s="318"/>
      <c r="AS69" s="318"/>
      <c r="AT69" s="318"/>
      <c r="AU69"/>
      <c r="AV69"/>
      <c r="AW69"/>
      <c r="AX69"/>
      <c r="AY69"/>
      <c r="AZ69"/>
      <c r="BA69"/>
      <c r="BB69"/>
      <c r="BC69"/>
      <c r="BF69" s="207"/>
    </row>
    <row r="70" spans="1:256" s="212" customFormat="1" ht="13.2">
      <c r="A70" s="214"/>
      <c r="B70" s="214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E70" s="318"/>
      <c r="AF70" s="318"/>
      <c r="AG70" s="318"/>
      <c r="AH70" s="318"/>
      <c r="AI70" s="318"/>
      <c r="AJ70" s="318"/>
      <c r="AK70" s="318"/>
      <c r="AL70" s="318"/>
      <c r="AM70" s="318"/>
      <c r="AN70" s="318"/>
      <c r="AO70" s="318"/>
      <c r="AP70" s="318"/>
      <c r="AQ70" s="318"/>
      <c r="AR70" s="318"/>
      <c r="AS70" s="318"/>
      <c r="AT70" s="318"/>
      <c r="AU70"/>
      <c r="AV70"/>
      <c r="AW70"/>
      <c r="AX70"/>
      <c r="AY70"/>
      <c r="AZ70"/>
      <c r="BA70"/>
      <c r="BB70"/>
      <c r="BC70"/>
      <c r="BF70" s="207"/>
    </row>
    <row r="71" spans="1:256" s="212" customFormat="1" ht="13.2">
      <c r="A71" s="214"/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/>
      <c r="Z71" s="214"/>
      <c r="AA71" s="214"/>
      <c r="AB71" s="214"/>
      <c r="AC71" s="214"/>
      <c r="AD71" s="207"/>
      <c r="AE71" s="323"/>
      <c r="AF71" s="323"/>
      <c r="AG71" s="323"/>
      <c r="AH71" s="323"/>
      <c r="AI71" s="323"/>
      <c r="AJ71" s="323"/>
      <c r="AK71" s="323"/>
      <c r="AL71" s="323"/>
      <c r="AM71" s="323"/>
      <c r="AN71" s="323"/>
      <c r="AO71" s="323"/>
      <c r="AP71" s="323"/>
      <c r="AQ71" s="323"/>
      <c r="AR71" s="323"/>
      <c r="AS71" s="323"/>
      <c r="AT71" s="323"/>
      <c r="AU71"/>
      <c r="AV71"/>
      <c r="AW71"/>
      <c r="AX71"/>
      <c r="AY71"/>
      <c r="AZ71"/>
      <c r="BA71"/>
      <c r="BB71"/>
      <c r="BC71"/>
      <c r="BD71" s="207"/>
      <c r="BE71" s="207"/>
      <c r="BF71" s="207"/>
      <c r="BG71" s="207"/>
      <c r="BH71" s="207"/>
      <c r="BI71" s="207"/>
      <c r="BJ71" s="207"/>
      <c r="BK71" s="207"/>
      <c r="BL71" s="207"/>
      <c r="BM71" s="207"/>
      <c r="BN71" s="207"/>
      <c r="BO71" s="207"/>
      <c r="BP71" s="207"/>
      <c r="BQ71" s="207"/>
      <c r="BR71" s="207"/>
      <c r="BS71" s="207"/>
      <c r="BT71" s="207"/>
      <c r="BU71" s="207"/>
      <c r="BV71" s="207"/>
      <c r="BW71" s="207"/>
      <c r="BX71" s="207"/>
      <c r="BY71" s="207"/>
      <c r="BZ71" s="207"/>
      <c r="CA71" s="207"/>
      <c r="CB71" s="207"/>
      <c r="CC71" s="207"/>
      <c r="CD71" s="207"/>
      <c r="CE71" s="207"/>
      <c r="CF71" s="207"/>
      <c r="CG71" s="207"/>
      <c r="CH71" s="207"/>
      <c r="CI71" s="207"/>
      <c r="CJ71" s="207"/>
      <c r="CK71" s="207"/>
      <c r="CL71" s="207"/>
      <c r="CM71" s="207"/>
      <c r="CN71" s="207"/>
      <c r="CO71" s="207"/>
      <c r="CP71" s="207"/>
      <c r="CQ71" s="207"/>
      <c r="CR71" s="207"/>
      <c r="CS71" s="207"/>
      <c r="CT71" s="207"/>
      <c r="CU71" s="207"/>
      <c r="CV71" s="207"/>
      <c r="CW71" s="207"/>
      <c r="CX71" s="207"/>
      <c r="CY71" s="207"/>
      <c r="CZ71" s="207"/>
      <c r="DA71" s="207"/>
      <c r="DB71" s="207"/>
      <c r="DC71" s="207"/>
      <c r="DD71" s="207"/>
      <c r="DE71" s="207"/>
      <c r="DF71" s="207"/>
      <c r="DG71" s="207"/>
      <c r="DH71" s="207"/>
      <c r="DI71" s="207"/>
      <c r="DJ71" s="207"/>
      <c r="DK71" s="207"/>
      <c r="DL71" s="207"/>
      <c r="DM71" s="207"/>
      <c r="DN71" s="207"/>
      <c r="DO71" s="207"/>
      <c r="DP71" s="207"/>
      <c r="DQ71" s="207"/>
      <c r="DR71" s="207"/>
      <c r="DS71" s="207"/>
      <c r="DT71" s="207"/>
      <c r="DU71" s="207"/>
      <c r="DV71" s="207"/>
      <c r="DW71" s="207"/>
      <c r="DX71" s="207"/>
      <c r="DY71" s="207"/>
      <c r="DZ71" s="207"/>
      <c r="EA71" s="207"/>
      <c r="EB71" s="207"/>
      <c r="EC71" s="207"/>
      <c r="ED71" s="207"/>
      <c r="EE71" s="207"/>
      <c r="EF71" s="207"/>
      <c r="EG71" s="207"/>
      <c r="EH71" s="207"/>
      <c r="EI71" s="207"/>
      <c r="EJ71" s="207"/>
      <c r="EK71" s="207"/>
      <c r="EL71" s="207"/>
      <c r="EM71" s="207"/>
      <c r="EN71" s="207"/>
      <c r="EO71" s="207"/>
      <c r="EP71" s="207"/>
      <c r="EQ71" s="207"/>
      <c r="ER71" s="207"/>
      <c r="ES71" s="207"/>
      <c r="ET71" s="207"/>
      <c r="EU71" s="207"/>
      <c r="EV71" s="207"/>
      <c r="EW71" s="207"/>
      <c r="EX71" s="207"/>
      <c r="EY71" s="207"/>
      <c r="EZ71" s="207"/>
      <c r="FA71" s="207"/>
      <c r="FB71" s="207"/>
      <c r="FC71" s="207"/>
      <c r="FD71" s="207"/>
      <c r="FE71" s="207"/>
      <c r="FF71" s="207"/>
      <c r="FG71" s="207"/>
      <c r="FH71" s="207"/>
      <c r="FI71" s="207"/>
      <c r="FJ71" s="207"/>
      <c r="FK71" s="207"/>
      <c r="FL71" s="207"/>
      <c r="FM71" s="207"/>
      <c r="FN71" s="207"/>
      <c r="FO71" s="207"/>
      <c r="FP71" s="207"/>
      <c r="FQ71" s="207"/>
      <c r="FR71" s="207"/>
      <c r="FS71" s="207"/>
      <c r="FT71" s="207"/>
      <c r="FU71" s="207"/>
      <c r="FV71" s="207"/>
      <c r="FW71" s="207"/>
      <c r="FX71" s="207"/>
      <c r="FY71" s="207"/>
      <c r="FZ71" s="207"/>
      <c r="GA71" s="207"/>
      <c r="GB71" s="207"/>
      <c r="GC71" s="207"/>
      <c r="GD71" s="207"/>
      <c r="GE71" s="207"/>
      <c r="GF71" s="207"/>
      <c r="GG71" s="207"/>
      <c r="GH71" s="207"/>
      <c r="GI71" s="207"/>
      <c r="GJ71" s="207"/>
      <c r="GK71" s="207"/>
      <c r="GL71" s="207"/>
      <c r="GM71" s="207"/>
      <c r="GN71" s="207"/>
      <c r="GO71" s="207"/>
      <c r="GP71" s="207"/>
      <c r="GQ71" s="207"/>
      <c r="GR71" s="207"/>
      <c r="GS71" s="207"/>
      <c r="GT71" s="207"/>
      <c r="GU71" s="207"/>
      <c r="GV71" s="207"/>
      <c r="GW71" s="207"/>
      <c r="GX71" s="207"/>
      <c r="GY71" s="207"/>
      <c r="GZ71" s="207"/>
      <c r="HA71" s="207"/>
      <c r="HB71" s="207"/>
      <c r="HC71" s="207"/>
      <c r="HD71" s="207"/>
      <c r="HE71" s="207"/>
      <c r="HF71" s="207"/>
      <c r="HG71" s="207"/>
      <c r="HH71" s="207"/>
      <c r="HI71" s="207"/>
      <c r="HJ71" s="207"/>
      <c r="HK71" s="207"/>
      <c r="HL71" s="207"/>
      <c r="HM71" s="207"/>
      <c r="HN71" s="207"/>
      <c r="HO71" s="207"/>
      <c r="HP71" s="207"/>
      <c r="HQ71" s="207"/>
      <c r="HR71" s="207"/>
      <c r="HS71" s="207"/>
      <c r="HT71" s="207"/>
      <c r="HU71" s="207"/>
      <c r="HV71" s="207"/>
      <c r="HW71" s="207"/>
      <c r="HX71" s="207"/>
      <c r="HY71" s="207"/>
      <c r="HZ71" s="207"/>
      <c r="IA71" s="207"/>
      <c r="IB71" s="207"/>
      <c r="IC71" s="207"/>
      <c r="ID71" s="207"/>
      <c r="IE71" s="207"/>
      <c r="IF71" s="207"/>
      <c r="IG71" s="207"/>
      <c r="IH71" s="207"/>
      <c r="II71" s="207"/>
      <c r="IJ71" s="207"/>
      <c r="IK71" s="207"/>
      <c r="IL71" s="207"/>
      <c r="IM71" s="207"/>
      <c r="IN71" s="207"/>
      <c r="IO71" s="207"/>
      <c r="IP71" s="207"/>
      <c r="IQ71" s="207"/>
      <c r="IR71" s="207"/>
      <c r="IS71" s="207"/>
      <c r="IT71" s="207"/>
      <c r="IU71" s="207"/>
      <c r="IV71" s="207"/>
    </row>
    <row r="72" spans="1:256" s="212" customFormat="1" ht="13.2">
      <c r="A72" s="214"/>
      <c r="B72" s="214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4"/>
      <c r="AB72" s="214"/>
      <c r="AC72" s="294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7"/>
      <c r="AS72" s="207"/>
      <c r="AT72" s="207"/>
      <c r="AU72"/>
      <c r="AV72"/>
      <c r="AW72"/>
      <c r="AX72"/>
      <c r="AY72"/>
      <c r="AZ72"/>
      <c r="BA72"/>
      <c r="BB72"/>
      <c r="BC72"/>
      <c r="BD72" s="207"/>
      <c r="BE72" s="207"/>
      <c r="BF72" s="207"/>
      <c r="BG72" s="207"/>
      <c r="BH72" s="207"/>
      <c r="BI72" s="207"/>
      <c r="BJ72" s="207"/>
      <c r="BK72" s="207"/>
      <c r="BL72" s="207"/>
      <c r="BM72" s="207"/>
      <c r="BN72" s="207"/>
      <c r="BO72" s="207"/>
      <c r="BP72" s="207"/>
      <c r="BQ72" s="207"/>
      <c r="BR72" s="207"/>
      <c r="BS72" s="207"/>
      <c r="BT72" s="207"/>
      <c r="BU72" s="207"/>
      <c r="BV72" s="207"/>
      <c r="BW72" s="207"/>
      <c r="BX72" s="207"/>
      <c r="BY72" s="207"/>
      <c r="BZ72" s="207"/>
      <c r="CA72" s="207"/>
      <c r="CB72" s="207"/>
      <c r="CC72" s="207"/>
      <c r="CD72" s="207"/>
      <c r="CE72" s="207"/>
      <c r="CF72" s="207"/>
      <c r="CG72" s="207"/>
      <c r="CH72" s="207"/>
      <c r="CI72" s="207"/>
      <c r="CJ72" s="207"/>
      <c r="CK72" s="207"/>
      <c r="CL72" s="207"/>
      <c r="CM72" s="207"/>
      <c r="CN72" s="207"/>
      <c r="CO72" s="207"/>
      <c r="CP72" s="207"/>
      <c r="CQ72" s="207"/>
      <c r="CR72" s="207"/>
      <c r="CS72" s="207"/>
      <c r="CT72" s="207"/>
      <c r="CU72" s="207"/>
      <c r="CV72" s="207"/>
      <c r="CW72" s="207"/>
      <c r="CX72" s="207"/>
      <c r="CY72" s="207"/>
      <c r="CZ72" s="207"/>
      <c r="DA72" s="207"/>
      <c r="DB72" s="207"/>
      <c r="DC72" s="207"/>
      <c r="DD72" s="207"/>
      <c r="DE72" s="207"/>
      <c r="DF72" s="207"/>
      <c r="DG72" s="207"/>
      <c r="DH72" s="207"/>
      <c r="DI72" s="207"/>
      <c r="DJ72" s="207"/>
      <c r="DK72" s="207"/>
      <c r="DL72" s="207"/>
      <c r="DM72" s="207"/>
      <c r="DN72" s="207"/>
      <c r="DO72" s="207"/>
      <c r="DP72" s="207"/>
      <c r="DQ72" s="207"/>
      <c r="DR72" s="207"/>
      <c r="DS72" s="207"/>
      <c r="DT72" s="207"/>
      <c r="DU72" s="207"/>
      <c r="DV72" s="207"/>
      <c r="DW72" s="207"/>
      <c r="DX72" s="207"/>
      <c r="DY72" s="207"/>
      <c r="DZ72" s="207"/>
      <c r="EA72" s="207"/>
      <c r="EB72" s="207"/>
      <c r="EC72" s="207"/>
      <c r="ED72" s="207"/>
      <c r="EE72" s="207"/>
      <c r="EF72" s="207"/>
      <c r="EG72" s="207"/>
      <c r="EH72" s="207"/>
      <c r="EI72" s="207"/>
      <c r="EJ72" s="207"/>
      <c r="EK72" s="207"/>
      <c r="EL72" s="207"/>
      <c r="EM72" s="207"/>
      <c r="EN72" s="207"/>
      <c r="EO72" s="207"/>
      <c r="EP72" s="207"/>
      <c r="EQ72" s="207"/>
      <c r="ER72" s="207"/>
      <c r="ES72" s="207"/>
      <c r="ET72" s="207"/>
      <c r="EU72" s="207"/>
      <c r="EV72" s="207"/>
      <c r="EW72" s="207"/>
      <c r="EX72" s="207"/>
      <c r="EY72" s="207"/>
      <c r="EZ72" s="207"/>
      <c r="FA72" s="207"/>
      <c r="FB72" s="207"/>
      <c r="FC72" s="207"/>
      <c r="FD72" s="207"/>
      <c r="FE72" s="207"/>
      <c r="FF72" s="207"/>
      <c r="FG72" s="207"/>
      <c r="FH72" s="207"/>
      <c r="FI72" s="207"/>
      <c r="FJ72" s="207"/>
      <c r="FK72" s="207"/>
      <c r="FL72" s="207"/>
      <c r="FM72" s="207"/>
      <c r="FN72" s="207"/>
      <c r="FO72" s="207"/>
      <c r="FP72" s="207"/>
      <c r="FQ72" s="207"/>
      <c r="FR72" s="207"/>
      <c r="FS72" s="207"/>
      <c r="FT72" s="207"/>
      <c r="FU72" s="207"/>
      <c r="FV72" s="207"/>
      <c r="FW72" s="207"/>
      <c r="FX72" s="207"/>
      <c r="FY72" s="207"/>
      <c r="FZ72" s="207"/>
      <c r="GA72" s="207"/>
      <c r="GB72" s="207"/>
      <c r="GC72" s="207"/>
      <c r="GD72" s="207"/>
      <c r="GE72" s="207"/>
      <c r="GF72" s="207"/>
      <c r="GG72" s="207"/>
      <c r="GH72" s="207"/>
      <c r="GI72" s="207"/>
      <c r="GJ72" s="207"/>
      <c r="GK72" s="207"/>
      <c r="GL72" s="207"/>
      <c r="GM72" s="207"/>
      <c r="GN72" s="207"/>
      <c r="GO72" s="207"/>
      <c r="GP72" s="207"/>
      <c r="GQ72" s="207"/>
      <c r="GR72" s="207"/>
      <c r="GS72" s="207"/>
      <c r="GT72" s="207"/>
      <c r="GU72" s="207"/>
      <c r="GV72" s="207"/>
      <c r="GW72" s="207"/>
      <c r="GX72" s="207"/>
      <c r="GY72" s="207"/>
      <c r="GZ72" s="207"/>
      <c r="HA72" s="207"/>
      <c r="HB72" s="207"/>
      <c r="HC72" s="207"/>
      <c r="HD72" s="207"/>
      <c r="HE72" s="207"/>
      <c r="HF72" s="207"/>
      <c r="HG72" s="207"/>
      <c r="HH72" s="207"/>
      <c r="HI72" s="207"/>
      <c r="HJ72" s="207"/>
      <c r="HK72" s="207"/>
      <c r="HL72" s="207"/>
      <c r="HM72" s="207"/>
      <c r="HN72" s="207"/>
      <c r="HO72" s="207"/>
      <c r="HP72" s="207"/>
      <c r="HQ72" s="207"/>
      <c r="HR72" s="207"/>
      <c r="HS72" s="207"/>
      <c r="HT72" s="207"/>
      <c r="HU72" s="207"/>
      <c r="HV72" s="207"/>
      <c r="HW72" s="207"/>
      <c r="HX72" s="207"/>
      <c r="HY72" s="207"/>
      <c r="HZ72" s="207"/>
      <c r="IA72" s="207"/>
      <c r="IB72" s="207"/>
      <c r="IC72" s="207"/>
      <c r="ID72" s="207"/>
      <c r="IE72" s="207"/>
      <c r="IF72" s="207"/>
      <c r="IG72" s="207"/>
      <c r="IH72" s="207"/>
      <c r="II72" s="207"/>
      <c r="IJ72" s="207"/>
      <c r="IK72" s="207"/>
      <c r="IL72" s="207"/>
      <c r="IM72" s="207"/>
      <c r="IN72" s="207"/>
      <c r="IO72" s="207"/>
      <c r="IP72" s="207"/>
      <c r="IQ72" s="207"/>
      <c r="IR72" s="207"/>
      <c r="IS72" s="207"/>
      <c r="IT72" s="207"/>
      <c r="IU72" s="207"/>
      <c r="IV72" s="207"/>
    </row>
    <row r="73" spans="1:256" s="212" customFormat="1" ht="13.2">
      <c r="A73" s="214"/>
      <c r="B73" s="214"/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214"/>
      <c r="AB73" s="214"/>
      <c r="AC73" s="214"/>
      <c r="AE73" s="318"/>
      <c r="AF73" s="318"/>
      <c r="AG73" s="318"/>
      <c r="AH73" s="318"/>
      <c r="AI73" s="318"/>
      <c r="AJ73" s="318"/>
      <c r="AK73" s="318"/>
      <c r="AL73" s="318"/>
      <c r="AM73" s="318"/>
      <c r="AN73" s="318"/>
      <c r="AO73" s="318"/>
      <c r="AP73" s="318"/>
      <c r="AQ73" s="318"/>
      <c r="AR73" s="318"/>
      <c r="AS73" s="318"/>
      <c r="AT73" s="318"/>
      <c r="AU73"/>
      <c r="AV73"/>
      <c r="AW73"/>
      <c r="AX73"/>
      <c r="AY73"/>
      <c r="AZ73"/>
      <c r="BA73"/>
      <c r="BB73"/>
      <c r="BC73"/>
      <c r="BF73" s="207"/>
    </row>
    <row r="74" spans="1:256" s="212" customFormat="1" ht="13.2">
      <c r="A74" s="214"/>
      <c r="B74" s="214"/>
      <c r="C74" s="214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/>
      <c r="Z74" s="214"/>
      <c r="AA74" s="214"/>
      <c r="AB74" s="214"/>
      <c r="AC74" s="214"/>
      <c r="AE74" s="319"/>
      <c r="AF74" s="318"/>
      <c r="AG74" s="318"/>
      <c r="AH74" s="318"/>
      <c r="AI74" s="318"/>
      <c r="AJ74" s="318"/>
      <c r="AK74" s="318"/>
      <c r="AL74" s="318"/>
      <c r="AM74" s="318"/>
      <c r="AN74" s="318"/>
      <c r="AO74" s="318"/>
      <c r="AP74" s="318"/>
      <c r="AQ74" s="318"/>
      <c r="AR74" s="318"/>
      <c r="AS74" s="318"/>
      <c r="AT74" s="318"/>
      <c r="AU74"/>
      <c r="AV74"/>
      <c r="AW74"/>
      <c r="AX74"/>
      <c r="AY74"/>
      <c r="AZ74"/>
      <c r="BA74"/>
      <c r="BB74"/>
      <c r="BC74"/>
      <c r="BF74" s="207"/>
    </row>
    <row r="75" spans="1:256" s="212" customFormat="1" ht="15">
      <c r="A75" s="214"/>
      <c r="B75" s="214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214"/>
      <c r="AA75" s="214"/>
      <c r="AB75" s="214"/>
      <c r="AC75" s="214"/>
      <c r="AE75" s="320"/>
      <c r="AF75" s="320"/>
      <c r="AG75" s="320"/>
      <c r="AH75" s="320"/>
      <c r="AI75" s="320"/>
      <c r="AJ75" s="320"/>
      <c r="AK75" s="320"/>
      <c r="AL75" s="320"/>
      <c r="AM75" s="320"/>
      <c r="AN75" s="320"/>
      <c r="AO75" s="320"/>
      <c r="AP75" s="320"/>
      <c r="AQ75" s="320"/>
      <c r="AR75" s="320"/>
      <c r="AS75" s="320"/>
      <c r="AT75" s="320"/>
      <c r="AU75"/>
      <c r="AV75"/>
      <c r="AW75"/>
      <c r="AX75"/>
      <c r="AY75"/>
      <c r="AZ75"/>
      <c r="BA75"/>
      <c r="BB75"/>
      <c r="BC75"/>
      <c r="BF75" s="207"/>
    </row>
    <row r="76" spans="1:256" s="207" customFormat="1" ht="12.6" customHeight="1">
      <c r="A76" s="214"/>
      <c r="B76" s="214"/>
      <c r="C76" s="214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  <c r="AA76" s="214"/>
      <c r="AB76" s="214"/>
      <c r="AC76" s="214"/>
      <c r="AD76" s="212"/>
      <c r="AE76" s="318"/>
      <c r="AF76" s="318"/>
      <c r="AG76" s="318"/>
      <c r="AH76" s="318"/>
      <c r="AI76" s="318"/>
      <c r="AJ76" s="318"/>
      <c r="AK76" s="318"/>
      <c r="AL76" s="318"/>
      <c r="AM76" s="318"/>
      <c r="AN76" s="318"/>
      <c r="AO76" s="318"/>
      <c r="AP76" s="318"/>
      <c r="AQ76" s="318"/>
      <c r="AR76" s="318"/>
      <c r="AS76" s="318"/>
      <c r="AT76" s="318"/>
      <c r="AU76"/>
      <c r="AV76"/>
      <c r="AW76"/>
      <c r="AX76"/>
      <c r="AY76"/>
      <c r="AZ76"/>
      <c r="BA76"/>
      <c r="BB76"/>
      <c r="BC76"/>
      <c r="BD76" s="212"/>
      <c r="BE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2"/>
      <c r="BW76" s="212"/>
      <c r="BX76" s="212"/>
      <c r="BY76" s="212"/>
      <c r="BZ76" s="212"/>
      <c r="CA76" s="212"/>
      <c r="CB76" s="212"/>
      <c r="CC76" s="212"/>
      <c r="CD76" s="212"/>
      <c r="CE76" s="212"/>
      <c r="CF76" s="212"/>
      <c r="CG76" s="212"/>
      <c r="CH76" s="212"/>
      <c r="CI76" s="212"/>
      <c r="CJ76" s="212"/>
      <c r="CK76" s="212"/>
      <c r="CL76" s="212"/>
      <c r="CM76" s="212"/>
      <c r="CN76" s="212"/>
      <c r="CO76" s="212"/>
      <c r="CP76" s="212"/>
      <c r="CQ76" s="212"/>
      <c r="CR76" s="212"/>
      <c r="CS76" s="212"/>
      <c r="CT76" s="212"/>
      <c r="CU76" s="212"/>
      <c r="CV76" s="212"/>
      <c r="CW76" s="212"/>
      <c r="CX76" s="212"/>
      <c r="CY76" s="212"/>
      <c r="CZ76" s="212"/>
      <c r="DA76" s="212"/>
      <c r="DB76" s="212"/>
      <c r="DC76" s="212"/>
      <c r="DD76" s="212"/>
      <c r="DE76" s="212"/>
      <c r="DF76" s="212"/>
      <c r="DG76" s="212"/>
      <c r="DH76" s="212"/>
      <c r="DI76" s="212"/>
      <c r="DJ76" s="212"/>
      <c r="DK76" s="212"/>
      <c r="DL76" s="212"/>
      <c r="DM76" s="212"/>
      <c r="DN76" s="212"/>
      <c r="DO76" s="212"/>
      <c r="DP76" s="212"/>
      <c r="DQ76" s="212"/>
      <c r="DR76" s="212"/>
      <c r="DS76" s="212"/>
      <c r="DT76" s="212"/>
      <c r="DU76" s="212"/>
      <c r="DV76" s="212"/>
      <c r="DW76" s="212"/>
      <c r="DX76" s="212"/>
      <c r="DY76" s="212"/>
      <c r="DZ76" s="212"/>
      <c r="EA76" s="212"/>
      <c r="EB76" s="212"/>
      <c r="EC76" s="212"/>
      <c r="ED76" s="212"/>
      <c r="EE76" s="212"/>
      <c r="EF76" s="212"/>
      <c r="EG76" s="212"/>
      <c r="EH76" s="212"/>
      <c r="EI76" s="212"/>
      <c r="EJ76" s="212"/>
      <c r="EK76" s="212"/>
      <c r="EL76" s="212"/>
      <c r="EM76" s="212"/>
      <c r="EN76" s="212"/>
      <c r="EO76" s="212"/>
      <c r="EP76" s="212"/>
      <c r="EQ76" s="212"/>
      <c r="ER76" s="212"/>
      <c r="ES76" s="212"/>
      <c r="ET76" s="212"/>
      <c r="EU76" s="212"/>
      <c r="EV76" s="212"/>
      <c r="EW76" s="212"/>
      <c r="EX76" s="212"/>
      <c r="EY76" s="212"/>
      <c r="EZ76" s="212"/>
      <c r="FA76" s="212"/>
      <c r="FB76" s="212"/>
      <c r="FC76" s="212"/>
      <c r="FD76" s="212"/>
      <c r="FE76" s="212"/>
      <c r="FF76" s="212"/>
      <c r="FG76" s="212"/>
      <c r="FH76" s="212"/>
      <c r="FI76" s="212"/>
      <c r="FJ76" s="212"/>
      <c r="FK76" s="212"/>
      <c r="FL76" s="212"/>
      <c r="FM76" s="212"/>
      <c r="FN76" s="212"/>
      <c r="FO76" s="212"/>
      <c r="FP76" s="212"/>
      <c r="FQ76" s="212"/>
      <c r="FR76" s="212"/>
      <c r="FS76" s="212"/>
      <c r="FT76" s="212"/>
      <c r="FU76" s="212"/>
      <c r="FV76" s="212"/>
      <c r="FW76" s="212"/>
      <c r="FX76" s="212"/>
      <c r="FY76" s="212"/>
      <c r="FZ76" s="212"/>
      <c r="GA76" s="212"/>
      <c r="GB76" s="212"/>
      <c r="GC76" s="212"/>
      <c r="GD76" s="212"/>
      <c r="GE76" s="212"/>
      <c r="GF76" s="212"/>
      <c r="GG76" s="212"/>
      <c r="GH76" s="212"/>
      <c r="GI76" s="212"/>
      <c r="GJ76" s="212"/>
      <c r="GK76" s="212"/>
      <c r="GL76" s="212"/>
      <c r="GM76" s="212"/>
      <c r="GN76" s="212"/>
      <c r="GO76" s="212"/>
      <c r="GP76" s="212"/>
      <c r="GQ76" s="212"/>
      <c r="GR76" s="212"/>
      <c r="GS76" s="212"/>
      <c r="GT76" s="212"/>
      <c r="GU76" s="212"/>
      <c r="GV76" s="212"/>
      <c r="GW76" s="212"/>
      <c r="GX76" s="212"/>
      <c r="GY76" s="212"/>
      <c r="GZ76" s="212"/>
      <c r="HA76" s="212"/>
      <c r="HB76" s="212"/>
      <c r="HC76" s="212"/>
      <c r="HD76" s="212"/>
      <c r="HE76" s="212"/>
      <c r="HF76" s="212"/>
      <c r="HG76" s="212"/>
      <c r="HH76" s="212"/>
      <c r="HI76" s="212"/>
      <c r="HJ76" s="212"/>
      <c r="HK76" s="212"/>
      <c r="HL76" s="212"/>
      <c r="HM76" s="212"/>
      <c r="HN76" s="212"/>
      <c r="HO76" s="212"/>
      <c r="HP76" s="212"/>
      <c r="HQ76" s="212"/>
      <c r="HR76" s="212"/>
      <c r="HS76" s="212"/>
      <c r="HT76" s="212"/>
      <c r="HU76" s="212"/>
      <c r="HV76" s="212"/>
      <c r="HW76" s="212"/>
      <c r="HX76" s="212"/>
      <c r="HY76" s="212"/>
      <c r="HZ76" s="212"/>
      <c r="IA76" s="212"/>
      <c r="IB76" s="212"/>
      <c r="IC76" s="212"/>
      <c r="ID76" s="212"/>
      <c r="IE76" s="212"/>
      <c r="IF76" s="212"/>
      <c r="IG76" s="212"/>
      <c r="IH76" s="212"/>
      <c r="II76" s="212"/>
      <c r="IJ76" s="212"/>
      <c r="IK76" s="212"/>
      <c r="IL76" s="212"/>
      <c r="IM76" s="212"/>
      <c r="IN76" s="212"/>
      <c r="IO76" s="212"/>
      <c r="IP76" s="212"/>
      <c r="IQ76" s="212"/>
      <c r="IR76" s="212"/>
      <c r="IS76" s="212"/>
      <c r="IT76" s="212"/>
      <c r="IU76" s="212"/>
      <c r="IV76" s="212"/>
    </row>
    <row r="77" spans="1:256" s="207" customFormat="1" ht="12.6" customHeight="1">
      <c r="A77" s="214"/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214"/>
      <c r="Y77" s="214"/>
      <c r="Z77" s="214"/>
      <c r="AA77" s="294"/>
      <c r="AB77" s="294"/>
      <c r="AC77" s="214"/>
      <c r="AD77" s="212"/>
      <c r="AE77" s="318"/>
      <c r="AF77" s="318"/>
      <c r="AG77" s="318"/>
      <c r="AH77" s="318"/>
      <c r="AI77" s="318"/>
      <c r="AJ77" s="318"/>
      <c r="AK77" s="318"/>
      <c r="AL77" s="318"/>
      <c r="AM77" s="318"/>
      <c r="AN77" s="318"/>
      <c r="AO77" s="318"/>
      <c r="AP77" s="318"/>
      <c r="AQ77" s="318"/>
      <c r="AR77" s="318"/>
      <c r="AS77" s="318"/>
      <c r="AT77" s="318"/>
      <c r="AU77"/>
      <c r="AV77"/>
      <c r="AW77"/>
      <c r="AX77"/>
      <c r="AY77"/>
      <c r="AZ77"/>
      <c r="BA77"/>
      <c r="BB77"/>
      <c r="BC77"/>
      <c r="BD77" s="212"/>
      <c r="BE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2"/>
      <c r="BW77" s="212"/>
      <c r="BX77" s="212"/>
      <c r="BY77" s="212"/>
      <c r="BZ77" s="212"/>
      <c r="CA77" s="212"/>
      <c r="CB77" s="212"/>
      <c r="CC77" s="212"/>
      <c r="CD77" s="212"/>
      <c r="CE77" s="212"/>
      <c r="CF77" s="212"/>
      <c r="CG77" s="212"/>
      <c r="CH77" s="212"/>
      <c r="CI77" s="212"/>
      <c r="CJ77" s="212"/>
      <c r="CK77" s="212"/>
      <c r="CL77" s="212"/>
      <c r="CM77" s="212"/>
      <c r="CN77" s="212"/>
      <c r="CO77" s="212"/>
      <c r="CP77" s="212"/>
      <c r="CQ77" s="212"/>
      <c r="CR77" s="212"/>
      <c r="CS77" s="212"/>
      <c r="CT77" s="212"/>
      <c r="CU77" s="212"/>
      <c r="CV77" s="212"/>
      <c r="CW77" s="212"/>
      <c r="CX77" s="212"/>
      <c r="CY77" s="212"/>
      <c r="CZ77" s="212"/>
      <c r="DA77" s="212"/>
      <c r="DB77" s="212"/>
      <c r="DC77" s="212"/>
      <c r="DD77" s="212"/>
      <c r="DE77" s="212"/>
      <c r="DF77" s="212"/>
      <c r="DG77" s="212"/>
      <c r="DH77" s="212"/>
      <c r="DI77" s="212"/>
      <c r="DJ77" s="212"/>
      <c r="DK77" s="212"/>
      <c r="DL77" s="212"/>
      <c r="DM77" s="212"/>
      <c r="DN77" s="212"/>
      <c r="DO77" s="212"/>
      <c r="DP77" s="212"/>
      <c r="DQ77" s="212"/>
      <c r="DR77" s="212"/>
      <c r="DS77" s="212"/>
      <c r="DT77" s="212"/>
      <c r="DU77" s="212"/>
      <c r="DV77" s="212"/>
      <c r="DW77" s="212"/>
      <c r="DX77" s="212"/>
      <c r="DY77" s="212"/>
      <c r="DZ77" s="212"/>
      <c r="EA77" s="212"/>
      <c r="EB77" s="212"/>
      <c r="EC77" s="212"/>
      <c r="ED77" s="212"/>
      <c r="EE77" s="212"/>
      <c r="EF77" s="212"/>
      <c r="EG77" s="212"/>
      <c r="EH77" s="212"/>
      <c r="EI77" s="212"/>
      <c r="EJ77" s="212"/>
      <c r="EK77" s="212"/>
      <c r="EL77" s="212"/>
      <c r="EM77" s="212"/>
      <c r="EN77" s="212"/>
      <c r="EO77" s="212"/>
      <c r="EP77" s="212"/>
      <c r="EQ77" s="212"/>
      <c r="ER77" s="212"/>
      <c r="ES77" s="212"/>
      <c r="ET77" s="212"/>
      <c r="EU77" s="212"/>
      <c r="EV77" s="212"/>
      <c r="EW77" s="212"/>
      <c r="EX77" s="212"/>
      <c r="EY77" s="212"/>
      <c r="EZ77" s="212"/>
      <c r="FA77" s="212"/>
      <c r="FB77" s="212"/>
      <c r="FC77" s="212"/>
      <c r="FD77" s="212"/>
      <c r="FE77" s="212"/>
      <c r="FF77" s="212"/>
      <c r="FG77" s="212"/>
      <c r="FH77" s="212"/>
      <c r="FI77" s="212"/>
      <c r="FJ77" s="212"/>
      <c r="FK77" s="212"/>
      <c r="FL77" s="212"/>
      <c r="FM77" s="212"/>
      <c r="FN77" s="212"/>
      <c r="FO77" s="212"/>
      <c r="FP77" s="212"/>
      <c r="FQ77" s="212"/>
      <c r="FR77" s="212"/>
      <c r="FS77" s="212"/>
      <c r="FT77" s="212"/>
      <c r="FU77" s="212"/>
      <c r="FV77" s="212"/>
      <c r="FW77" s="212"/>
      <c r="FX77" s="212"/>
      <c r="FY77" s="212"/>
      <c r="FZ77" s="212"/>
      <c r="GA77" s="212"/>
      <c r="GB77" s="212"/>
      <c r="GC77" s="212"/>
      <c r="GD77" s="212"/>
      <c r="GE77" s="212"/>
      <c r="GF77" s="212"/>
      <c r="GG77" s="212"/>
      <c r="GH77" s="212"/>
      <c r="GI77" s="212"/>
      <c r="GJ77" s="212"/>
      <c r="GK77" s="212"/>
      <c r="GL77" s="212"/>
      <c r="GM77" s="212"/>
      <c r="GN77" s="212"/>
      <c r="GO77" s="212"/>
      <c r="GP77" s="212"/>
      <c r="GQ77" s="212"/>
      <c r="GR77" s="212"/>
      <c r="GS77" s="212"/>
      <c r="GT77" s="212"/>
      <c r="GU77" s="212"/>
      <c r="GV77" s="212"/>
      <c r="GW77" s="212"/>
      <c r="GX77" s="212"/>
      <c r="GY77" s="212"/>
      <c r="GZ77" s="212"/>
      <c r="HA77" s="212"/>
      <c r="HB77" s="212"/>
      <c r="HC77" s="212"/>
      <c r="HD77" s="212"/>
      <c r="HE77" s="212"/>
      <c r="HF77" s="212"/>
      <c r="HG77" s="212"/>
      <c r="HH77" s="212"/>
      <c r="HI77" s="212"/>
      <c r="HJ77" s="212"/>
      <c r="HK77" s="212"/>
      <c r="HL77" s="212"/>
      <c r="HM77" s="212"/>
      <c r="HN77" s="212"/>
      <c r="HO77" s="212"/>
      <c r="HP77" s="212"/>
      <c r="HQ77" s="212"/>
      <c r="HR77" s="212"/>
      <c r="HS77" s="212"/>
      <c r="HT77" s="212"/>
      <c r="HU77" s="212"/>
      <c r="HV77" s="212"/>
      <c r="HW77" s="212"/>
      <c r="HX77" s="212"/>
      <c r="HY77" s="212"/>
      <c r="HZ77" s="212"/>
      <c r="IA77" s="212"/>
      <c r="IB77" s="212"/>
      <c r="IC77" s="212"/>
      <c r="ID77" s="212"/>
      <c r="IE77" s="212"/>
      <c r="IF77" s="212"/>
      <c r="IG77" s="212"/>
      <c r="IH77" s="212"/>
      <c r="II77" s="212"/>
      <c r="IJ77" s="212"/>
      <c r="IK77" s="212"/>
      <c r="IL77" s="212"/>
      <c r="IM77" s="212"/>
      <c r="IN77" s="212"/>
      <c r="IO77" s="212"/>
      <c r="IP77" s="212"/>
      <c r="IQ77" s="212"/>
      <c r="IR77" s="212"/>
      <c r="IS77" s="212"/>
      <c r="IT77" s="212"/>
      <c r="IU77" s="212"/>
      <c r="IV77" s="212"/>
    </row>
    <row r="78" spans="1:256" s="212" customFormat="1" ht="12.6" customHeight="1">
      <c r="A78" s="214"/>
      <c r="B78" s="214"/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07"/>
      <c r="AE78" s="450"/>
      <c r="AF78" s="450"/>
      <c r="AG78" s="450"/>
      <c r="AH78" s="450"/>
      <c r="AI78" s="450"/>
      <c r="AJ78" s="450"/>
      <c r="AK78" s="450"/>
      <c r="AL78" s="450"/>
      <c r="AM78" s="450"/>
      <c r="AN78" s="450"/>
      <c r="AO78" s="450"/>
      <c r="AP78" s="450"/>
      <c r="AQ78" s="450"/>
      <c r="AR78" s="450"/>
      <c r="AS78" s="450"/>
      <c r="AT78" s="450"/>
      <c r="AU78"/>
      <c r="AV78"/>
      <c r="AW78"/>
      <c r="AX78"/>
      <c r="AY78"/>
      <c r="AZ78"/>
      <c r="BA78"/>
      <c r="BB78"/>
      <c r="BC78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7"/>
      <c r="BW78" s="207"/>
      <c r="BX78" s="207"/>
      <c r="BY78" s="207"/>
      <c r="BZ78" s="207"/>
      <c r="CA78" s="207"/>
      <c r="CB78" s="207"/>
      <c r="CC78" s="207"/>
      <c r="CD78" s="207"/>
      <c r="CE78" s="207"/>
      <c r="CF78" s="207"/>
      <c r="CG78" s="207"/>
      <c r="CH78" s="207"/>
      <c r="CI78" s="207"/>
      <c r="CJ78" s="207"/>
      <c r="CK78" s="207"/>
      <c r="CL78" s="207"/>
      <c r="CM78" s="207"/>
      <c r="CN78" s="207"/>
      <c r="CO78" s="207"/>
      <c r="CP78" s="207"/>
      <c r="CQ78" s="207"/>
      <c r="CR78" s="207"/>
      <c r="CS78" s="207"/>
      <c r="CT78" s="207"/>
      <c r="CU78" s="207"/>
      <c r="CV78" s="207"/>
      <c r="CW78" s="207"/>
      <c r="CX78" s="207"/>
      <c r="CY78" s="207"/>
      <c r="CZ78" s="207"/>
      <c r="DA78" s="207"/>
      <c r="DB78" s="207"/>
      <c r="DC78" s="207"/>
      <c r="DD78" s="207"/>
      <c r="DE78" s="207"/>
      <c r="DF78" s="207"/>
      <c r="DG78" s="207"/>
      <c r="DH78" s="207"/>
      <c r="DI78" s="207"/>
      <c r="DJ78" s="207"/>
      <c r="DK78" s="207"/>
      <c r="DL78" s="207"/>
      <c r="DM78" s="207"/>
      <c r="DN78" s="207"/>
      <c r="DO78" s="207"/>
      <c r="DP78" s="207"/>
      <c r="DQ78" s="207"/>
      <c r="DR78" s="207"/>
      <c r="DS78" s="207"/>
      <c r="DT78" s="207"/>
      <c r="DU78" s="207"/>
      <c r="DV78" s="207"/>
      <c r="DW78" s="207"/>
      <c r="DX78" s="207"/>
      <c r="DY78" s="207"/>
      <c r="DZ78" s="207"/>
      <c r="EA78" s="207"/>
      <c r="EB78" s="207"/>
      <c r="EC78" s="207"/>
      <c r="ED78" s="207"/>
      <c r="EE78" s="207"/>
      <c r="EF78" s="207"/>
      <c r="EG78" s="207"/>
      <c r="EH78" s="207"/>
      <c r="EI78" s="207"/>
      <c r="EJ78" s="207"/>
      <c r="EK78" s="207"/>
      <c r="EL78" s="207"/>
      <c r="EM78" s="207"/>
      <c r="EN78" s="207"/>
      <c r="EO78" s="207"/>
      <c r="EP78" s="207"/>
      <c r="EQ78" s="207"/>
      <c r="ER78" s="207"/>
      <c r="ES78" s="207"/>
      <c r="ET78" s="207"/>
      <c r="EU78" s="207"/>
      <c r="EV78" s="207"/>
      <c r="EW78" s="207"/>
      <c r="EX78" s="207"/>
      <c r="EY78" s="207"/>
      <c r="EZ78" s="207"/>
      <c r="FA78" s="207"/>
      <c r="FB78" s="207"/>
      <c r="FC78" s="207"/>
      <c r="FD78" s="207"/>
      <c r="FE78" s="207"/>
      <c r="FF78" s="207"/>
      <c r="FG78" s="207"/>
      <c r="FH78" s="207"/>
      <c r="FI78" s="207"/>
      <c r="FJ78" s="207"/>
      <c r="FK78" s="207"/>
      <c r="FL78" s="207"/>
      <c r="FM78" s="207"/>
      <c r="FN78" s="207"/>
      <c r="FO78" s="207"/>
      <c r="FP78" s="207"/>
      <c r="FQ78" s="207"/>
      <c r="FR78" s="207"/>
      <c r="FS78" s="207"/>
      <c r="FT78" s="207"/>
      <c r="FU78" s="207"/>
      <c r="FV78" s="207"/>
      <c r="FW78" s="207"/>
      <c r="FX78" s="207"/>
      <c r="FY78" s="207"/>
      <c r="FZ78" s="207"/>
      <c r="GA78" s="207"/>
      <c r="GB78" s="207"/>
      <c r="GC78" s="207"/>
      <c r="GD78" s="207"/>
      <c r="GE78" s="207"/>
      <c r="GF78" s="207"/>
      <c r="GG78" s="207"/>
      <c r="GH78" s="207"/>
      <c r="GI78" s="207"/>
      <c r="GJ78" s="207"/>
      <c r="GK78" s="207"/>
      <c r="GL78" s="207"/>
      <c r="GM78" s="207"/>
      <c r="GN78" s="207"/>
      <c r="GO78" s="207"/>
      <c r="GP78" s="207"/>
      <c r="GQ78" s="207"/>
      <c r="GR78" s="207"/>
      <c r="GS78" s="207"/>
      <c r="GT78" s="207"/>
      <c r="GU78" s="207"/>
      <c r="GV78" s="207"/>
      <c r="GW78" s="207"/>
      <c r="GX78" s="207"/>
      <c r="GY78" s="207"/>
      <c r="GZ78" s="207"/>
      <c r="HA78" s="207"/>
      <c r="HB78" s="207"/>
      <c r="HC78" s="207"/>
      <c r="HD78" s="207"/>
      <c r="HE78" s="207"/>
      <c r="HF78" s="207"/>
      <c r="HG78" s="207"/>
      <c r="HH78" s="207"/>
      <c r="HI78" s="207"/>
      <c r="HJ78" s="207"/>
      <c r="HK78" s="207"/>
      <c r="HL78" s="207"/>
      <c r="HM78" s="207"/>
      <c r="HN78" s="207"/>
      <c r="HO78" s="207"/>
      <c r="HP78" s="207"/>
      <c r="HQ78" s="207"/>
      <c r="HR78" s="207"/>
      <c r="HS78" s="207"/>
      <c r="HT78" s="207"/>
      <c r="HU78" s="207"/>
      <c r="HV78" s="207"/>
      <c r="HW78" s="207"/>
      <c r="HX78" s="207"/>
      <c r="HY78" s="207"/>
      <c r="HZ78" s="207"/>
      <c r="IA78" s="207"/>
      <c r="IB78" s="207"/>
      <c r="IC78" s="207"/>
      <c r="ID78" s="207"/>
      <c r="IE78" s="207"/>
      <c r="IF78" s="207"/>
      <c r="IG78" s="207"/>
      <c r="IH78" s="207"/>
      <c r="II78" s="207"/>
      <c r="IJ78" s="207"/>
      <c r="IK78" s="207"/>
      <c r="IL78" s="207"/>
      <c r="IM78" s="207"/>
      <c r="IN78" s="207"/>
      <c r="IO78" s="207"/>
      <c r="IP78" s="207"/>
      <c r="IQ78" s="207"/>
      <c r="IR78" s="207"/>
      <c r="IS78" s="207"/>
      <c r="IT78" s="207"/>
      <c r="IU78" s="207"/>
      <c r="IV78" s="207"/>
    </row>
    <row r="79" spans="1:256" s="212" customFormat="1" ht="12.6" customHeight="1">
      <c r="A79" s="214"/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214"/>
      <c r="AA79" s="214"/>
      <c r="AB79" s="214"/>
      <c r="AC79" s="214"/>
      <c r="AD79" s="221"/>
      <c r="AE79" s="336"/>
      <c r="AF79" s="336"/>
      <c r="AG79" s="336"/>
      <c r="AH79" s="336"/>
      <c r="AI79" s="336"/>
      <c r="AJ79" s="336"/>
      <c r="AK79" s="336"/>
      <c r="AL79" s="336"/>
      <c r="AM79" s="336"/>
      <c r="AN79" s="336"/>
      <c r="AO79" s="336"/>
      <c r="AP79" s="336"/>
      <c r="AQ79" s="336"/>
      <c r="AR79" s="336"/>
      <c r="AS79" s="336"/>
      <c r="AT79" s="336"/>
      <c r="AU79"/>
      <c r="AV79"/>
      <c r="AW79"/>
      <c r="AX79"/>
      <c r="AY79"/>
      <c r="AZ79"/>
      <c r="BA79"/>
      <c r="BB79"/>
      <c r="BC79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7"/>
      <c r="BW79" s="207"/>
      <c r="BX79" s="207"/>
      <c r="BY79" s="207"/>
      <c r="BZ79" s="207"/>
      <c r="CA79" s="207"/>
      <c r="CB79" s="207"/>
      <c r="CC79" s="207"/>
      <c r="CD79" s="207"/>
      <c r="CE79" s="207"/>
      <c r="CF79" s="207"/>
      <c r="CG79" s="207"/>
      <c r="CH79" s="207"/>
      <c r="CI79" s="207"/>
      <c r="CJ79" s="207"/>
      <c r="CK79" s="207"/>
      <c r="CL79" s="207"/>
      <c r="CM79" s="207"/>
      <c r="CN79" s="207"/>
      <c r="CO79" s="207"/>
      <c r="CP79" s="207"/>
      <c r="CQ79" s="207"/>
      <c r="CR79" s="207"/>
      <c r="CS79" s="207"/>
      <c r="CT79" s="207"/>
      <c r="CU79" s="207"/>
      <c r="CV79" s="207"/>
      <c r="CW79" s="207"/>
      <c r="CX79" s="207"/>
      <c r="CY79" s="207"/>
      <c r="CZ79" s="207"/>
      <c r="DA79" s="207"/>
      <c r="DB79" s="207"/>
      <c r="DC79" s="207"/>
      <c r="DD79" s="207"/>
      <c r="DE79" s="207"/>
      <c r="DF79" s="207"/>
      <c r="DG79" s="207"/>
      <c r="DH79" s="207"/>
      <c r="DI79" s="207"/>
      <c r="DJ79" s="207"/>
      <c r="DK79" s="207"/>
      <c r="DL79" s="207"/>
      <c r="DM79" s="207"/>
      <c r="DN79" s="207"/>
      <c r="DO79" s="207"/>
      <c r="DP79" s="207"/>
      <c r="DQ79" s="207"/>
      <c r="DR79" s="207"/>
      <c r="DS79" s="207"/>
      <c r="DT79" s="207"/>
      <c r="DU79" s="207"/>
      <c r="DV79" s="207"/>
      <c r="DW79" s="207"/>
      <c r="DX79" s="207"/>
      <c r="DY79" s="207"/>
      <c r="DZ79" s="207"/>
      <c r="EA79" s="207"/>
      <c r="EB79" s="207"/>
      <c r="EC79" s="207"/>
      <c r="ED79" s="207"/>
      <c r="EE79" s="207"/>
      <c r="EF79" s="207"/>
      <c r="EG79" s="207"/>
      <c r="EH79" s="207"/>
      <c r="EI79" s="207"/>
      <c r="EJ79" s="207"/>
      <c r="EK79" s="207"/>
      <c r="EL79" s="207"/>
      <c r="EM79" s="207"/>
      <c r="EN79" s="207"/>
      <c r="EO79" s="207"/>
      <c r="EP79" s="207"/>
      <c r="EQ79" s="207"/>
      <c r="ER79" s="207"/>
      <c r="ES79" s="207"/>
      <c r="ET79" s="207"/>
      <c r="EU79" s="207"/>
      <c r="EV79" s="207"/>
      <c r="EW79" s="207"/>
      <c r="EX79" s="207"/>
      <c r="EY79" s="207"/>
      <c r="EZ79" s="207"/>
      <c r="FA79" s="207"/>
      <c r="FB79" s="207"/>
      <c r="FC79" s="207"/>
      <c r="FD79" s="207"/>
      <c r="FE79" s="207"/>
      <c r="FF79" s="207"/>
      <c r="FG79" s="207"/>
      <c r="FH79" s="207"/>
      <c r="FI79" s="207"/>
      <c r="FJ79" s="207"/>
      <c r="FK79" s="207"/>
      <c r="FL79" s="207"/>
      <c r="FM79" s="207"/>
      <c r="FN79" s="207"/>
      <c r="FO79" s="207"/>
      <c r="FP79" s="207"/>
      <c r="FQ79" s="207"/>
      <c r="FR79" s="207"/>
      <c r="FS79" s="207"/>
      <c r="FT79" s="207"/>
      <c r="FU79" s="207"/>
      <c r="FV79" s="207"/>
      <c r="FW79" s="207"/>
      <c r="FX79" s="207"/>
      <c r="FY79" s="207"/>
      <c r="FZ79" s="207"/>
      <c r="GA79" s="207"/>
      <c r="GB79" s="207"/>
      <c r="GC79" s="207"/>
      <c r="GD79" s="207"/>
      <c r="GE79" s="207"/>
      <c r="GF79" s="207"/>
      <c r="GG79" s="207"/>
      <c r="GH79" s="207"/>
      <c r="GI79" s="207"/>
      <c r="GJ79" s="207"/>
      <c r="GK79" s="207"/>
      <c r="GL79" s="207"/>
      <c r="GM79" s="207"/>
      <c r="GN79" s="207"/>
      <c r="GO79" s="207"/>
      <c r="GP79" s="207"/>
      <c r="GQ79" s="207"/>
      <c r="GR79" s="207"/>
      <c r="GS79" s="207"/>
      <c r="GT79" s="207"/>
      <c r="GU79" s="207"/>
      <c r="GV79" s="207"/>
      <c r="GW79" s="207"/>
      <c r="GX79" s="207"/>
      <c r="GY79" s="207"/>
      <c r="GZ79" s="207"/>
      <c r="HA79" s="207"/>
      <c r="HB79" s="207"/>
      <c r="HC79" s="207"/>
      <c r="HD79" s="207"/>
      <c r="HE79" s="207"/>
      <c r="HF79" s="207"/>
      <c r="HG79" s="207"/>
      <c r="HH79" s="207"/>
      <c r="HI79" s="207"/>
      <c r="HJ79" s="207"/>
      <c r="HK79" s="207"/>
      <c r="HL79" s="207"/>
      <c r="HM79" s="207"/>
      <c r="HN79" s="207"/>
      <c r="HO79" s="207"/>
      <c r="HP79" s="207"/>
      <c r="HQ79" s="207"/>
      <c r="HR79" s="207"/>
      <c r="HS79" s="207"/>
      <c r="HT79" s="207"/>
      <c r="HU79" s="207"/>
      <c r="HV79" s="207"/>
      <c r="HW79" s="207"/>
      <c r="HX79" s="207"/>
      <c r="HY79" s="207"/>
      <c r="HZ79" s="207"/>
      <c r="IA79" s="207"/>
      <c r="IB79" s="207"/>
      <c r="IC79" s="207"/>
      <c r="ID79" s="207"/>
      <c r="IE79" s="207"/>
      <c r="IF79" s="207"/>
      <c r="IG79" s="207"/>
      <c r="IH79" s="207"/>
      <c r="II79" s="207"/>
      <c r="IJ79" s="207"/>
      <c r="IK79" s="207"/>
      <c r="IL79" s="207"/>
      <c r="IM79" s="207"/>
      <c r="IN79" s="207"/>
      <c r="IO79" s="207"/>
      <c r="IP79" s="207"/>
      <c r="IQ79" s="207"/>
      <c r="IR79" s="207"/>
      <c r="IS79" s="207"/>
      <c r="IT79" s="207"/>
      <c r="IU79" s="207"/>
      <c r="IV79" s="207"/>
    </row>
    <row r="80" spans="1:256" s="212" customFormat="1" ht="12.6" customHeight="1">
      <c r="A80" s="214"/>
      <c r="B80" s="214"/>
      <c r="C80" s="214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94"/>
      <c r="AA80" s="214"/>
      <c r="AB80" s="214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/>
      <c r="AV80"/>
      <c r="AW80"/>
      <c r="AX80"/>
      <c r="AY80"/>
      <c r="AZ80"/>
      <c r="BA80"/>
      <c r="BB80"/>
      <c r="BC80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7"/>
      <c r="BW80" s="207"/>
      <c r="BX80" s="207"/>
      <c r="BY80" s="207"/>
      <c r="BZ80" s="207"/>
      <c r="CA80" s="207"/>
      <c r="CB80" s="207"/>
      <c r="CC80" s="207"/>
      <c r="CD80" s="207"/>
      <c r="CE80" s="207"/>
      <c r="CF80" s="207"/>
      <c r="CG80" s="207"/>
      <c r="CH80" s="207"/>
      <c r="CI80" s="207"/>
      <c r="CJ80" s="207"/>
      <c r="CK80" s="207"/>
      <c r="CL80" s="207"/>
      <c r="CM80" s="207"/>
      <c r="CN80" s="207"/>
      <c r="CO80" s="207"/>
      <c r="CP80" s="207"/>
      <c r="CQ80" s="207"/>
      <c r="CR80" s="207"/>
      <c r="CS80" s="207"/>
      <c r="CT80" s="207"/>
      <c r="CU80" s="207"/>
      <c r="CV80" s="207"/>
      <c r="CW80" s="207"/>
      <c r="CX80" s="207"/>
      <c r="CY80" s="207"/>
      <c r="CZ80" s="207"/>
      <c r="DA80" s="207"/>
      <c r="DB80" s="207"/>
      <c r="DC80" s="207"/>
      <c r="DD80" s="207"/>
      <c r="DE80" s="207"/>
      <c r="DF80" s="207"/>
      <c r="DG80" s="207"/>
      <c r="DH80" s="207"/>
      <c r="DI80" s="207"/>
      <c r="DJ80" s="207"/>
      <c r="DK80" s="207"/>
      <c r="DL80" s="207"/>
      <c r="DM80" s="207"/>
      <c r="DN80" s="207"/>
      <c r="DO80" s="207"/>
      <c r="DP80" s="207"/>
      <c r="DQ80" s="207"/>
      <c r="DR80" s="207"/>
      <c r="DS80" s="207"/>
      <c r="DT80" s="207"/>
      <c r="DU80" s="207"/>
      <c r="DV80" s="207"/>
      <c r="DW80" s="207"/>
      <c r="DX80" s="207"/>
      <c r="DY80" s="207"/>
      <c r="DZ80" s="207"/>
      <c r="EA80" s="207"/>
      <c r="EB80" s="207"/>
      <c r="EC80" s="207"/>
      <c r="ED80" s="207"/>
      <c r="EE80" s="207"/>
      <c r="EF80" s="207"/>
      <c r="EG80" s="207"/>
      <c r="EH80" s="207"/>
      <c r="EI80" s="207"/>
      <c r="EJ80" s="207"/>
      <c r="EK80" s="207"/>
      <c r="EL80" s="207"/>
      <c r="EM80" s="207"/>
      <c r="EN80" s="207"/>
      <c r="EO80" s="207"/>
      <c r="EP80" s="207"/>
      <c r="EQ80" s="207"/>
      <c r="ER80" s="207"/>
      <c r="ES80" s="207"/>
      <c r="ET80" s="207"/>
      <c r="EU80" s="207"/>
      <c r="EV80" s="207"/>
      <c r="EW80" s="207"/>
      <c r="EX80" s="207"/>
      <c r="EY80" s="207"/>
      <c r="EZ80" s="207"/>
      <c r="FA80" s="207"/>
      <c r="FB80" s="207"/>
      <c r="FC80" s="207"/>
      <c r="FD80" s="207"/>
      <c r="FE80" s="207"/>
      <c r="FF80" s="207"/>
      <c r="FG80" s="207"/>
      <c r="FH80" s="207"/>
      <c r="FI80" s="207"/>
      <c r="FJ80" s="207"/>
      <c r="FK80" s="207"/>
      <c r="FL80" s="207"/>
      <c r="FM80" s="207"/>
      <c r="FN80" s="207"/>
      <c r="FO80" s="207"/>
      <c r="FP80" s="207"/>
      <c r="FQ80" s="207"/>
      <c r="FR80" s="207"/>
      <c r="FS80" s="207"/>
      <c r="FT80" s="207"/>
      <c r="FU80" s="207"/>
      <c r="FV80" s="207"/>
      <c r="FW80" s="207"/>
      <c r="FX80" s="207"/>
      <c r="FY80" s="207"/>
      <c r="FZ80" s="207"/>
      <c r="GA80" s="207"/>
      <c r="GB80" s="207"/>
      <c r="GC80" s="207"/>
      <c r="GD80" s="207"/>
      <c r="GE80" s="207"/>
      <c r="GF80" s="207"/>
      <c r="GG80" s="207"/>
      <c r="GH80" s="207"/>
      <c r="GI80" s="207"/>
      <c r="GJ80" s="207"/>
      <c r="GK80" s="207"/>
      <c r="GL80" s="207"/>
      <c r="GM80" s="207"/>
      <c r="GN80" s="207"/>
      <c r="GO80" s="207"/>
      <c r="GP80" s="207"/>
      <c r="GQ80" s="207"/>
      <c r="GR80" s="207"/>
      <c r="GS80" s="207"/>
      <c r="GT80" s="207"/>
      <c r="GU80" s="207"/>
      <c r="GV80" s="207"/>
      <c r="GW80" s="207"/>
      <c r="GX80" s="207"/>
      <c r="GY80" s="207"/>
      <c r="GZ80" s="207"/>
      <c r="HA80" s="207"/>
      <c r="HB80" s="207"/>
      <c r="HC80" s="207"/>
      <c r="HD80" s="207"/>
      <c r="HE80" s="207"/>
      <c r="HF80" s="207"/>
      <c r="HG80" s="207"/>
      <c r="HH80" s="207"/>
      <c r="HI80" s="207"/>
      <c r="HJ80" s="207"/>
      <c r="HK80" s="207"/>
      <c r="HL80" s="207"/>
      <c r="HM80" s="207"/>
      <c r="HN80" s="207"/>
      <c r="HO80" s="207"/>
      <c r="HP80" s="207"/>
      <c r="HQ80" s="207"/>
      <c r="HR80" s="207"/>
      <c r="HS80" s="207"/>
      <c r="HT80" s="207"/>
      <c r="HU80" s="207"/>
      <c r="HV80" s="207"/>
      <c r="HW80" s="207"/>
      <c r="HX80" s="207"/>
      <c r="HY80" s="207"/>
      <c r="HZ80" s="207"/>
      <c r="IA80" s="207"/>
      <c r="IB80" s="207"/>
      <c r="IC80" s="207"/>
      <c r="ID80" s="207"/>
      <c r="IE80" s="207"/>
      <c r="IF80" s="207"/>
      <c r="IG80" s="207"/>
      <c r="IH80" s="207"/>
      <c r="II80" s="207"/>
      <c r="IJ80" s="207"/>
      <c r="IK80" s="207"/>
      <c r="IL80" s="207"/>
      <c r="IM80" s="207"/>
      <c r="IN80" s="207"/>
      <c r="IO80" s="207"/>
      <c r="IP80" s="207"/>
      <c r="IQ80" s="207"/>
      <c r="IR80" s="207"/>
      <c r="IS80" s="207"/>
      <c r="IT80" s="207"/>
      <c r="IU80" s="207"/>
      <c r="IV80" s="207"/>
    </row>
    <row r="81" spans="1:256" s="212" customFormat="1" ht="12.6" customHeight="1">
      <c r="A81" s="214"/>
      <c r="B81" s="214"/>
      <c r="C81" s="214"/>
      <c r="D81" s="214"/>
      <c r="E81" s="214"/>
      <c r="F81" s="214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14"/>
      <c r="S81" s="214"/>
      <c r="T81" s="214"/>
      <c r="U81" s="214"/>
      <c r="V81" s="214"/>
      <c r="W81" s="214"/>
      <c r="X81" s="214"/>
      <c r="Y81" s="214"/>
      <c r="Z81" s="214"/>
      <c r="AA81" s="214"/>
      <c r="AB81" s="214"/>
      <c r="AC81" s="207"/>
      <c r="AD81" s="207"/>
      <c r="AE81" s="321"/>
      <c r="AF81" s="321"/>
      <c r="AG81" s="321"/>
      <c r="AH81" s="321"/>
      <c r="AI81" s="321"/>
      <c r="AJ81" s="321"/>
      <c r="AK81" s="321"/>
      <c r="AL81" s="321"/>
      <c r="AM81" s="321"/>
      <c r="AN81" s="321"/>
      <c r="AO81" s="321"/>
      <c r="AP81" s="321"/>
      <c r="AQ81" s="321"/>
      <c r="AR81" s="321"/>
      <c r="AS81" s="321"/>
      <c r="AT81" s="321"/>
      <c r="AU81"/>
      <c r="AV81"/>
      <c r="AW81"/>
      <c r="AX81"/>
      <c r="AY81"/>
      <c r="AZ81"/>
      <c r="BA81"/>
      <c r="BB81"/>
      <c r="BC81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7"/>
      <c r="BW81" s="207"/>
      <c r="BX81" s="207"/>
      <c r="BY81" s="207"/>
      <c r="BZ81" s="207"/>
      <c r="CA81" s="207"/>
      <c r="CB81" s="207"/>
      <c r="CC81" s="207"/>
      <c r="CD81" s="207"/>
      <c r="CE81" s="207"/>
      <c r="CF81" s="207"/>
      <c r="CG81" s="207"/>
      <c r="CH81" s="207"/>
      <c r="CI81" s="207"/>
      <c r="CJ81" s="207"/>
      <c r="CK81" s="207"/>
      <c r="CL81" s="207"/>
      <c r="CM81" s="207"/>
      <c r="CN81" s="207"/>
      <c r="CO81" s="207"/>
      <c r="CP81" s="207"/>
      <c r="CQ81" s="207"/>
      <c r="CR81" s="207"/>
      <c r="CS81" s="207"/>
      <c r="CT81" s="207"/>
      <c r="CU81" s="207"/>
      <c r="CV81" s="207"/>
      <c r="CW81" s="207"/>
      <c r="CX81" s="207"/>
      <c r="CY81" s="207"/>
      <c r="CZ81" s="207"/>
      <c r="DA81" s="207"/>
      <c r="DB81" s="207"/>
      <c r="DC81" s="207"/>
      <c r="DD81" s="207"/>
      <c r="DE81" s="207"/>
      <c r="DF81" s="207"/>
      <c r="DG81" s="207"/>
      <c r="DH81" s="207"/>
      <c r="DI81" s="207"/>
      <c r="DJ81" s="207"/>
      <c r="DK81" s="207"/>
      <c r="DL81" s="207"/>
      <c r="DM81" s="207"/>
      <c r="DN81" s="207"/>
      <c r="DO81" s="207"/>
      <c r="DP81" s="207"/>
      <c r="DQ81" s="207"/>
      <c r="DR81" s="207"/>
      <c r="DS81" s="207"/>
      <c r="DT81" s="207"/>
      <c r="DU81" s="207"/>
      <c r="DV81" s="207"/>
      <c r="DW81" s="207"/>
      <c r="DX81" s="207"/>
      <c r="DY81" s="207"/>
      <c r="DZ81" s="207"/>
      <c r="EA81" s="207"/>
      <c r="EB81" s="207"/>
      <c r="EC81" s="207"/>
      <c r="ED81" s="207"/>
      <c r="EE81" s="207"/>
      <c r="EF81" s="207"/>
      <c r="EG81" s="207"/>
      <c r="EH81" s="207"/>
      <c r="EI81" s="207"/>
      <c r="EJ81" s="207"/>
      <c r="EK81" s="207"/>
      <c r="EL81" s="207"/>
      <c r="EM81" s="207"/>
      <c r="EN81" s="207"/>
      <c r="EO81" s="207"/>
      <c r="EP81" s="207"/>
      <c r="EQ81" s="207"/>
      <c r="ER81" s="207"/>
      <c r="ES81" s="207"/>
      <c r="ET81" s="207"/>
      <c r="EU81" s="207"/>
      <c r="EV81" s="207"/>
      <c r="EW81" s="207"/>
      <c r="EX81" s="207"/>
      <c r="EY81" s="207"/>
      <c r="EZ81" s="207"/>
      <c r="FA81" s="207"/>
      <c r="FB81" s="207"/>
      <c r="FC81" s="207"/>
      <c r="FD81" s="207"/>
      <c r="FE81" s="207"/>
      <c r="FF81" s="207"/>
      <c r="FG81" s="207"/>
      <c r="FH81" s="207"/>
      <c r="FI81" s="207"/>
      <c r="FJ81" s="207"/>
      <c r="FK81" s="207"/>
      <c r="FL81" s="207"/>
      <c r="FM81" s="207"/>
      <c r="FN81" s="207"/>
      <c r="FO81" s="207"/>
      <c r="FP81" s="207"/>
      <c r="FQ81" s="207"/>
      <c r="FR81" s="207"/>
      <c r="FS81" s="207"/>
      <c r="FT81" s="207"/>
      <c r="FU81" s="207"/>
      <c r="FV81" s="207"/>
      <c r="FW81" s="207"/>
      <c r="FX81" s="207"/>
      <c r="FY81" s="207"/>
      <c r="FZ81" s="207"/>
      <c r="GA81" s="207"/>
      <c r="GB81" s="207"/>
      <c r="GC81" s="207"/>
      <c r="GD81" s="207"/>
      <c r="GE81" s="207"/>
      <c r="GF81" s="207"/>
      <c r="GG81" s="207"/>
      <c r="GH81" s="207"/>
      <c r="GI81" s="207"/>
      <c r="GJ81" s="207"/>
      <c r="GK81" s="207"/>
      <c r="GL81" s="207"/>
      <c r="GM81" s="207"/>
      <c r="GN81" s="207"/>
      <c r="GO81" s="207"/>
      <c r="GP81" s="207"/>
      <c r="GQ81" s="207"/>
      <c r="GR81" s="207"/>
      <c r="GS81" s="207"/>
      <c r="GT81" s="207"/>
      <c r="GU81" s="207"/>
      <c r="GV81" s="207"/>
      <c r="GW81" s="207"/>
      <c r="GX81" s="207"/>
      <c r="GY81" s="207"/>
      <c r="GZ81" s="207"/>
      <c r="HA81" s="207"/>
      <c r="HB81" s="207"/>
      <c r="HC81" s="207"/>
      <c r="HD81" s="207"/>
      <c r="HE81" s="207"/>
      <c r="HF81" s="207"/>
      <c r="HG81" s="207"/>
      <c r="HH81" s="207"/>
      <c r="HI81" s="207"/>
      <c r="HJ81" s="207"/>
      <c r="HK81" s="207"/>
      <c r="HL81" s="207"/>
      <c r="HM81" s="207"/>
      <c r="HN81" s="207"/>
      <c r="HO81" s="207"/>
      <c r="HP81" s="207"/>
      <c r="HQ81" s="207"/>
      <c r="HR81" s="207"/>
      <c r="HS81" s="207"/>
      <c r="HT81" s="207"/>
      <c r="HU81" s="207"/>
      <c r="HV81" s="207"/>
      <c r="HW81" s="207"/>
      <c r="HX81" s="207"/>
      <c r="HY81" s="207"/>
      <c r="HZ81" s="207"/>
      <c r="IA81" s="207"/>
      <c r="IB81" s="207"/>
      <c r="IC81" s="207"/>
      <c r="ID81" s="207"/>
      <c r="IE81" s="207"/>
      <c r="IF81" s="207"/>
      <c r="IG81" s="207"/>
      <c r="IH81" s="207"/>
      <c r="II81" s="207"/>
      <c r="IJ81" s="207"/>
      <c r="IK81" s="207"/>
      <c r="IL81" s="207"/>
      <c r="IM81" s="207"/>
      <c r="IN81" s="207"/>
      <c r="IO81" s="207"/>
      <c r="IP81" s="207"/>
      <c r="IQ81" s="207"/>
      <c r="IR81" s="207"/>
      <c r="IS81" s="207"/>
      <c r="IT81" s="207"/>
      <c r="IU81" s="207"/>
      <c r="IV81" s="207"/>
    </row>
    <row r="82" spans="1:256" s="212" customFormat="1" ht="12.6" customHeight="1">
      <c r="A82" s="214"/>
      <c r="B82" s="214"/>
      <c r="C82" s="214"/>
      <c r="D82" s="214"/>
      <c r="E82" s="214"/>
      <c r="F82" s="214"/>
      <c r="G82" s="214"/>
      <c r="H82" s="214"/>
      <c r="I82" s="214"/>
      <c r="J82" s="214"/>
      <c r="K82" s="214"/>
      <c r="L82" s="214"/>
      <c r="M82" s="214"/>
      <c r="N82" s="214"/>
      <c r="O82" s="214"/>
      <c r="P82" s="214"/>
      <c r="Q82" s="214"/>
      <c r="R82" s="214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11"/>
      <c r="AE82" s="318"/>
      <c r="AF82" s="318"/>
      <c r="AG82" s="318"/>
      <c r="AH82" s="318"/>
      <c r="AI82" s="318"/>
      <c r="AJ82" s="318"/>
      <c r="AK82" s="318"/>
      <c r="AL82" s="318"/>
      <c r="AM82" s="318"/>
      <c r="AN82" s="318"/>
      <c r="AO82" s="318"/>
      <c r="AP82" s="318"/>
      <c r="AQ82" s="318"/>
      <c r="AR82" s="318"/>
      <c r="AS82" s="318"/>
      <c r="AT82" s="318"/>
      <c r="AU82"/>
      <c r="AV82"/>
      <c r="AW82"/>
      <c r="AX82"/>
      <c r="AY82"/>
      <c r="AZ82"/>
      <c r="BA82"/>
      <c r="BB82"/>
      <c r="BC82"/>
      <c r="BF82" s="207"/>
    </row>
    <row r="83" spans="1:256" s="207" customFormat="1" ht="12.6" customHeight="1">
      <c r="A83" s="294"/>
      <c r="B83" s="294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14"/>
      <c r="AA83" s="214"/>
      <c r="AB83" s="214"/>
      <c r="AD83" s="212"/>
      <c r="AE83" s="450"/>
      <c r="AF83" s="450"/>
      <c r="AG83" s="450"/>
      <c r="AH83" s="450"/>
      <c r="AI83" s="450"/>
      <c r="AJ83" s="450"/>
      <c r="AK83" s="450"/>
      <c r="AL83" s="450"/>
      <c r="AM83" s="450"/>
      <c r="AN83" s="450"/>
      <c r="AO83" s="450"/>
      <c r="AP83" s="450"/>
      <c r="AQ83" s="450"/>
      <c r="AR83" s="450"/>
      <c r="AS83" s="450"/>
      <c r="AT83" s="450"/>
      <c r="AU83"/>
      <c r="AV83"/>
      <c r="AW83"/>
      <c r="AX83"/>
      <c r="AY83"/>
      <c r="AZ83"/>
      <c r="BA83"/>
      <c r="BB83"/>
      <c r="BC83"/>
      <c r="BD83" s="212"/>
      <c r="BE83" s="212"/>
      <c r="BG83" s="212"/>
      <c r="BH83" s="212"/>
      <c r="BI83" s="212"/>
      <c r="BJ83" s="212"/>
      <c r="BK83" s="212"/>
      <c r="BL83" s="212"/>
      <c r="BM83" s="212"/>
      <c r="BN83" s="212"/>
      <c r="BO83" s="212"/>
      <c r="BP83" s="212"/>
      <c r="BQ83" s="212"/>
      <c r="BR83" s="212"/>
      <c r="BS83" s="212"/>
      <c r="BT83" s="212"/>
      <c r="BU83" s="212"/>
      <c r="BV83" s="212"/>
      <c r="BW83" s="212"/>
      <c r="BX83" s="212"/>
      <c r="BY83" s="212"/>
      <c r="BZ83" s="212"/>
      <c r="CA83" s="212"/>
      <c r="CB83" s="212"/>
      <c r="CC83" s="212"/>
      <c r="CD83" s="212"/>
      <c r="CE83" s="212"/>
      <c r="CF83" s="212"/>
      <c r="CG83" s="212"/>
      <c r="CH83" s="212"/>
      <c r="CI83" s="212"/>
      <c r="CJ83" s="212"/>
      <c r="CK83" s="212"/>
      <c r="CL83" s="212"/>
      <c r="CM83" s="212"/>
      <c r="CN83" s="212"/>
      <c r="CO83" s="212"/>
      <c r="CP83" s="212"/>
      <c r="CQ83" s="212"/>
      <c r="CR83" s="212"/>
      <c r="CS83" s="212"/>
      <c r="CT83" s="212"/>
      <c r="CU83" s="212"/>
      <c r="CV83" s="212"/>
      <c r="CW83" s="212"/>
      <c r="CX83" s="212"/>
      <c r="CY83" s="212"/>
      <c r="CZ83" s="212"/>
      <c r="DA83" s="212"/>
      <c r="DB83" s="212"/>
      <c r="DC83" s="212"/>
      <c r="DD83" s="212"/>
      <c r="DE83" s="212"/>
      <c r="DF83" s="212"/>
      <c r="DG83" s="212"/>
      <c r="DH83" s="212"/>
      <c r="DI83" s="212"/>
      <c r="DJ83" s="212"/>
      <c r="DK83" s="212"/>
      <c r="DL83" s="212"/>
      <c r="DM83" s="212"/>
      <c r="DN83" s="212"/>
      <c r="DO83" s="212"/>
      <c r="DP83" s="212"/>
      <c r="DQ83" s="212"/>
      <c r="DR83" s="212"/>
      <c r="DS83" s="212"/>
      <c r="DT83" s="212"/>
      <c r="DU83" s="212"/>
      <c r="DV83" s="212"/>
      <c r="DW83" s="212"/>
      <c r="DX83" s="212"/>
      <c r="DY83" s="212"/>
      <c r="DZ83" s="212"/>
      <c r="EA83" s="212"/>
      <c r="EB83" s="212"/>
      <c r="EC83" s="212"/>
      <c r="ED83" s="212"/>
      <c r="EE83" s="212"/>
      <c r="EF83" s="212"/>
      <c r="EG83" s="212"/>
      <c r="EH83" s="212"/>
      <c r="EI83" s="212"/>
      <c r="EJ83" s="212"/>
      <c r="EK83" s="212"/>
      <c r="EL83" s="212"/>
      <c r="EM83" s="212"/>
      <c r="EN83" s="212"/>
      <c r="EO83" s="212"/>
      <c r="EP83" s="212"/>
      <c r="EQ83" s="212"/>
      <c r="ER83" s="212"/>
      <c r="ES83" s="212"/>
      <c r="ET83" s="212"/>
      <c r="EU83" s="212"/>
      <c r="EV83" s="212"/>
      <c r="EW83" s="212"/>
      <c r="EX83" s="212"/>
      <c r="EY83" s="212"/>
      <c r="EZ83" s="212"/>
      <c r="FA83" s="212"/>
      <c r="FB83" s="212"/>
      <c r="FC83" s="212"/>
      <c r="FD83" s="212"/>
      <c r="FE83" s="212"/>
      <c r="FF83" s="212"/>
      <c r="FG83" s="212"/>
      <c r="FH83" s="212"/>
      <c r="FI83" s="212"/>
      <c r="FJ83" s="212"/>
      <c r="FK83" s="212"/>
      <c r="FL83" s="212"/>
      <c r="FM83" s="212"/>
      <c r="FN83" s="212"/>
      <c r="FO83" s="212"/>
      <c r="FP83" s="212"/>
      <c r="FQ83" s="212"/>
      <c r="FR83" s="212"/>
      <c r="FS83" s="212"/>
      <c r="FT83" s="212"/>
      <c r="FU83" s="212"/>
      <c r="FV83" s="212"/>
      <c r="FW83" s="212"/>
      <c r="FX83" s="212"/>
      <c r="FY83" s="212"/>
      <c r="FZ83" s="212"/>
      <c r="GA83" s="212"/>
      <c r="GB83" s="212"/>
      <c r="GC83" s="212"/>
      <c r="GD83" s="212"/>
      <c r="GE83" s="212"/>
      <c r="GF83" s="212"/>
      <c r="GG83" s="212"/>
      <c r="GH83" s="212"/>
      <c r="GI83" s="212"/>
      <c r="GJ83" s="212"/>
      <c r="GK83" s="212"/>
      <c r="GL83" s="212"/>
      <c r="GM83" s="212"/>
      <c r="GN83" s="212"/>
      <c r="GO83" s="212"/>
      <c r="GP83" s="212"/>
      <c r="GQ83" s="212"/>
      <c r="GR83" s="212"/>
      <c r="GS83" s="212"/>
      <c r="GT83" s="212"/>
      <c r="GU83" s="212"/>
      <c r="GV83" s="212"/>
      <c r="GW83" s="212"/>
      <c r="GX83" s="212"/>
      <c r="GY83" s="212"/>
      <c r="GZ83" s="212"/>
      <c r="HA83" s="212"/>
      <c r="HB83" s="212"/>
      <c r="HC83" s="212"/>
      <c r="HD83" s="212"/>
      <c r="HE83" s="212"/>
      <c r="HF83" s="212"/>
      <c r="HG83" s="212"/>
      <c r="HH83" s="212"/>
      <c r="HI83" s="212"/>
      <c r="HJ83" s="212"/>
      <c r="HK83" s="212"/>
      <c r="HL83" s="212"/>
      <c r="HM83" s="212"/>
      <c r="HN83" s="212"/>
      <c r="HO83" s="212"/>
      <c r="HP83" s="212"/>
      <c r="HQ83" s="212"/>
      <c r="HR83" s="212"/>
      <c r="HS83" s="212"/>
      <c r="HT83" s="212"/>
      <c r="HU83" s="212"/>
      <c r="HV83" s="212"/>
      <c r="HW83" s="212"/>
      <c r="HX83" s="212"/>
      <c r="HY83" s="212"/>
      <c r="HZ83" s="212"/>
      <c r="IA83" s="212"/>
      <c r="IB83" s="212"/>
      <c r="IC83" s="212"/>
      <c r="ID83" s="212"/>
      <c r="IE83" s="212"/>
      <c r="IF83" s="212"/>
      <c r="IG83" s="212"/>
      <c r="IH83" s="212"/>
      <c r="II83" s="212"/>
      <c r="IJ83" s="212"/>
      <c r="IK83" s="212"/>
      <c r="IL83" s="212"/>
      <c r="IM83" s="212"/>
      <c r="IN83" s="212"/>
      <c r="IO83" s="212"/>
      <c r="IP83" s="212"/>
      <c r="IQ83" s="212"/>
      <c r="IR83" s="212"/>
      <c r="IS83" s="212"/>
      <c r="IT83" s="212"/>
      <c r="IU83" s="212"/>
      <c r="IV83" s="212"/>
    </row>
    <row r="84" spans="1:256" s="207" customFormat="1" ht="12.6" customHeight="1">
      <c r="A84" s="214"/>
      <c r="B84" s="214"/>
      <c r="C84" s="214"/>
      <c r="D84" s="214"/>
      <c r="E84" s="214"/>
      <c r="F84" s="214"/>
      <c r="G84" s="214"/>
      <c r="H84" s="214"/>
      <c r="I84" s="214"/>
      <c r="J84" s="214"/>
      <c r="K84" s="214"/>
      <c r="L84" s="214"/>
      <c r="M84" s="214"/>
      <c r="N84" s="214"/>
      <c r="O84" s="214"/>
      <c r="P84" s="214"/>
      <c r="Q84" s="214"/>
      <c r="R84" s="214"/>
      <c r="S84" s="214"/>
      <c r="T84" s="214"/>
      <c r="U84" s="214"/>
      <c r="V84" s="214"/>
      <c r="W84" s="214"/>
      <c r="X84" s="214"/>
      <c r="Y84" s="214"/>
      <c r="Z84" s="214"/>
      <c r="AA84" s="214"/>
      <c r="AB84" s="214"/>
      <c r="AC84" s="214"/>
      <c r="AD84" s="212"/>
      <c r="AE84" s="320"/>
      <c r="AF84" s="320"/>
      <c r="AG84" s="320"/>
      <c r="AH84" s="320"/>
      <c r="AI84" s="320"/>
      <c r="AJ84" s="320"/>
      <c r="AK84" s="320"/>
      <c r="AL84" s="320"/>
      <c r="AM84" s="320"/>
      <c r="AN84" s="320"/>
      <c r="AO84" s="320"/>
      <c r="AP84" s="320"/>
      <c r="AQ84" s="320"/>
      <c r="AR84" s="320"/>
      <c r="AS84" s="320"/>
      <c r="AT84" s="320"/>
      <c r="AU84"/>
      <c r="AV84"/>
      <c r="AW84"/>
      <c r="AX84"/>
      <c r="AY84"/>
      <c r="AZ84"/>
      <c r="BA84"/>
      <c r="BB84"/>
      <c r="BC84"/>
      <c r="BD84" s="212"/>
      <c r="BE84" s="212"/>
      <c r="BG84" s="212"/>
      <c r="BH84" s="212"/>
      <c r="BI84" s="212"/>
      <c r="BJ84" s="212"/>
      <c r="BK84" s="212"/>
      <c r="BL84" s="212"/>
      <c r="BM84" s="212"/>
      <c r="BN84" s="212"/>
      <c r="BO84" s="212"/>
      <c r="BP84" s="212"/>
      <c r="BQ84" s="212"/>
      <c r="BR84" s="212"/>
      <c r="BS84" s="212"/>
      <c r="BT84" s="212"/>
      <c r="BU84" s="212"/>
      <c r="BV84" s="212"/>
      <c r="BW84" s="212"/>
      <c r="BX84" s="212"/>
      <c r="BY84" s="212"/>
      <c r="BZ84" s="212"/>
      <c r="CA84" s="212"/>
      <c r="CB84" s="212"/>
      <c r="CC84" s="212"/>
      <c r="CD84" s="212"/>
      <c r="CE84" s="212"/>
      <c r="CF84" s="212"/>
      <c r="CG84" s="212"/>
      <c r="CH84" s="212"/>
      <c r="CI84" s="212"/>
      <c r="CJ84" s="212"/>
      <c r="CK84" s="212"/>
      <c r="CL84" s="212"/>
      <c r="CM84" s="212"/>
      <c r="CN84" s="212"/>
      <c r="CO84" s="212"/>
      <c r="CP84" s="212"/>
      <c r="CQ84" s="212"/>
      <c r="CR84" s="212"/>
      <c r="CS84" s="212"/>
      <c r="CT84" s="212"/>
      <c r="CU84" s="212"/>
      <c r="CV84" s="212"/>
      <c r="CW84" s="212"/>
      <c r="CX84" s="212"/>
      <c r="CY84" s="212"/>
      <c r="CZ84" s="212"/>
      <c r="DA84" s="212"/>
      <c r="DB84" s="212"/>
      <c r="DC84" s="212"/>
      <c r="DD84" s="212"/>
      <c r="DE84" s="212"/>
      <c r="DF84" s="212"/>
      <c r="DG84" s="212"/>
      <c r="DH84" s="212"/>
      <c r="DI84" s="212"/>
      <c r="DJ84" s="212"/>
      <c r="DK84" s="212"/>
      <c r="DL84" s="212"/>
      <c r="DM84" s="212"/>
      <c r="DN84" s="212"/>
      <c r="DO84" s="212"/>
      <c r="DP84" s="212"/>
      <c r="DQ84" s="212"/>
      <c r="DR84" s="212"/>
      <c r="DS84" s="212"/>
      <c r="DT84" s="212"/>
      <c r="DU84" s="212"/>
      <c r="DV84" s="212"/>
      <c r="DW84" s="212"/>
      <c r="DX84" s="212"/>
      <c r="DY84" s="212"/>
      <c r="DZ84" s="212"/>
      <c r="EA84" s="212"/>
      <c r="EB84" s="212"/>
      <c r="EC84" s="212"/>
      <c r="ED84" s="212"/>
      <c r="EE84" s="212"/>
      <c r="EF84" s="212"/>
      <c r="EG84" s="212"/>
      <c r="EH84" s="212"/>
      <c r="EI84" s="212"/>
      <c r="EJ84" s="212"/>
      <c r="EK84" s="212"/>
      <c r="EL84" s="212"/>
      <c r="EM84" s="212"/>
      <c r="EN84" s="212"/>
      <c r="EO84" s="212"/>
      <c r="EP84" s="212"/>
      <c r="EQ84" s="212"/>
      <c r="ER84" s="212"/>
      <c r="ES84" s="212"/>
      <c r="ET84" s="212"/>
      <c r="EU84" s="212"/>
      <c r="EV84" s="212"/>
      <c r="EW84" s="212"/>
      <c r="EX84" s="212"/>
      <c r="EY84" s="212"/>
      <c r="EZ84" s="212"/>
      <c r="FA84" s="212"/>
      <c r="FB84" s="212"/>
      <c r="FC84" s="212"/>
      <c r="FD84" s="212"/>
      <c r="FE84" s="212"/>
      <c r="FF84" s="212"/>
      <c r="FG84" s="212"/>
      <c r="FH84" s="212"/>
      <c r="FI84" s="212"/>
      <c r="FJ84" s="212"/>
      <c r="FK84" s="212"/>
      <c r="FL84" s="212"/>
      <c r="FM84" s="212"/>
      <c r="FN84" s="212"/>
      <c r="FO84" s="212"/>
      <c r="FP84" s="212"/>
      <c r="FQ84" s="212"/>
      <c r="FR84" s="212"/>
      <c r="FS84" s="212"/>
      <c r="FT84" s="212"/>
      <c r="FU84" s="212"/>
      <c r="FV84" s="212"/>
      <c r="FW84" s="212"/>
      <c r="FX84" s="212"/>
      <c r="FY84" s="212"/>
      <c r="FZ84" s="212"/>
      <c r="GA84" s="212"/>
      <c r="GB84" s="212"/>
      <c r="GC84" s="212"/>
      <c r="GD84" s="212"/>
      <c r="GE84" s="212"/>
      <c r="GF84" s="212"/>
      <c r="GG84" s="212"/>
      <c r="GH84" s="212"/>
      <c r="GI84" s="212"/>
      <c r="GJ84" s="212"/>
      <c r="GK84" s="212"/>
      <c r="GL84" s="212"/>
      <c r="GM84" s="212"/>
      <c r="GN84" s="212"/>
      <c r="GO84" s="212"/>
      <c r="GP84" s="212"/>
      <c r="GQ84" s="212"/>
      <c r="GR84" s="212"/>
      <c r="GS84" s="212"/>
      <c r="GT84" s="212"/>
      <c r="GU84" s="212"/>
      <c r="GV84" s="212"/>
      <c r="GW84" s="212"/>
      <c r="GX84" s="212"/>
      <c r="GY84" s="212"/>
      <c r="GZ84" s="212"/>
      <c r="HA84" s="212"/>
      <c r="HB84" s="212"/>
      <c r="HC84" s="212"/>
      <c r="HD84" s="212"/>
      <c r="HE84" s="212"/>
      <c r="HF84" s="212"/>
      <c r="HG84" s="212"/>
      <c r="HH84" s="212"/>
      <c r="HI84" s="212"/>
      <c r="HJ84" s="212"/>
      <c r="HK84" s="212"/>
      <c r="HL84" s="212"/>
      <c r="HM84" s="212"/>
      <c r="HN84" s="212"/>
      <c r="HO84" s="212"/>
      <c r="HP84" s="212"/>
      <c r="HQ84" s="212"/>
      <c r="HR84" s="212"/>
      <c r="HS84" s="212"/>
      <c r="HT84" s="212"/>
      <c r="HU84" s="212"/>
      <c r="HV84" s="212"/>
      <c r="HW84" s="212"/>
      <c r="HX84" s="212"/>
      <c r="HY84" s="212"/>
      <c r="HZ84" s="212"/>
      <c r="IA84" s="212"/>
      <c r="IB84" s="212"/>
      <c r="IC84" s="212"/>
      <c r="ID84" s="212"/>
      <c r="IE84" s="212"/>
      <c r="IF84" s="212"/>
      <c r="IG84" s="212"/>
      <c r="IH84" s="212"/>
      <c r="II84" s="212"/>
      <c r="IJ84" s="212"/>
      <c r="IK84" s="212"/>
      <c r="IL84" s="212"/>
      <c r="IM84" s="212"/>
      <c r="IN84" s="212"/>
      <c r="IO84" s="212"/>
      <c r="IP84" s="212"/>
      <c r="IQ84" s="212"/>
      <c r="IR84" s="212"/>
      <c r="IS84" s="212"/>
      <c r="IT84" s="212"/>
      <c r="IU84" s="212"/>
      <c r="IV84" s="212"/>
    </row>
    <row r="85" spans="1:256" s="207" customFormat="1" ht="12.6" customHeight="1">
      <c r="A85" s="214"/>
      <c r="B85" s="214"/>
      <c r="C85" s="214"/>
      <c r="D85" s="214"/>
      <c r="E85" s="214"/>
      <c r="F85" s="214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4"/>
      <c r="W85" s="214"/>
      <c r="X85" s="214"/>
      <c r="Y85" s="214"/>
      <c r="Z85" s="214"/>
      <c r="AC85" s="214"/>
      <c r="AE85" s="323"/>
      <c r="AF85" s="323"/>
      <c r="AG85" s="323"/>
      <c r="AH85" s="323"/>
      <c r="AI85" s="323"/>
      <c r="AJ85" s="323"/>
      <c r="AK85" s="323"/>
      <c r="AL85" s="323"/>
      <c r="AM85" s="323"/>
      <c r="AN85" s="323"/>
      <c r="AO85" s="323"/>
      <c r="AP85" s="323"/>
      <c r="AQ85" s="323"/>
      <c r="AR85" s="323"/>
      <c r="AS85" s="323"/>
      <c r="AT85" s="323"/>
      <c r="AU85"/>
      <c r="AV85"/>
      <c r="AW85"/>
      <c r="AX85"/>
      <c r="AY85"/>
      <c r="AZ85"/>
      <c r="BA85"/>
      <c r="BB85"/>
      <c r="BC85"/>
      <c r="BD85" s="212"/>
      <c r="BE85" s="212"/>
      <c r="BG85" s="212"/>
      <c r="BH85" s="212"/>
      <c r="BI85" s="212"/>
      <c r="BJ85" s="212"/>
      <c r="BK85" s="212"/>
      <c r="BL85" s="212"/>
      <c r="BM85" s="212"/>
      <c r="BN85" s="212"/>
      <c r="BO85" s="212"/>
      <c r="BP85" s="212"/>
      <c r="BQ85" s="212"/>
      <c r="BR85" s="212"/>
      <c r="BS85" s="212"/>
      <c r="BT85" s="212"/>
      <c r="BU85" s="212"/>
      <c r="BV85" s="212"/>
      <c r="BW85" s="212"/>
      <c r="BX85" s="212"/>
      <c r="BY85" s="212"/>
      <c r="BZ85" s="212"/>
      <c r="CA85" s="212"/>
      <c r="CB85" s="212"/>
      <c r="CC85" s="212"/>
      <c r="CD85" s="212"/>
      <c r="CE85" s="212"/>
      <c r="CF85" s="212"/>
      <c r="CG85" s="212"/>
      <c r="CH85" s="212"/>
      <c r="CI85" s="212"/>
      <c r="CJ85" s="212"/>
      <c r="CK85" s="212"/>
      <c r="CL85" s="212"/>
      <c r="CM85" s="212"/>
      <c r="CN85" s="212"/>
      <c r="CO85" s="212"/>
      <c r="CP85" s="212"/>
      <c r="CQ85" s="212"/>
      <c r="CR85" s="212"/>
      <c r="CS85" s="212"/>
      <c r="CT85" s="212"/>
      <c r="CU85" s="212"/>
      <c r="CV85" s="212"/>
      <c r="CW85" s="212"/>
      <c r="CX85" s="212"/>
      <c r="CY85" s="212"/>
      <c r="CZ85" s="212"/>
      <c r="DA85" s="212"/>
      <c r="DB85" s="212"/>
      <c r="DC85" s="212"/>
      <c r="DD85" s="212"/>
      <c r="DE85" s="212"/>
      <c r="DF85" s="212"/>
      <c r="DG85" s="212"/>
      <c r="DH85" s="212"/>
      <c r="DI85" s="212"/>
      <c r="DJ85" s="212"/>
      <c r="DK85" s="212"/>
      <c r="DL85" s="212"/>
      <c r="DM85" s="212"/>
      <c r="DN85" s="212"/>
      <c r="DO85" s="212"/>
      <c r="DP85" s="212"/>
      <c r="DQ85" s="212"/>
      <c r="DR85" s="212"/>
      <c r="DS85" s="212"/>
      <c r="DT85" s="212"/>
      <c r="DU85" s="212"/>
      <c r="DV85" s="212"/>
      <c r="DW85" s="212"/>
      <c r="DX85" s="212"/>
      <c r="DY85" s="212"/>
      <c r="DZ85" s="212"/>
      <c r="EA85" s="212"/>
      <c r="EB85" s="212"/>
      <c r="EC85" s="212"/>
      <c r="ED85" s="212"/>
      <c r="EE85" s="212"/>
      <c r="EF85" s="212"/>
      <c r="EG85" s="212"/>
      <c r="EH85" s="212"/>
      <c r="EI85" s="212"/>
      <c r="EJ85" s="212"/>
      <c r="EK85" s="212"/>
      <c r="EL85" s="212"/>
      <c r="EM85" s="212"/>
      <c r="EN85" s="212"/>
      <c r="EO85" s="212"/>
      <c r="EP85" s="212"/>
      <c r="EQ85" s="212"/>
      <c r="ER85" s="212"/>
      <c r="ES85" s="212"/>
      <c r="ET85" s="212"/>
      <c r="EU85" s="212"/>
      <c r="EV85" s="212"/>
      <c r="EW85" s="212"/>
      <c r="EX85" s="212"/>
      <c r="EY85" s="212"/>
      <c r="EZ85" s="212"/>
      <c r="FA85" s="212"/>
      <c r="FB85" s="212"/>
      <c r="FC85" s="212"/>
      <c r="FD85" s="212"/>
      <c r="FE85" s="212"/>
      <c r="FF85" s="212"/>
      <c r="FG85" s="212"/>
      <c r="FH85" s="212"/>
      <c r="FI85" s="212"/>
      <c r="FJ85" s="212"/>
      <c r="FK85" s="212"/>
      <c r="FL85" s="212"/>
      <c r="FM85" s="212"/>
      <c r="FN85" s="212"/>
      <c r="FO85" s="212"/>
      <c r="FP85" s="212"/>
      <c r="FQ85" s="212"/>
      <c r="FR85" s="212"/>
      <c r="FS85" s="212"/>
      <c r="FT85" s="212"/>
      <c r="FU85" s="212"/>
      <c r="FV85" s="212"/>
      <c r="FW85" s="212"/>
      <c r="FX85" s="212"/>
      <c r="FY85" s="212"/>
      <c r="FZ85" s="212"/>
      <c r="GA85" s="212"/>
      <c r="GB85" s="212"/>
      <c r="GC85" s="212"/>
      <c r="GD85" s="212"/>
      <c r="GE85" s="212"/>
      <c r="GF85" s="212"/>
      <c r="GG85" s="212"/>
      <c r="GH85" s="212"/>
      <c r="GI85" s="212"/>
      <c r="GJ85" s="212"/>
      <c r="GK85" s="212"/>
      <c r="GL85" s="212"/>
      <c r="GM85" s="212"/>
      <c r="GN85" s="212"/>
      <c r="GO85" s="212"/>
      <c r="GP85" s="212"/>
      <c r="GQ85" s="212"/>
      <c r="GR85" s="212"/>
      <c r="GS85" s="212"/>
      <c r="GT85" s="212"/>
      <c r="GU85" s="212"/>
      <c r="GV85" s="212"/>
      <c r="GW85" s="212"/>
      <c r="GX85" s="212"/>
      <c r="GY85" s="212"/>
      <c r="GZ85" s="212"/>
      <c r="HA85" s="212"/>
      <c r="HB85" s="212"/>
      <c r="HC85" s="212"/>
      <c r="HD85" s="212"/>
      <c r="HE85" s="212"/>
      <c r="HF85" s="212"/>
      <c r="HG85" s="212"/>
      <c r="HH85" s="212"/>
      <c r="HI85" s="212"/>
      <c r="HJ85" s="212"/>
      <c r="HK85" s="212"/>
      <c r="HL85" s="212"/>
      <c r="HM85" s="212"/>
      <c r="HN85" s="212"/>
      <c r="HO85" s="212"/>
      <c r="HP85" s="212"/>
      <c r="HQ85" s="212"/>
      <c r="HR85" s="212"/>
      <c r="HS85" s="212"/>
      <c r="HT85" s="212"/>
      <c r="HU85" s="212"/>
      <c r="HV85" s="212"/>
      <c r="HW85" s="212"/>
      <c r="HX85" s="212"/>
      <c r="HY85" s="212"/>
      <c r="HZ85" s="212"/>
      <c r="IA85" s="212"/>
      <c r="IB85" s="212"/>
      <c r="IC85" s="212"/>
      <c r="ID85" s="212"/>
      <c r="IE85" s="212"/>
      <c r="IF85" s="212"/>
      <c r="IG85" s="212"/>
      <c r="IH85" s="212"/>
      <c r="II85" s="212"/>
      <c r="IJ85" s="212"/>
      <c r="IK85" s="212"/>
      <c r="IL85" s="212"/>
      <c r="IM85" s="212"/>
      <c r="IN85" s="212"/>
      <c r="IO85" s="212"/>
      <c r="IP85" s="212"/>
      <c r="IQ85" s="212"/>
      <c r="IR85" s="212"/>
      <c r="IS85" s="212"/>
      <c r="IT85" s="212"/>
      <c r="IU85" s="212"/>
      <c r="IV85" s="212"/>
    </row>
    <row r="86" spans="1:256" s="207" customFormat="1" ht="12.6" customHeight="1">
      <c r="A86" s="214"/>
      <c r="B86" s="214"/>
      <c r="C86" s="214"/>
      <c r="D86" s="214"/>
      <c r="E86" s="214"/>
      <c r="F86" s="214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4"/>
      <c r="W86" s="214"/>
      <c r="X86" s="214"/>
      <c r="Y86" s="214"/>
      <c r="Z86" s="214"/>
      <c r="AC86" s="212"/>
      <c r="AD86" s="212"/>
      <c r="AE86" s="212"/>
      <c r="AF86" s="212"/>
      <c r="AG86" s="212"/>
      <c r="AH86" s="212"/>
      <c r="AI86" s="212"/>
      <c r="AJ86" s="212"/>
      <c r="AK86" s="212"/>
      <c r="AL86" s="212"/>
      <c r="AM86" s="212"/>
      <c r="AN86" s="212"/>
      <c r="AO86" s="212"/>
      <c r="AP86" s="212"/>
      <c r="AQ86" s="212"/>
      <c r="AR86" s="212"/>
      <c r="AS86" s="212"/>
      <c r="AT86" s="212"/>
      <c r="AU86"/>
      <c r="AV86"/>
      <c r="AW86"/>
      <c r="AX86"/>
      <c r="AY86"/>
      <c r="AZ86"/>
      <c r="BA86"/>
      <c r="BB86"/>
      <c r="BC86"/>
      <c r="BD86" s="212"/>
      <c r="BE86" s="212"/>
      <c r="BG86" s="212"/>
      <c r="BH86" s="212"/>
      <c r="BI86" s="212"/>
      <c r="BJ86" s="212"/>
      <c r="BK86" s="212"/>
      <c r="BL86" s="212"/>
      <c r="BM86" s="212"/>
      <c r="BN86" s="212"/>
      <c r="BO86" s="212"/>
      <c r="BP86" s="212"/>
      <c r="BQ86" s="212"/>
      <c r="BR86" s="212"/>
      <c r="BS86" s="212"/>
      <c r="BT86" s="212"/>
      <c r="BU86" s="212"/>
      <c r="BV86" s="212"/>
      <c r="BW86" s="212"/>
      <c r="BX86" s="212"/>
      <c r="BY86" s="212"/>
      <c r="BZ86" s="212"/>
      <c r="CA86" s="212"/>
      <c r="CB86" s="212"/>
      <c r="CC86" s="212"/>
      <c r="CD86" s="212"/>
      <c r="CE86" s="212"/>
      <c r="CF86" s="212"/>
      <c r="CG86" s="212"/>
      <c r="CH86" s="212"/>
      <c r="CI86" s="212"/>
      <c r="CJ86" s="212"/>
      <c r="CK86" s="212"/>
      <c r="CL86" s="212"/>
      <c r="CM86" s="212"/>
      <c r="CN86" s="212"/>
      <c r="CO86" s="212"/>
      <c r="CP86" s="212"/>
      <c r="CQ86" s="212"/>
      <c r="CR86" s="212"/>
      <c r="CS86" s="212"/>
      <c r="CT86" s="212"/>
      <c r="CU86" s="212"/>
      <c r="CV86" s="212"/>
      <c r="CW86" s="212"/>
      <c r="CX86" s="212"/>
      <c r="CY86" s="212"/>
      <c r="CZ86" s="212"/>
      <c r="DA86" s="212"/>
      <c r="DB86" s="212"/>
      <c r="DC86" s="212"/>
      <c r="DD86" s="212"/>
      <c r="DE86" s="212"/>
      <c r="DF86" s="212"/>
      <c r="DG86" s="212"/>
      <c r="DH86" s="212"/>
      <c r="DI86" s="212"/>
      <c r="DJ86" s="212"/>
      <c r="DK86" s="212"/>
      <c r="DL86" s="212"/>
      <c r="DM86" s="212"/>
      <c r="DN86" s="212"/>
      <c r="DO86" s="212"/>
      <c r="DP86" s="212"/>
      <c r="DQ86" s="212"/>
      <c r="DR86" s="212"/>
      <c r="DS86" s="212"/>
      <c r="DT86" s="212"/>
      <c r="DU86" s="212"/>
      <c r="DV86" s="212"/>
      <c r="DW86" s="212"/>
      <c r="DX86" s="212"/>
      <c r="DY86" s="212"/>
      <c r="DZ86" s="212"/>
      <c r="EA86" s="212"/>
      <c r="EB86" s="212"/>
      <c r="EC86" s="212"/>
      <c r="ED86" s="212"/>
      <c r="EE86" s="212"/>
      <c r="EF86" s="212"/>
      <c r="EG86" s="212"/>
      <c r="EH86" s="212"/>
      <c r="EI86" s="212"/>
      <c r="EJ86" s="212"/>
      <c r="EK86" s="212"/>
      <c r="EL86" s="212"/>
      <c r="EM86" s="212"/>
      <c r="EN86" s="212"/>
      <c r="EO86" s="212"/>
      <c r="EP86" s="212"/>
      <c r="EQ86" s="212"/>
      <c r="ER86" s="212"/>
      <c r="ES86" s="212"/>
      <c r="ET86" s="212"/>
      <c r="EU86" s="212"/>
      <c r="EV86" s="212"/>
      <c r="EW86" s="212"/>
      <c r="EX86" s="212"/>
      <c r="EY86" s="212"/>
      <c r="EZ86" s="212"/>
      <c r="FA86" s="212"/>
      <c r="FB86" s="212"/>
      <c r="FC86" s="212"/>
      <c r="FD86" s="212"/>
      <c r="FE86" s="212"/>
      <c r="FF86" s="212"/>
      <c r="FG86" s="212"/>
      <c r="FH86" s="212"/>
      <c r="FI86" s="212"/>
      <c r="FJ86" s="212"/>
      <c r="FK86" s="212"/>
      <c r="FL86" s="212"/>
      <c r="FM86" s="212"/>
      <c r="FN86" s="212"/>
      <c r="FO86" s="212"/>
      <c r="FP86" s="212"/>
      <c r="FQ86" s="212"/>
      <c r="FR86" s="212"/>
      <c r="FS86" s="212"/>
      <c r="FT86" s="212"/>
      <c r="FU86" s="212"/>
      <c r="FV86" s="212"/>
      <c r="FW86" s="212"/>
      <c r="FX86" s="212"/>
      <c r="FY86" s="212"/>
      <c r="FZ86" s="212"/>
      <c r="GA86" s="212"/>
      <c r="GB86" s="212"/>
      <c r="GC86" s="212"/>
      <c r="GD86" s="212"/>
      <c r="GE86" s="212"/>
      <c r="GF86" s="212"/>
      <c r="GG86" s="212"/>
      <c r="GH86" s="212"/>
      <c r="GI86" s="212"/>
      <c r="GJ86" s="212"/>
      <c r="GK86" s="212"/>
      <c r="GL86" s="212"/>
      <c r="GM86" s="212"/>
      <c r="GN86" s="212"/>
      <c r="GO86" s="212"/>
      <c r="GP86" s="212"/>
      <c r="GQ86" s="212"/>
      <c r="GR86" s="212"/>
      <c r="GS86" s="212"/>
      <c r="GT86" s="212"/>
      <c r="GU86" s="212"/>
      <c r="GV86" s="212"/>
      <c r="GW86" s="212"/>
      <c r="GX86" s="212"/>
      <c r="GY86" s="212"/>
      <c r="GZ86" s="212"/>
      <c r="HA86" s="212"/>
      <c r="HB86" s="212"/>
      <c r="HC86" s="212"/>
      <c r="HD86" s="212"/>
      <c r="HE86" s="212"/>
      <c r="HF86" s="212"/>
      <c r="HG86" s="212"/>
      <c r="HH86" s="212"/>
      <c r="HI86" s="212"/>
      <c r="HJ86" s="212"/>
      <c r="HK86" s="212"/>
      <c r="HL86" s="212"/>
      <c r="HM86" s="212"/>
      <c r="HN86" s="212"/>
      <c r="HO86" s="212"/>
      <c r="HP86" s="212"/>
      <c r="HQ86" s="212"/>
      <c r="HR86" s="212"/>
      <c r="HS86" s="212"/>
      <c r="HT86" s="212"/>
      <c r="HU86" s="212"/>
      <c r="HV86" s="212"/>
      <c r="HW86" s="212"/>
      <c r="HX86" s="212"/>
      <c r="HY86" s="212"/>
      <c r="HZ86" s="212"/>
      <c r="IA86" s="212"/>
      <c r="IB86" s="212"/>
      <c r="IC86" s="212"/>
      <c r="ID86" s="212"/>
      <c r="IE86" s="212"/>
      <c r="IF86" s="212"/>
      <c r="IG86" s="212"/>
      <c r="IH86" s="212"/>
      <c r="II86" s="212"/>
      <c r="IJ86" s="212"/>
      <c r="IK86" s="212"/>
      <c r="IL86" s="212"/>
      <c r="IM86" s="212"/>
      <c r="IN86" s="212"/>
      <c r="IO86" s="212"/>
      <c r="IP86" s="212"/>
      <c r="IQ86" s="212"/>
      <c r="IR86" s="212"/>
      <c r="IS86" s="212"/>
      <c r="IT86" s="212"/>
      <c r="IU86" s="212"/>
      <c r="IV86" s="212"/>
    </row>
    <row r="87" spans="1:256" s="212" customFormat="1" ht="12.6" customHeight="1">
      <c r="A87" s="214"/>
      <c r="B87" s="214"/>
      <c r="C87" s="214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  <c r="U87" s="214"/>
      <c r="V87" s="214"/>
      <c r="W87" s="214"/>
      <c r="X87" s="214"/>
      <c r="Y87" s="214"/>
      <c r="Z87" s="214"/>
      <c r="AA87" s="11"/>
      <c r="AB87" s="11"/>
      <c r="AC87" s="214"/>
      <c r="AE87" s="320"/>
      <c r="AF87" s="320"/>
      <c r="AG87" s="320"/>
      <c r="AH87" s="320"/>
      <c r="AI87" s="320"/>
      <c r="AJ87" s="320"/>
      <c r="AK87" s="320"/>
      <c r="AL87" s="320"/>
      <c r="AM87" s="320"/>
      <c r="AN87" s="320"/>
      <c r="AO87" s="320"/>
      <c r="AP87" s="320"/>
      <c r="AQ87" s="320"/>
      <c r="AR87" s="320"/>
      <c r="AS87" s="320"/>
      <c r="AT87" s="320"/>
      <c r="AU87"/>
      <c r="AV87"/>
      <c r="AW87"/>
      <c r="AX87"/>
      <c r="AY87"/>
      <c r="AZ87"/>
      <c r="BA87"/>
      <c r="BB87"/>
      <c r="BC87"/>
      <c r="BF87" s="207"/>
    </row>
    <row r="88" spans="1:256" s="212" customFormat="1" ht="12.6" customHeight="1">
      <c r="A88" s="214"/>
      <c r="B88" s="214"/>
      <c r="C88" s="214"/>
      <c r="D88" s="214"/>
      <c r="E88" s="214"/>
      <c r="F88" s="214"/>
      <c r="G88" s="214"/>
      <c r="H88" s="214"/>
      <c r="I88" s="214"/>
      <c r="J88" s="214"/>
      <c r="K88" s="214"/>
      <c r="L88" s="214"/>
      <c r="M88" s="214"/>
      <c r="N88" s="214"/>
      <c r="O88" s="214"/>
      <c r="P88" s="214"/>
      <c r="Q88" s="214"/>
      <c r="R88" s="214"/>
      <c r="S88" s="214"/>
      <c r="T88" s="214"/>
      <c r="U88" s="214"/>
      <c r="V88" s="214"/>
      <c r="W88" s="214"/>
      <c r="X88" s="214"/>
      <c r="Y88" s="214"/>
      <c r="Z88" s="207"/>
      <c r="AA88" s="207"/>
      <c r="AB88" s="207"/>
      <c r="AC88" s="207"/>
      <c r="AD88" s="207"/>
      <c r="AE88" s="321"/>
      <c r="AF88" s="321"/>
      <c r="AG88" s="321"/>
      <c r="AH88" s="321"/>
      <c r="AI88" s="321"/>
      <c r="AJ88" s="321"/>
      <c r="AK88" s="321"/>
      <c r="AL88" s="321"/>
      <c r="AM88" s="321"/>
      <c r="AN88" s="321"/>
      <c r="AO88" s="321"/>
      <c r="AP88" s="321"/>
      <c r="AQ88" s="321"/>
      <c r="AR88" s="321"/>
      <c r="AS88" s="321"/>
      <c r="AT88" s="321"/>
      <c r="AU88"/>
      <c r="AV88"/>
      <c r="AW88"/>
      <c r="AX88"/>
      <c r="AY88"/>
      <c r="AZ88"/>
      <c r="BA88"/>
      <c r="BB88"/>
      <c r="BC88"/>
      <c r="BD88" s="207"/>
      <c r="BE88" s="207"/>
      <c r="BF88" s="207"/>
      <c r="BG88" s="207"/>
      <c r="BH88" s="207"/>
      <c r="BI88" s="207"/>
      <c r="BJ88" s="207"/>
      <c r="BK88" s="207"/>
      <c r="BL88" s="207"/>
      <c r="BM88" s="207"/>
      <c r="BN88" s="207"/>
      <c r="BO88" s="207"/>
      <c r="BP88" s="207"/>
      <c r="BQ88" s="207"/>
      <c r="BR88" s="207"/>
      <c r="BS88" s="207"/>
      <c r="BT88" s="207"/>
      <c r="BU88" s="207"/>
      <c r="BV88" s="207"/>
      <c r="BW88" s="207"/>
      <c r="BX88" s="207"/>
      <c r="BY88" s="207"/>
      <c r="BZ88" s="207"/>
      <c r="CA88" s="207"/>
      <c r="CB88" s="207"/>
      <c r="CC88" s="207"/>
      <c r="CD88" s="207"/>
      <c r="CE88" s="207"/>
      <c r="CF88" s="207"/>
      <c r="CG88" s="207"/>
      <c r="CH88" s="207"/>
      <c r="CI88" s="207"/>
      <c r="CJ88" s="207"/>
      <c r="CK88" s="207"/>
      <c r="CL88" s="207"/>
      <c r="CM88" s="207"/>
      <c r="CN88" s="207"/>
      <c r="CO88" s="207"/>
      <c r="CP88" s="207"/>
      <c r="CQ88" s="207"/>
      <c r="CR88" s="207"/>
      <c r="CS88" s="207"/>
      <c r="CT88" s="207"/>
      <c r="CU88" s="207"/>
      <c r="CV88" s="207"/>
      <c r="CW88" s="207"/>
      <c r="CX88" s="207"/>
      <c r="CY88" s="207"/>
      <c r="CZ88" s="207"/>
      <c r="DA88" s="207"/>
      <c r="DB88" s="207"/>
      <c r="DC88" s="207"/>
      <c r="DD88" s="207"/>
      <c r="DE88" s="207"/>
      <c r="DF88" s="207"/>
      <c r="DG88" s="207"/>
      <c r="DH88" s="207"/>
      <c r="DI88" s="207"/>
      <c r="DJ88" s="207"/>
      <c r="DK88" s="207"/>
      <c r="DL88" s="207"/>
      <c r="DM88" s="207"/>
      <c r="DN88" s="207"/>
      <c r="DO88" s="207"/>
      <c r="DP88" s="207"/>
      <c r="DQ88" s="207"/>
      <c r="DR88" s="207"/>
      <c r="DS88" s="207"/>
      <c r="DT88" s="207"/>
      <c r="DU88" s="207"/>
      <c r="DV88" s="207"/>
      <c r="DW88" s="207"/>
      <c r="DX88" s="207"/>
      <c r="DY88" s="207"/>
      <c r="DZ88" s="207"/>
      <c r="EA88" s="207"/>
      <c r="EB88" s="207"/>
      <c r="EC88" s="207"/>
      <c r="ED88" s="207"/>
      <c r="EE88" s="207"/>
      <c r="EF88" s="207"/>
      <c r="EG88" s="207"/>
      <c r="EH88" s="207"/>
      <c r="EI88" s="207"/>
      <c r="EJ88" s="207"/>
      <c r="EK88" s="207"/>
      <c r="EL88" s="207"/>
      <c r="EM88" s="207"/>
      <c r="EN88" s="207"/>
      <c r="EO88" s="207"/>
      <c r="EP88" s="207"/>
      <c r="EQ88" s="207"/>
      <c r="ER88" s="207"/>
      <c r="ES88" s="207"/>
      <c r="ET88" s="207"/>
      <c r="EU88" s="207"/>
      <c r="EV88" s="207"/>
      <c r="EW88" s="207"/>
      <c r="EX88" s="207"/>
      <c r="EY88" s="207"/>
      <c r="EZ88" s="207"/>
      <c r="FA88" s="207"/>
      <c r="FB88" s="207"/>
      <c r="FC88" s="207"/>
      <c r="FD88" s="207"/>
      <c r="FE88" s="207"/>
      <c r="FF88" s="207"/>
      <c r="FG88" s="207"/>
      <c r="FH88" s="207"/>
      <c r="FI88" s="207"/>
      <c r="FJ88" s="207"/>
      <c r="FK88" s="207"/>
      <c r="FL88" s="207"/>
      <c r="FM88" s="207"/>
      <c r="FN88" s="207"/>
      <c r="FO88" s="207"/>
      <c r="FP88" s="207"/>
      <c r="FQ88" s="207"/>
      <c r="FR88" s="207"/>
      <c r="FS88" s="207"/>
      <c r="FT88" s="207"/>
      <c r="FU88" s="207"/>
      <c r="FV88" s="207"/>
      <c r="FW88" s="207"/>
      <c r="FX88" s="207"/>
      <c r="FY88" s="207"/>
      <c r="FZ88" s="207"/>
      <c r="GA88" s="207"/>
      <c r="GB88" s="207"/>
      <c r="GC88" s="207"/>
      <c r="GD88" s="207"/>
      <c r="GE88" s="207"/>
      <c r="GF88" s="207"/>
      <c r="GG88" s="207"/>
      <c r="GH88" s="207"/>
      <c r="GI88" s="207"/>
      <c r="GJ88" s="207"/>
      <c r="GK88" s="207"/>
      <c r="GL88" s="207"/>
      <c r="GM88" s="207"/>
      <c r="GN88" s="207"/>
      <c r="GO88" s="207"/>
      <c r="GP88" s="207"/>
      <c r="GQ88" s="207"/>
      <c r="GR88" s="207"/>
      <c r="GS88" s="207"/>
      <c r="GT88" s="207"/>
      <c r="GU88" s="207"/>
      <c r="GV88" s="207"/>
      <c r="GW88" s="207"/>
      <c r="GX88" s="207"/>
      <c r="GY88" s="207"/>
      <c r="GZ88" s="207"/>
      <c r="HA88" s="207"/>
      <c r="HB88" s="207"/>
      <c r="HC88" s="207"/>
      <c r="HD88" s="207"/>
      <c r="HE88" s="207"/>
      <c r="HF88" s="207"/>
      <c r="HG88" s="207"/>
      <c r="HH88" s="207"/>
      <c r="HI88" s="207"/>
      <c r="HJ88" s="207"/>
      <c r="HK88" s="207"/>
      <c r="HL88" s="207"/>
      <c r="HM88" s="207"/>
      <c r="HN88" s="207"/>
      <c r="HO88" s="207"/>
      <c r="HP88" s="207"/>
      <c r="HQ88" s="207"/>
      <c r="HR88" s="207"/>
      <c r="HS88" s="207"/>
      <c r="HT88" s="207"/>
      <c r="HU88" s="207"/>
      <c r="HV88" s="207"/>
      <c r="HW88" s="207"/>
      <c r="HX88" s="207"/>
      <c r="HY88" s="207"/>
      <c r="HZ88" s="207"/>
      <c r="IA88" s="207"/>
      <c r="IB88" s="207"/>
      <c r="IC88" s="207"/>
      <c r="ID88" s="207"/>
      <c r="IE88" s="207"/>
      <c r="IF88" s="207"/>
      <c r="IG88" s="207"/>
      <c r="IH88" s="207"/>
      <c r="II88" s="207"/>
      <c r="IJ88" s="207"/>
      <c r="IK88" s="207"/>
      <c r="IL88" s="207"/>
      <c r="IM88" s="207"/>
      <c r="IN88" s="207"/>
      <c r="IO88" s="207"/>
      <c r="IP88" s="207"/>
      <c r="IQ88" s="207"/>
      <c r="IR88" s="207"/>
      <c r="IS88" s="207"/>
      <c r="IT88" s="207"/>
      <c r="IU88" s="207"/>
      <c r="IV88" s="207"/>
    </row>
    <row r="89" spans="1:256" s="212" customFormat="1" ht="12.6" customHeight="1">
      <c r="A89" s="214"/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4"/>
      <c r="V89" s="214"/>
      <c r="W89" s="214"/>
      <c r="X89" s="214"/>
      <c r="Y89" s="214"/>
      <c r="Z89" s="207"/>
      <c r="AA89" s="214"/>
      <c r="AB89" s="214"/>
      <c r="AC89" s="207"/>
      <c r="AD89" s="207"/>
      <c r="AE89" s="322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207"/>
      <c r="AU89"/>
      <c r="AV89"/>
      <c r="AW89"/>
      <c r="AX89"/>
      <c r="AY89"/>
      <c r="AZ89"/>
      <c r="BA89"/>
      <c r="BB89"/>
      <c r="BC89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7"/>
      <c r="BW89" s="207"/>
      <c r="BX89" s="207"/>
      <c r="BY89" s="207"/>
      <c r="BZ89" s="207"/>
      <c r="CA89" s="207"/>
      <c r="CB89" s="207"/>
      <c r="CC89" s="207"/>
      <c r="CD89" s="207"/>
      <c r="CE89" s="207"/>
      <c r="CF89" s="207"/>
      <c r="CG89" s="207"/>
      <c r="CH89" s="207"/>
      <c r="CI89" s="207"/>
      <c r="CJ89" s="207"/>
      <c r="CK89" s="207"/>
      <c r="CL89" s="207"/>
      <c r="CM89" s="207"/>
      <c r="CN89" s="207"/>
      <c r="CO89" s="207"/>
      <c r="CP89" s="207"/>
      <c r="CQ89" s="207"/>
      <c r="CR89" s="207"/>
      <c r="CS89" s="207"/>
      <c r="CT89" s="207"/>
      <c r="CU89" s="207"/>
      <c r="CV89" s="207"/>
      <c r="CW89" s="207"/>
      <c r="CX89" s="207"/>
      <c r="CY89" s="207"/>
      <c r="CZ89" s="207"/>
      <c r="DA89" s="207"/>
      <c r="DB89" s="207"/>
      <c r="DC89" s="207"/>
      <c r="DD89" s="207"/>
      <c r="DE89" s="207"/>
      <c r="DF89" s="207"/>
      <c r="DG89" s="207"/>
      <c r="DH89" s="207"/>
      <c r="DI89" s="207"/>
      <c r="DJ89" s="207"/>
      <c r="DK89" s="207"/>
      <c r="DL89" s="207"/>
      <c r="DM89" s="207"/>
      <c r="DN89" s="207"/>
      <c r="DO89" s="207"/>
      <c r="DP89" s="207"/>
      <c r="DQ89" s="207"/>
      <c r="DR89" s="207"/>
      <c r="DS89" s="207"/>
      <c r="DT89" s="207"/>
      <c r="DU89" s="207"/>
      <c r="DV89" s="207"/>
      <c r="DW89" s="207"/>
      <c r="DX89" s="207"/>
      <c r="DY89" s="207"/>
      <c r="DZ89" s="207"/>
      <c r="EA89" s="207"/>
      <c r="EB89" s="207"/>
      <c r="EC89" s="207"/>
      <c r="ED89" s="207"/>
      <c r="EE89" s="207"/>
      <c r="EF89" s="207"/>
      <c r="EG89" s="207"/>
      <c r="EH89" s="207"/>
      <c r="EI89" s="207"/>
      <c r="EJ89" s="207"/>
      <c r="EK89" s="207"/>
      <c r="EL89" s="207"/>
      <c r="EM89" s="207"/>
      <c r="EN89" s="207"/>
      <c r="EO89" s="207"/>
      <c r="EP89" s="207"/>
      <c r="EQ89" s="207"/>
      <c r="ER89" s="207"/>
      <c r="ES89" s="207"/>
      <c r="ET89" s="207"/>
      <c r="EU89" s="207"/>
      <c r="EV89" s="207"/>
      <c r="EW89" s="207"/>
      <c r="EX89" s="207"/>
      <c r="EY89" s="207"/>
      <c r="EZ89" s="207"/>
      <c r="FA89" s="207"/>
      <c r="FB89" s="207"/>
      <c r="FC89" s="207"/>
      <c r="FD89" s="207"/>
      <c r="FE89" s="207"/>
      <c r="FF89" s="207"/>
      <c r="FG89" s="207"/>
      <c r="FH89" s="207"/>
      <c r="FI89" s="207"/>
      <c r="FJ89" s="207"/>
      <c r="FK89" s="207"/>
      <c r="FL89" s="207"/>
      <c r="FM89" s="207"/>
      <c r="FN89" s="207"/>
      <c r="FO89" s="207"/>
      <c r="FP89" s="207"/>
      <c r="FQ89" s="207"/>
      <c r="FR89" s="207"/>
      <c r="FS89" s="207"/>
      <c r="FT89" s="207"/>
      <c r="FU89" s="207"/>
      <c r="FV89" s="207"/>
      <c r="FW89" s="207"/>
      <c r="FX89" s="207"/>
      <c r="FY89" s="207"/>
      <c r="FZ89" s="207"/>
      <c r="GA89" s="207"/>
      <c r="GB89" s="207"/>
      <c r="GC89" s="207"/>
      <c r="GD89" s="207"/>
      <c r="GE89" s="207"/>
      <c r="GF89" s="207"/>
      <c r="GG89" s="207"/>
      <c r="GH89" s="207"/>
      <c r="GI89" s="207"/>
      <c r="GJ89" s="207"/>
      <c r="GK89" s="207"/>
      <c r="GL89" s="207"/>
      <c r="GM89" s="207"/>
      <c r="GN89" s="207"/>
      <c r="GO89" s="207"/>
      <c r="GP89" s="207"/>
      <c r="GQ89" s="207"/>
      <c r="GR89" s="207"/>
      <c r="GS89" s="207"/>
      <c r="GT89" s="207"/>
      <c r="GU89" s="207"/>
      <c r="GV89" s="207"/>
      <c r="GW89" s="207"/>
      <c r="GX89" s="207"/>
      <c r="GY89" s="207"/>
      <c r="GZ89" s="207"/>
      <c r="HA89" s="207"/>
      <c r="HB89" s="207"/>
      <c r="HC89" s="207"/>
      <c r="HD89" s="207"/>
      <c r="HE89" s="207"/>
      <c r="HF89" s="207"/>
      <c r="HG89" s="207"/>
      <c r="HH89" s="207"/>
      <c r="HI89" s="207"/>
      <c r="HJ89" s="207"/>
      <c r="HK89" s="207"/>
      <c r="HL89" s="207"/>
      <c r="HM89" s="207"/>
      <c r="HN89" s="207"/>
      <c r="HO89" s="207"/>
      <c r="HP89" s="207"/>
      <c r="HQ89" s="207"/>
      <c r="HR89" s="207"/>
      <c r="HS89" s="207"/>
      <c r="HT89" s="207"/>
      <c r="HU89" s="207"/>
      <c r="HV89" s="207"/>
      <c r="HW89" s="207"/>
      <c r="HX89" s="207"/>
      <c r="HY89" s="207"/>
      <c r="HZ89" s="207"/>
      <c r="IA89" s="207"/>
      <c r="IB89" s="207"/>
      <c r="IC89" s="207"/>
      <c r="ID89" s="207"/>
      <c r="IE89" s="207"/>
      <c r="IF89" s="207"/>
      <c r="IG89" s="207"/>
      <c r="IH89" s="207"/>
      <c r="II89" s="207"/>
      <c r="IJ89" s="207"/>
      <c r="IK89" s="207"/>
      <c r="IL89" s="207"/>
      <c r="IM89" s="207"/>
      <c r="IN89" s="207"/>
      <c r="IO89" s="207"/>
      <c r="IP89" s="207"/>
      <c r="IQ89" s="207"/>
      <c r="IR89" s="207"/>
      <c r="IS89" s="207"/>
      <c r="IT89" s="207"/>
      <c r="IU89" s="207"/>
      <c r="IV89" s="207"/>
    </row>
    <row r="90" spans="1:256" s="212" customFormat="1" ht="12.6" customHeight="1">
      <c r="A90" s="214"/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4"/>
      <c r="W90" s="214"/>
      <c r="X90" s="214"/>
      <c r="Y90" s="214"/>
      <c r="Z90" s="11"/>
      <c r="AA90" s="214"/>
      <c r="AB90" s="214"/>
      <c r="AC90" s="11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/>
      <c r="AV90"/>
      <c r="AW90"/>
      <c r="AX90"/>
      <c r="AY90"/>
      <c r="AZ90"/>
      <c r="BA90"/>
      <c r="BB90"/>
      <c r="BC90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7"/>
      <c r="BW90" s="207"/>
      <c r="BX90" s="207"/>
      <c r="BY90" s="207"/>
      <c r="BZ90" s="207"/>
      <c r="CA90" s="207"/>
      <c r="CB90" s="207"/>
      <c r="CC90" s="207"/>
      <c r="CD90" s="207"/>
      <c r="CE90" s="207"/>
      <c r="CF90" s="207"/>
      <c r="CG90" s="207"/>
      <c r="CH90" s="207"/>
      <c r="CI90" s="207"/>
      <c r="CJ90" s="207"/>
      <c r="CK90" s="207"/>
      <c r="CL90" s="207"/>
      <c r="CM90" s="207"/>
      <c r="CN90" s="207"/>
      <c r="CO90" s="207"/>
      <c r="CP90" s="207"/>
      <c r="CQ90" s="207"/>
      <c r="CR90" s="207"/>
      <c r="CS90" s="207"/>
      <c r="CT90" s="207"/>
      <c r="CU90" s="207"/>
      <c r="CV90" s="207"/>
      <c r="CW90" s="207"/>
      <c r="CX90" s="207"/>
      <c r="CY90" s="207"/>
      <c r="CZ90" s="207"/>
      <c r="DA90" s="207"/>
      <c r="DB90" s="207"/>
      <c r="DC90" s="207"/>
      <c r="DD90" s="207"/>
      <c r="DE90" s="207"/>
      <c r="DF90" s="207"/>
      <c r="DG90" s="207"/>
      <c r="DH90" s="207"/>
      <c r="DI90" s="207"/>
      <c r="DJ90" s="207"/>
      <c r="DK90" s="207"/>
      <c r="DL90" s="207"/>
      <c r="DM90" s="207"/>
      <c r="DN90" s="207"/>
      <c r="DO90" s="207"/>
      <c r="DP90" s="207"/>
      <c r="DQ90" s="207"/>
      <c r="DR90" s="207"/>
      <c r="DS90" s="207"/>
      <c r="DT90" s="207"/>
      <c r="DU90" s="207"/>
      <c r="DV90" s="207"/>
      <c r="DW90" s="207"/>
      <c r="DX90" s="207"/>
      <c r="DY90" s="207"/>
      <c r="DZ90" s="207"/>
      <c r="EA90" s="207"/>
      <c r="EB90" s="207"/>
      <c r="EC90" s="207"/>
      <c r="ED90" s="207"/>
      <c r="EE90" s="207"/>
      <c r="EF90" s="207"/>
      <c r="EG90" s="207"/>
      <c r="EH90" s="207"/>
      <c r="EI90" s="207"/>
      <c r="EJ90" s="207"/>
      <c r="EK90" s="207"/>
      <c r="EL90" s="207"/>
      <c r="EM90" s="207"/>
      <c r="EN90" s="207"/>
      <c r="EO90" s="207"/>
      <c r="EP90" s="207"/>
      <c r="EQ90" s="207"/>
      <c r="ER90" s="207"/>
      <c r="ES90" s="207"/>
      <c r="ET90" s="207"/>
      <c r="EU90" s="207"/>
      <c r="EV90" s="207"/>
      <c r="EW90" s="207"/>
      <c r="EX90" s="207"/>
      <c r="EY90" s="207"/>
      <c r="EZ90" s="207"/>
      <c r="FA90" s="207"/>
      <c r="FB90" s="207"/>
      <c r="FC90" s="207"/>
      <c r="FD90" s="207"/>
      <c r="FE90" s="207"/>
      <c r="FF90" s="207"/>
      <c r="FG90" s="207"/>
      <c r="FH90" s="207"/>
      <c r="FI90" s="207"/>
      <c r="FJ90" s="207"/>
      <c r="FK90" s="207"/>
      <c r="FL90" s="207"/>
      <c r="FM90" s="207"/>
      <c r="FN90" s="207"/>
      <c r="FO90" s="207"/>
      <c r="FP90" s="207"/>
      <c r="FQ90" s="207"/>
      <c r="FR90" s="207"/>
      <c r="FS90" s="207"/>
      <c r="FT90" s="207"/>
      <c r="FU90" s="207"/>
      <c r="FV90" s="207"/>
      <c r="FW90" s="207"/>
      <c r="FX90" s="207"/>
      <c r="FY90" s="207"/>
      <c r="FZ90" s="207"/>
      <c r="GA90" s="207"/>
      <c r="GB90" s="207"/>
      <c r="GC90" s="207"/>
      <c r="GD90" s="207"/>
      <c r="GE90" s="207"/>
      <c r="GF90" s="207"/>
      <c r="GG90" s="207"/>
      <c r="GH90" s="207"/>
      <c r="GI90" s="207"/>
      <c r="GJ90" s="207"/>
      <c r="GK90" s="207"/>
      <c r="GL90" s="207"/>
      <c r="GM90" s="207"/>
      <c r="GN90" s="207"/>
      <c r="GO90" s="207"/>
      <c r="GP90" s="207"/>
      <c r="GQ90" s="207"/>
      <c r="GR90" s="207"/>
      <c r="GS90" s="207"/>
      <c r="GT90" s="207"/>
      <c r="GU90" s="207"/>
      <c r="GV90" s="207"/>
      <c r="GW90" s="207"/>
      <c r="GX90" s="207"/>
      <c r="GY90" s="207"/>
      <c r="GZ90" s="207"/>
      <c r="HA90" s="207"/>
      <c r="HB90" s="207"/>
      <c r="HC90" s="207"/>
      <c r="HD90" s="207"/>
      <c r="HE90" s="207"/>
      <c r="HF90" s="207"/>
      <c r="HG90" s="207"/>
      <c r="HH90" s="207"/>
      <c r="HI90" s="207"/>
      <c r="HJ90" s="207"/>
      <c r="HK90" s="207"/>
      <c r="HL90" s="207"/>
      <c r="HM90" s="207"/>
      <c r="HN90" s="207"/>
      <c r="HO90" s="207"/>
      <c r="HP90" s="207"/>
      <c r="HQ90" s="207"/>
      <c r="HR90" s="207"/>
      <c r="HS90" s="207"/>
      <c r="HT90" s="207"/>
      <c r="HU90" s="207"/>
      <c r="HV90" s="207"/>
      <c r="HW90" s="207"/>
      <c r="HX90" s="207"/>
      <c r="HY90" s="207"/>
      <c r="HZ90" s="207"/>
      <c r="IA90" s="207"/>
      <c r="IB90" s="207"/>
      <c r="IC90" s="207"/>
      <c r="ID90" s="207"/>
      <c r="IE90" s="207"/>
      <c r="IF90" s="207"/>
      <c r="IG90" s="207"/>
      <c r="IH90" s="207"/>
      <c r="II90" s="207"/>
      <c r="IJ90" s="207"/>
      <c r="IK90" s="207"/>
      <c r="IL90" s="207"/>
      <c r="IM90" s="207"/>
      <c r="IN90" s="207"/>
      <c r="IO90" s="207"/>
      <c r="IP90" s="207"/>
      <c r="IQ90" s="207"/>
      <c r="IR90" s="207"/>
      <c r="IS90" s="207"/>
      <c r="IT90" s="207"/>
      <c r="IU90" s="207"/>
      <c r="IV90" s="207"/>
    </row>
    <row r="91" spans="1:256" s="212" customFormat="1" ht="12.6" customHeight="1">
      <c r="A91" s="207"/>
      <c r="B91" s="207"/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  <c r="W91" s="207"/>
      <c r="X91" s="207"/>
      <c r="Y91" s="207"/>
      <c r="Z91" s="207"/>
      <c r="AC91" s="214"/>
      <c r="AE91" s="318"/>
      <c r="AF91" s="318"/>
      <c r="AG91" s="318"/>
      <c r="AH91" s="318"/>
      <c r="AI91" s="318"/>
      <c r="AJ91" s="318"/>
      <c r="AK91" s="318"/>
      <c r="AL91" s="318"/>
      <c r="AM91" s="318"/>
      <c r="AN91" s="318"/>
      <c r="AO91" s="318"/>
      <c r="AP91" s="318"/>
      <c r="AQ91" s="318"/>
      <c r="AR91" s="318"/>
      <c r="AS91" s="318"/>
      <c r="AT91" s="318"/>
      <c r="AU91"/>
      <c r="AV91"/>
      <c r="AW91"/>
      <c r="AX91"/>
      <c r="AY91"/>
      <c r="AZ91"/>
      <c r="BA91"/>
      <c r="BB91"/>
      <c r="BC91"/>
      <c r="BF91" s="207"/>
    </row>
    <row r="92" spans="1:256" s="212" customFormat="1" ht="12.6" customHeight="1">
      <c r="A92" s="207"/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14"/>
      <c r="AA92" s="214"/>
      <c r="AB92" s="214"/>
      <c r="AC92" s="214"/>
      <c r="AE92" s="318"/>
      <c r="AF92" s="318"/>
      <c r="AG92" s="318"/>
      <c r="AH92" s="318"/>
      <c r="AI92" s="318"/>
      <c r="AJ92" s="318"/>
      <c r="AK92" s="318"/>
      <c r="AL92" s="318"/>
      <c r="AM92" s="318"/>
      <c r="AN92" s="318"/>
      <c r="AO92" s="318"/>
      <c r="AP92" s="318"/>
      <c r="AQ92" s="318"/>
      <c r="AR92" s="318"/>
      <c r="AS92" s="318"/>
      <c r="AT92" s="318"/>
      <c r="AU92"/>
      <c r="AV92"/>
      <c r="AW92"/>
      <c r="AX92"/>
      <c r="AY92"/>
      <c r="AZ92"/>
      <c r="BA92"/>
      <c r="BB92"/>
      <c r="BC92"/>
      <c r="BF92" s="207"/>
    </row>
    <row r="93" spans="1:256" s="207" customFormat="1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214"/>
      <c r="AC93" s="214"/>
      <c r="AD93" s="212"/>
      <c r="AE93" s="318"/>
      <c r="AF93" s="318"/>
      <c r="AG93" s="318"/>
      <c r="AH93" s="318"/>
      <c r="AI93" s="318"/>
      <c r="AJ93" s="318"/>
      <c r="AK93" s="318"/>
      <c r="AL93" s="318"/>
      <c r="AM93" s="318"/>
      <c r="AN93" s="318"/>
      <c r="AO93" s="318"/>
      <c r="AP93" s="318"/>
      <c r="AQ93" s="318"/>
      <c r="AR93" s="318"/>
      <c r="AS93" s="318"/>
      <c r="AT93" s="324"/>
      <c r="AU93"/>
      <c r="AV93"/>
      <c r="AW93"/>
      <c r="AX93"/>
      <c r="AY93"/>
      <c r="AZ93"/>
      <c r="BA93"/>
      <c r="BB93"/>
      <c r="BC93"/>
      <c r="BD93" s="212"/>
      <c r="BE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2"/>
      <c r="BW93" s="212"/>
      <c r="BX93" s="212"/>
      <c r="BY93" s="212"/>
      <c r="BZ93" s="212"/>
      <c r="CA93" s="212"/>
      <c r="CB93" s="212"/>
      <c r="CC93" s="212"/>
      <c r="CD93" s="212"/>
      <c r="CE93" s="212"/>
      <c r="CF93" s="212"/>
      <c r="CG93" s="212"/>
      <c r="CH93" s="212"/>
      <c r="CI93" s="212"/>
      <c r="CJ93" s="212"/>
      <c r="CK93" s="212"/>
      <c r="CL93" s="212"/>
      <c r="CM93" s="212"/>
      <c r="CN93" s="212"/>
      <c r="CO93" s="212"/>
      <c r="CP93" s="212"/>
      <c r="CQ93" s="212"/>
      <c r="CR93" s="212"/>
      <c r="CS93" s="212"/>
      <c r="CT93" s="212"/>
      <c r="CU93" s="212"/>
      <c r="CV93" s="212"/>
      <c r="CW93" s="212"/>
      <c r="CX93" s="212"/>
      <c r="CY93" s="212"/>
      <c r="CZ93" s="212"/>
      <c r="DA93" s="212"/>
      <c r="DB93" s="212"/>
      <c r="DC93" s="212"/>
      <c r="DD93" s="212"/>
      <c r="DE93" s="212"/>
      <c r="DF93" s="212"/>
      <c r="DG93" s="212"/>
      <c r="DH93" s="212"/>
      <c r="DI93" s="212"/>
      <c r="DJ93" s="212"/>
      <c r="DK93" s="212"/>
      <c r="DL93" s="212"/>
      <c r="DM93" s="212"/>
      <c r="DN93" s="212"/>
      <c r="DO93" s="212"/>
      <c r="DP93" s="212"/>
      <c r="DQ93" s="212"/>
      <c r="DR93" s="212"/>
      <c r="DS93" s="212"/>
      <c r="DT93" s="212"/>
      <c r="DU93" s="212"/>
      <c r="DV93" s="212"/>
      <c r="DW93" s="212"/>
      <c r="DX93" s="212"/>
      <c r="DY93" s="212"/>
      <c r="DZ93" s="212"/>
      <c r="EA93" s="212"/>
      <c r="EB93" s="212"/>
      <c r="EC93" s="212"/>
      <c r="ED93" s="212"/>
      <c r="EE93" s="212"/>
      <c r="EF93" s="212"/>
      <c r="EG93" s="212"/>
      <c r="EH93" s="212"/>
      <c r="EI93" s="212"/>
      <c r="EJ93" s="212"/>
      <c r="EK93" s="212"/>
      <c r="EL93" s="212"/>
      <c r="EM93" s="212"/>
      <c r="EN93" s="212"/>
      <c r="EO93" s="212"/>
      <c r="EP93" s="212"/>
      <c r="EQ93" s="212"/>
      <c r="ER93" s="212"/>
      <c r="ES93" s="212"/>
      <c r="ET93" s="212"/>
      <c r="EU93" s="212"/>
      <c r="EV93" s="212"/>
      <c r="EW93" s="212"/>
      <c r="EX93" s="212"/>
      <c r="EY93" s="212"/>
      <c r="EZ93" s="212"/>
      <c r="FA93" s="212"/>
      <c r="FB93" s="212"/>
      <c r="FC93" s="212"/>
      <c r="FD93" s="212"/>
      <c r="FE93" s="212"/>
      <c r="FF93" s="212"/>
      <c r="FG93" s="212"/>
      <c r="FH93" s="212"/>
      <c r="FI93" s="212"/>
      <c r="FJ93" s="212"/>
      <c r="FK93" s="212"/>
      <c r="FL93" s="212"/>
      <c r="FM93" s="212"/>
      <c r="FN93" s="212"/>
      <c r="FO93" s="212"/>
      <c r="FP93" s="212"/>
      <c r="FQ93" s="212"/>
      <c r="FR93" s="212"/>
      <c r="FS93" s="212"/>
      <c r="FT93" s="212"/>
      <c r="FU93" s="212"/>
      <c r="FV93" s="212"/>
      <c r="FW93" s="212"/>
      <c r="FX93" s="212"/>
      <c r="FY93" s="212"/>
      <c r="FZ93" s="212"/>
      <c r="GA93" s="212"/>
      <c r="GB93" s="212"/>
      <c r="GC93" s="212"/>
      <c r="GD93" s="212"/>
      <c r="GE93" s="212"/>
      <c r="GF93" s="212"/>
      <c r="GG93" s="212"/>
      <c r="GH93" s="212"/>
      <c r="GI93" s="212"/>
      <c r="GJ93" s="212"/>
      <c r="GK93" s="212"/>
      <c r="GL93" s="212"/>
      <c r="GM93" s="212"/>
      <c r="GN93" s="212"/>
      <c r="GO93" s="212"/>
      <c r="GP93" s="212"/>
      <c r="GQ93" s="212"/>
      <c r="GR93" s="212"/>
      <c r="GS93" s="212"/>
      <c r="GT93" s="212"/>
      <c r="GU93" s="212"/>
      <c r="GV93" s="212"/>
      <c r="GW93" s="212"/>
      <c r="GX93" s="212"/>
      <c r="GY93" s="212"/>
      <c r="GZ93" s="212"/>
      <c r="HA93" s="212"/>
      <c r="HB93" s="212"/>
      <c r="HC93" s="212"/>
      <c r="HD93" s="212"/>
      <c r="HE93" s="212"/>
      <c r="HF93" s="212"/>
      <c r="HG93" s="212"/>
      <c r="HH93" s="212"/>
      <c r="HI93" s="212"/>
      <c r="HJ93" s="212"/>
      <c r="HK93" s="212"/>
      <c r="HL93" s="212"/>
      <c r="HM93" s="212"/>
      <c r="HN93" s="212"/>
      <c r="HO93" s="212"/>
      <c r="HP93" s="212"/>
      <c r="HQ93" s="212"/>
      <c r="HR93" s="212"/>
      <c r="HS93" s="212"/>
      <c r="HT93" s="212"/>
      <c r="HU93" s="212"/>
      <c r="HV93" s="212"/>
      <c r="HW93" s="212"/>
      <c r="HX93" s="212"/>
      <c r="HY93" s="212"/>
      <c r="HZ93" s="212"/>
      <c r="IA93" s="212"/>
      <c r="IB93" s="212"/>
      <c r="IC93" s="212"/>
      <c r="ID93" s="212"/>
      <c r="IE93" s="212"/>
      <c r="IF93" s="212"/>
      <c r="IG93" s="212"/>
      <c r="IH93" s="212"/>
      <c r="II93" s="212"/>
      <c r="IJ93" s="212"/>
      <c r="IK93" s="212"/>
      <c r="IL93" s="212"/>
      <c r="IM93" s="212"/>
      <c r="IN93" s="212"/>
      <c r="IO93" s="212"/>
      <c r="IP93" s="212"/>
      <c r="IQ93" s="212"/>
      <c r="IR93" s="212"/>
      <c r="IS93" s="212"/>
      <c r="IT93" s="212"/>
      <c r="IU93" s="212"/>
      <c r="IV93" s="212"/>
    </row>
    <row r="94" spans="1:256" s="207" customFormat="1" ht="12.6" customHeight="1">
      <c r="Z94" s="212"/>
      <c r="AC94" s="214"/>
      <c r="AD94" s="212"/>
      <c r="AE94" s="318"/>
      <c r="AF94" s="318"/>
      <c r="AG94" s="318"/>
      <c r="AH94" s="318"/>
      <c r="AI94" s="318"/>
      <c r="AJ94" s="318"/>
      <c r="AK94" s="318"/>
      <c r="AL94" s="318"/>
      <c r="AM94" s="318"/>
      <c r="AN94" s="318"/>
      <c r="AO94" s="318"/>
      <c r="AP94" s="318"/>
      <c r="AQ94" s="318"/>
      <c r="AR94" s="318"/>
      <c r="AS94" s="318"/>
      <c r="AT94" s="318"/>
      <c r="AU94"/>
      <c r="AV94"/>
      <c r="AW94"/>
      <c r="AX94"/>
      <c r="AY94"/>
      <c r="AZ94"/>
      <c r="BA94"/>
      <c r="BB94"/>
      <c r="BC94"/>
      <c r="BD94" s="212"/>
      <c r="BE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2"/>
      <c r="BW94" s="212"/>
      <c r="BX94" s="212"/>
      <c r="BY94" s="212"/>
      <c r="BZ94" s="212"/>
      <c r="CA94" s="212"/>
      <c r="CB94" s="212"/>
      <c r="CC94" s="212"/>
      <c r="CD94" s="212"/>
      <c r="CE94" s="212"/>
      <c r="CF94" s="212"/>
      <c r="CG94" s="212"/>
      <c r="CH94" s="212"/>
      <c r="CI94" s="212"/>
      <c r="CJ94" s="212"/>
      <c r="CK94" s="212"/>
      <c r="CL94" s="212"/>
      <c r="CM94" s="212"/>
      <c r="CN94" s="212"/>
      <c r="CO94" s="212"/>
      <c r="CP94" s="212"/>
      <c r="CQ94" s="212"/>
      <c r="CR94" s="212"/>
      <c r="CS94" s="212"/>
      <c r="CT94" s="212"/>
      <c r="CU94" s="212"/>
      <c r="CV94" s="212"/>
      <c r="CW94" s="212"/>
      <c r="CX94" s="212"/>
      <c r="CY94" s="212"/>
      <c r="CZ94" s="212"/>
      <c r="DA94" s="212"/>
      <c r="DB94" s="212"/>
      <c r="DC94" s="212"/>
      <c r="DD94" s="212"/>
      <c r="DE94" s="212"/>
      <c r="DF94" s="212"/>
      <c r="DG94" s="212"/>
      <c r="DH94" s="212"/>
      <c r="DI94" s="212"/>
      <c r="DJ94" s="212"/>
      <c r="DK94" s="212"/>
      <c r="DL94" s="212"/>
      <c r="DM94" s="212"/>
      <c r="DN94" s="212"/>
      <c r="DO94" s="212"/>
      <c r="DP94" s="212"/>
      <c r="DQ94" s="212"/>
      <c r="DR94" s="212"/>
      <c r="DS94" s="212"/>
      <c r="DT94" s="212"/>
      <c r="DU94" s="212"/>
      <c r="DV94" s="212"/>
      <c r="DW94" s="212"/>
      <c r="DX94" s="212"/>
      <c r="DY94" s="212"/>
      <c r="DZ94" s="212"/>
      <c r="EA94" s="212"/>
      <c r="EB94" s="212"/>
      <c r="EC94" s="212"/>
      <c r="ED94" s="212"/>
      <c r="EE94" s="212"/>
      <c r="EF94" s="212"/>
      <c r="EG94" s="212"/>
      <c r="EH94" s="212"/>
      <c r="EI94" s="212"/>
      <c r="EJ94" s="212"/>
      <c r="EK94" s="212"/>
      <c r="EL94" s="212"/>
      <c r="EM94" s="212"/>
      <c r="EN94" s="212"/>
      <c r="EO94" s="212"/>
      <c r="EP94" s="212"/>
      <c r="EQ94" s="212"/>
      <c r="ER94" s="212"/>
      <c r="ES94" s="212"/>
      <c r="ET94" s="212"/>
      <c r="EU94" s="212"/>
      <c r="EV94" s="212"/>
      <c r="EW94" s="212"/>
      <c r="EX94" s="212"/>
      <c r="EY94" s="212"/>
      <c r="EZ94" s="212"/>
      <c r="FA94" s="212"/>
      <c r="FB94" s="212"/>
      <c r="FC94" s="212"/>
      <c r="FD94" s="212"/>
      <c r="FE94" s="212"/>
      <c r="FF94" s="212"/>
      <c r="FG94" s="212"/>
      <c r="FH94" s="212"/>
      <c r="FI94" s="212"/>
      <c r="FJ94" s="212"/>
      <c r="FK94" s="212"/>
      <c r="FL94" s="212"/>
      <c r="FM94" s="212"/>
      <c r="FN94" s="212"/>
      <c r="FO94" s="212"/>
      <c r="FP94" s="212"/>
      <c r="FQ94" s="212"/>
      <c r="FR94" s="212"/>
      <c r="FS94" s="212"/>
      <c r="FT94" s="212"/>
      <c r="FU94" s="212"/>
      <c r="FV94" s="212"/>
      <c r="FW94" s="212"/>
      <c r="FX94" s="212"/>
      <c r="FY94" s="212"/>
      <c r="FZ94" s="212"/>
      <c r="GA94" s="212"/>
      <c r="GB94" s="212"/>
      <c r="GC94" s="212"/>
      <c r="GD94" s="212"/>
      <c r="GE94" s="212"/>
      <c r="GF94" s="212"/>
      <c r="GG94" s="212"/>
      <c r="GH94" s="212"/>
      <c r="GI94" s="212"/>
      <c r="GJ94" s="212"/>
      <c r="GK94" s="212"/>
      <c r="GL94" s="212"/>
      <c r="GM94" s="212"/>
      <c r="GN94" s="212"/>
      <c r="GO94" s="212"/>
      <c r="GP94" s="212"/>
      <c r="GQ94" s="212"/>
      <c r="GR94" s="212"/>
      <c r="GS94" s="212"/>
      <c r="GT94" s="212"/>
      <c r="GU94" s="212"/>
      <c r="GV94" s="212"/>
      <c r="GW94" s="212"/>
      <c r="GX94" s="212"/>
      <c r="GY94" s="212"/>
      <c r="GZ94" s="212"/>
      <c r="HA94" s="212"/>
      <c r="HB94" s="212"/>
      <c r="HC94" s="212"/>
      <c r="HD94" s="212"/>
      <c r="HE94" s="212"/>
      <c r="HF94" s="212"/>
      <c r="HG94" s="212"/>
      <c r="HH94" s="212"/>
      <c r="HI94" s="212"/>
      <c r="HJ94" s="212"/>
      <c r="HK94" s="212"/>
      <c r="HL94" s="212"/>
      <c r="HM94" s="212"/>
      <c r="HN94" s="212"/>
      <c r="HO94" s="212"/>
      <c r="HP94" s="212"/>
      <c r="HQ94" s="212"/>
      <c r="HR94" s="212"/>
      <c r="HS94" s="212"/>
      <c r="HT94" s="212"/>
      <c r="HU94" s="212"/>
      <c r="HV94" s="212"/>
      <c r="HW94" s="212"/>
      <c r="HX94" s="212"/>
      <c r="HY94" s="212"/>
      <c r="HZ94" s="212"/>
      <c r="IA94" s="212"/>
      <c r="IB94" s="212"/>
      <c r="IC94" s="212"/>
      <c r="ID94" s="212"/>
      <c r="IE94" s="212"/>
      <c r="IF94" s="212"/>
      <c r="IG94" s="212"/>
      <c r="IH94" s="212"/>
      <c r="II94" s="212"/>
      <c r="IJ94" s="212"/>
      <c r="IK94" s="212"/>
      <c r="IL94" s="212"/>
      <c r="IM94" s="212"/>
      <c r="IN94" s="212"/>
      <c r="IO94" s="212"/>
      <c r="IP94" s="212"/>
      <c r="IQ94" s="212"/>
      <c r="IR94" s="212"/>
      <c r="IS94" s="212"/>
      <c r="IT94" s="212"/>
      <c r="IU94" s="212"/>
      <c r="IV94" s="212"/>
    </row>
    <row r="95" spans="1:256" s="207" customFormat="1" ht="12.6" customHeight="1">
      <c r="A95" s="214"/>
      <c r="B95" s="214"/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4"/>
      <c r="W95" s="214"/>
      <c r="X95" s="214"/>
      <c r="Y95" s="214"/>
      <c r="Z95" s="214"/>
      <c r="AA95" s="11"/>
      <c r="AB95" s="11"/>
      <c r="AC95" s="214"/>
      <c r="AD95" s="212"/>
      <c r="AE95" s="318"/>
      <c r="AF95" s="318"/>
      <c r="AG95" s="318"/>
      <c r="AH95" s="318"/>
      <c r="AI95" s="318"/>
      <c r="AJ95" s="318"/>
      <c r="AK95" s="318"/>
      <c r="AL95" s="318"/>
      <c r="AM95" s="318"/>
      <c r="AN95" s="318"/>
      <c r="AO95" s="318"/>
      <c r="AP95" s="318"/>
      <c r="AQ95" s="318"/>
      <c r="AR95" s="318"/>
      <c r="AS95" s="318"/>
      <c r="AT95" s="318"/>
      <c r="AU95"/>
      <c r="AV95"/>
      <c r="AW95"/>
      <c r="AX95"/>
      <c r="AY95"/>
      <c r="AZ95"/>
      <c r="BA95"/>
      <c r="BB95"/>
      <c r="BC95"/>
      <c r="BD95" s="212"/>
      <c r="BE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2"/>
      <c r="BW95" s="212"/>
      <c r="BX95" s="212"/>
      <c r="BY95" s="212"/>
      <c r="BZ95" s="212"/>
      <c r="CA95" s="212"/>
      <c r="CB95" s="212"/>
      <c r="CC95" s="212"/>
      <c r="CD95" s="212"/>
      <c r="CE95" s="212"/>
      <c r="CF95" s="212"/>
      <c r="CG95" s="212"/>
      <c r="CH95" s="212"/>
      <c r="CI95" s="212"/>
      <c r="CJ95" s="212"/>
      <c r="CK95" s="212"/>
      <c r="CL95" s="212"/>
      <c r="CM95" s="212"/>
      <c r="CN95" s="212"/>
      <c r="CO95" s="212"/>
      <c r="CP95" s="212"/>
      <c r="CQ95" s="212"/>
      <c r="CR95" s="212"/>
      <c r="CS95" s="212"/>
      <c r="CT95" s="212"/>
      <c r="CU95" s="212"/>
      <c r="CV95" s="212"/>
      <c r="CW95" s="212"/>
      <c r="CX95" s="212"/>
      <c r="CY95" s="212"/>
      <c r="CZ95" s="212"/>
      <c r="DA95" s="212"/>
      <c r="DB95" s="212"/>
      <c r="DC95" s="212"/>
      <c r="DD95" s="212"/>
      <c r="DE95" s="212"/>
      <c r="DF95" s="212"/>
      <c r="DG95" s="212"/>
      <c r="DH95" s="212"/>
      <c r="DI95" s="212"/>
      <c r="DJ95" s="212"/>
      <c r="DK95" s="212"/>
      <c r="DL95" s="212"/>
      <c r="DM95" s="212"/>
      <c r="DN95" s="212"/>
      <c r="DO95" s="212"/>
      <c r="DP95" s="212"/>
      <c r="DQ95" s="212"/>
      <c r="DR95" s="212"/>
      <c r="DS95" s="212"/>
      <c r="DT95" s="212"/>
      <c r="DU95" s="212"/>
      <c r="DV95" s="212"/>
      <c r="DW95" s="212"/>
      <c r="DX95" s="212"/>
      <c r="DY95" s="212"/>
      <c r="DZ95" s="212"/>
      <c r="EA95" s="212"/>
      <c r="EB95" s="212"/>
      <c r="EC95" s="212"/>
      <c r="ED95" s="212"/>
      <c r="EE95" s="212"/>
      <c r="EF95" s="212"/>
      <c r="EG95" s="212"/>
      <c r="EH95" s="212"/>
      <c r="EI95" s="212"/>
      <c r="EJ95" s="212"/>
      <c r="EK95" s="212"/>
      <c r="EL95" s="212"/>
      <c r="EM95" s="212"/>
      <c r="EN95" s="212"/>
      <c r="EO95" s="212"/>
      <c r="EP95" s="212"/>
      <c r="EQ95" s="212"/>
      <c r="ER95" s="212"/>
      <c r="ES95" s="212"/>
      <c r="ET95" s="212"/>
      <c r="EU95" s="212"/>
      <c r="EV95" s="212"/>
      <c r="EW95" s="212"/>
      <c r="EX95" s="212"/>
      <c r="EY95" s="212"/>
      <c r="EZ95" s="212"/>
      <c r="FA95" s="212"/>
      <c r="FB95" s="212"/>
      <c r="FC95" s="212"/>
      <c r="FD95" s="212"/>
      <c r="FE95" s="212"/>
      <c r="FF95" s="212"/>
      <c r="FG95" s="212"/>
      <c r="FH95" s="212"/>
      <c r="FI95" s="212"/>
      <c r="FJ95" s="212"/>
      <c r="FK95" s="212"/>
      <c r="FL95" s="212"/>
      <c r="FM95" s="212"/>
      <c r="FN95" s="212"/>
      <c r="FO95" s="212"/>
      <c r="FP95" s="212"/>
      <c r="FQ95" s="212"/>
      <c r="FR95" s="212"/>
      <c r="FS95" s="212"/>
      <c r="FT95" s="212"/>
      <c r="FU95" s="212"/>
      <c r="FV95" s="212"/>
      <c r="FW95" s="212"/>
      <c r="FX95" s="212"/>
      <c r="FY95" s="212"/>
      <c r="FZ95" s="212"/>
      <c r="GA95" s="212"/>
      <c r="GB95" s="212"/>
      <c r="GC95" s="212"/>
      <c r="GD95" s="212"/>
      <c r="GE95" s="212"/>
      <c r="GF95" s="212"/>
      <c r="GG95" s="212"/>
      <c r="GH95" s="212"/>
      <c r="GI95" s="212"/>
      <c r="GJ95" s="212"/>
      <c r="GK95" s="212"/>
      <c r="GL95" s="212"/>
      <c r="GM95" s="212"/>
      <c r="GN95" s="212"/>
      <c r="GO95" s="212"/>
      <c r="GP95" s="212"/>
      <c r="GQ95" s="212"/>
      <c r="GR95" s="212"/>
      <c r="GS95" s="212"/>
      <c r="GT95" s="212"/>
      <c r="GU95" s="212"/>
      <c r="GV95" s="212"/>
      <c r="GW95" s="212"/>
      <c r="GX95" s="212"/>
      <c r="GY95" s="212"/>
      <c r="GZ95" s="212"/>
      <c r="HA95" s="212"/>
      <c r="HB95" s="212"/>
      <c r="HC95" s="212"/>
      <c r="HD95" s="212"/>
      <c r="HE95" s="212"/>
      <c r="HF95" s="212"/>
      <c r="HG95" s="212"/>
      <c r="HH95" s="212"/>
      <c r="HI95" s="212"/>
      <c r="HJ95" s="212"/>
      <c r="HK95" s="212"/>
      <c r="HL95" s="212"/>
      <c r="HM95" s="212"/>
      <c r="HN95" s="212"/>
      <c r="HO95" s="212"/>
      <c r="HP95" s="212"/>
      <c r="HQ95" s="212"/>
      <c r="HR95" s="212"/>
      <c r="HS95" s="212"/>
      <c r="HT95" s="212"/>
      <c r="HU95" s="212"/>
      <c r="HV95" s="212"/>
      <c r="HW95" s="212"/>
      <c r="HX95" s="212"/>
      <c r="HY95" s="212"/>
      <c r="HZ95" s="212"/>
      <c r="IA95" s="212"/>
      <c r="IB95" s="212"/>
      <c r="IC95" s="212"/>
      <c r="ID95" s="212"/>
      <c r="IE95" s="212"/>
      <c r="IF95" s="212"/>
      <c r="IG95" s="212"/>
      <c r="IH95" s="212"/>
      <c r="II95" s="212"/>
      <c r="IJ95" s="212"/>
      <c r="IK95" s="212"/>
      <c r="IL95" s="212"/>
      <c r="IM95" s="212"/>
      <c r="IN95" s="212"/>
      <c r="IO95" s="212"/>
      <c r="IP95" s="212"/>
      <c r="IQ95" s="212"/>
      <c r="IR95" s="212"/>
      <c r="IS95" s="212"/>
      <c r="IT95" s="212"/>
      <c r="IU95" s="212"/>
      <c r="IV95" s="212"/>
    </row>
    <row r="96" spans="1:256" s="212" customFormat="1" ht="12.6" customHeight="1">
      <c r="A96" s="214"/>
      <c r="B96" s="214"/>
      <c r="C96" s="214"/>
      <c r="D96" s="214"/>
      <c r="E96" s="214"/>
      <c r="F96" s="214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  <c r="V96" s="214"/>
      <c r="W96" s="214"/>
      <c r="X96" s="214"/>
      <c r="Y96" s="214"/>
      <c r="Z96" s="207"/>
      <c r="AA96" s="214"/>
      <c r="AB96" s="214"/>
      <c r="AC96" s="214"/>
      <c r="AE96" s="318"/>
      <c r="AF96" s="318"/>
      <c r="AG96" s="318"/>
      <c r="AH96" s="318"/>
      <c r="AI96" s="318"/>
      <c r="AJ96" s="318"/>
      <c r="AK96" s="318"/>
      <c r="AL96" s="318"/>
      <c r="AM96" s="318"/>
      <c r="AN96" s="318"/>
      <c r="AO96" s="318"/>
      <c r="AP96" s="318"/>
      <c r="AQ96" s="318"/>
      <c r="AR96" s="318"/>
      <c r="AS96" s="318"/>
      <c r="AT96" s="318"/>
      <c r="AU96"/>
      <c r="AV96"/>
      <c r="AW96"/>
      <c r="AX96"/>
      <c r="AY96"/>
      <c r="AZ96"/>
      <c r="BA96"/>
      <c r="BB96"/>
      <c r="BC96"/>
      <c r="BF96" s="207"/>
    </row>
    <row r="97" spans="1:256" s="212" customFormat="1" ht="12.6" customHeight="1">
      <c r="Z97" s="207"/>
      <c r="AA97" s="214"/>
      <c r="AB97" s="214"/>
      <c r="AC97" s="214"/>
      <c r="AE97" s="318"/>
      <c r="AF97" s="318"/>
      <c r="AG97" s="318"/>
      <c r="AH97" s="318"/>
      <c r="AI97" s="318"/>
      <c r="AJ97" s="318"/>
      <c r="AK97" s="318"/>
      <c r="AL97" s="318"/>
      <c r="AM97" s="318"/>
      <c r="AN97" s="318"/>
      <c r="AO97" s="318"/>
      <c r="AP97" s="318"/>
      <c r="AQ97" s="318"/>
      <c r="AR97" s="318"/>
      <c r="AS97" s="318"/>
      <c r="AT97" s="318"/>
      <c r="AU97"/>
      <c r="AV97"/>
      <c r="AW97"/>
      <c r="AX97"/>
      <c r="AY97"/>
      <c r="AZ97"/>
      <c r="BA97"/>
      <c r="BB97"/>
      <c r="BC97"/>
      <c r="BF97" s="207"/>
    </row>
    <row r="98" spans="1:256" s="212" customFormat="1" ht="12.6" customHeight="1">
      <c r="A98" s="214"/>
      <c r="B98" s="214"/>
      <c r="C98" s="214"/>
      <c r="D98" s="214"/>
      <c r="E98" s="214"/>
      <c r="F98" s="214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11"/>
      <c r="AA98" s="214"/>
      <c r="AB98" s="214"/>
      <c r="AC98" s="214"/>
      <c r="AD98" s="207"/>
      <c r="AE98" s="318"/>
      <c r="AF98" s="318"/>
      <c r="AG98" s="318"/>
      <c r="AH98" s="318"/>
      <c r="AI98" s="318"/>
      <c r="AJ98" s="318"/>
      <c r="AK98" s="318"/>
      <c r="AL98" s="318"/>
      <c r="AM98" s="318"/>
      <c r="AN98" s="318"/>
      <c r="AO98" s="318"/>
      <c r="AP98" s="318"/>
      <c r="AQ98" s="318"/>
      <c r="AR98" s="318"/>
      <c r="AS98" s="318"/>
      <c r="AT98" s="207"/>
      <c r="AU98"/>
      <c r="AV98"/>
      <c r="AW98"/>
      <c r="AX98"/>
      <c r="AY98"/>
      <c r="AZ98"/>
      <c r="BA98"/>
      <c r="BB98"/>
      <c r="BC98"/>
      <c r="BD98" s="207"/>
      <c r="BE98" s="207"/>
      <c r="BF98" s="207"/>
      <c r="BG98" s="207"/>
      <c r="BH98" s="207"/>
      <c r="BI98" s="207"/>
      <c r="BJ98" s="207"/>
      <c r="BK98" s="207"/>
      <c r="BL98" s="207"/>
      <c r="BM98" s="207"/>
      <c r="BN98" s="207"/>
      <c r="BO98" s="207"/>
      <c r="BP98" s="207"/>
      <c r="BQ98" s="207"/>
      <c r="BR98" s="207"/>
      <c r="BS98" s="207"/>
      <c r="BT98" s="207"/>
      <c r="BU98" s="207"/>
      <c r="BV98" s="207"/>
      <c r="BW98" s="207"/>
      <c r="BX98" s="207"/>
      <c r="BY98" s="207"/>
      <c r="BZ98" s="207"/>
      <c r="CA98" s="207"/>
      <c r="CB98" s="207"/>
      <c r="CC98" s="207"/>
      <c r="CD98" s="207"/>
      <c r="CE98" s="207"/>
      <c r="CF98" s="207"/>
      <c r="CG98" s="207"/>
      <c r="CH98" s="207"/>
      <c r="CI98" s="207"/>
      <c r="CJ98" s="207"/>
      <c r="CK98" s="207"/>
      <c r="CL98" s="207"/>
      <c r="CM98" s="207"/>
      <c r="CN98" s="207"/>
      <c r="CO98" s="207"/>
      <c r="CP98" s="207"/>
      <c r="CQ98" s="207"/>
      <c r="CR98" s="207"/>
      <c r="CS98" s="207"/>
      <c r="CT98" s="207"/>
      <c r="CU98" s="207"/>
      <c r="CV98" s="207"/>
      <c r="CW98" s="207"/>
      <c r="CX98" s="207"/>
      <c r="CY98" s="207"/>
      <c r="CZ98" s="207"/>
      <c r="DA98" s="207"/>
      <c r="DB98" s="207"/>
      <c r="DC98" s="207"/>
      <c r="DD98" s="207"/>
      <c r="DE98" s="207"/>
      <c r="DF98" s="207"/>
      <c r="DG98" s="207"/>
      <c r="DH98" s="207"/>
      <c r="DI98" s="207"/>
      <c r="DJ98" s="207"/>
      <c r="DK98" s="207"/>
      <c r="DL98" s="207"/>
      <c r="DM98" s="207"/>
      <c r="DN98" s="207"/>
      <c r="DO98" s="207"/>
      <c r="DP98" s="207"/>
      <c r="DQ98" s="207"/>
      <c r="DR98" s="207"/>
      <c r="DS98" s="207"/>
      <c r="DT98" s="207"/>
      <c r="DU98" s="207"/>
      <c r="DV98" s="207"/>
      <c r="DW98" s="207"/>
      <c r="DX98" s="207"/>
      <c r="DY98" s="207"/>
      <c r="DZ98" s="207"/>
      <c r="EA98" s="207"/>
      <c r="EB98" s="207"/>
      <c r="EC98" s="207"/>
      <c r="ED98" s="207"/>
      <c r="EE98" s="207"/>
      <c r="EF98" s="207"/>
      <c r="EG98" s="207"/>
      <c r="EH98" s="207"/>
      <c r="EI98" s="207"/>
      <c r="EJ98" s="207"/>
      <c r="EK98" s="207"/>
      <c r="EL98" s="207"/>
      <c r="EM98" s="207"/>
      <c r="EN98" s="207"/>
      <c r="EO98" s="207"/>
      <c r="EP98" s="207"/>
      <c r="EQ98" s="207"/>
      <c r="ER98" s="207"/>
      <c r="ES98" s="207"/>
      <c r="ET98" s="207"/>
      <c r="EU98" s="207"/>
      <c r="EV98" s="207"/>
      <c r="EW98" s="207"/>
      <c r="EX98" s="207"/>
      <c r="EY98" s="207"/>
      <c r="EZ98" s="207"/>
      <c r="FA98" s="207"/>
      <c r="FB98" s="207"/>
      <c r="FC98" s="207"/>
      <c r="FD98" s="207"/>
      <c r="FE98" s="207"/>
      <c r="FF98" s="207"/>
      <c r="FG98" s="207"/>
      <c r="FH98" s="207"/>
      <c r="FI98" s="207"/>
      <c r="FJ98" s="207"/>
      <c r="FK98" s="207"/>
      <c r="FL98" s="207"/>
      <c r="FM98" s="207"/>
      <c r="FN98" s="207"/>
      <c r="FO98" s="207"/>
      <c r="FP98" s="207"/>
      <c r="FQ98" s="207"/>
      <c r="FR98" s="207"/>
      <c r="FS98" s="207"/>
      <c r="FT98" s="207"/>
      <c r="FU98" s="207"/>
      <c r="FV98" s="207"/>
      <c r="FW98" s="207"/>
      <c r="FX98" s="207"/>
      <c r="FY98" s="207"/>
      <c r="FZ98" s="207"/>
      <c r="GA98" s="207"/>
      <c r="GB98" s="207"/>
      <c r="GC98" s="207"/>
      <c r="GD98" s="207"/>
      <c r="GE98" s="207"/>
      <c r="GF98" s="207"/>
      <c r="GG98" s="207"/>
      <c r="GH98" s="207"/>
      <c r="GI98" s="207"/>
      <c r="GJ98" s="207"/>
      <c r="GK98" s="207"/>
      <c r="GL98" s="207"/>
      <c r="GM98" s="207"/>
      <c r="GN98" s="207"/>
      <c r="GO98" s="207"/>
      <c r="GP98" s="207"/>
      <c r="GQ98" s="207"/>
      <c r="GR98" s="207"/>
      <c r="GS98" s="207"/>
      <c r="GT98" s="207"/>
      <c r="GU98" s="207"/>
      <c r="GV98" s="207"/>
      <c r="GW98" s="207"/>
      <c r="GX98" s="207"/>
      <c r="GY98" s="207"/>
      <c r="GZ98" s="207"/>
      <c r="HA98" s="207"/>
      <c r="HB98" s="207"/>
      <c r="HC98" s="207"/>
      <c r="HD98" s="207"/>
      <c r="HE98" s="207"/>
      <c r="HF98" s="207"/>
      <c r="HG98" s="207"/>
      <c r="HH98" s="207"/>
      <c r="HI98" s="207"/>
      <c r="HJ98" s="207"/>
      <c r="HK98" s="207"/>
      <c r="HL98" s="207"/>
      <c r="HM98" s="207"/>
      <c r="HN98" s="207"/>
      <c r="HO98" s="207"/>
      <c r="HP98" s="207"/>
      <c r="HQ98" s="207"/>
      <c r="HR98" s="207"/>
      <c r="HS98" s="207"/>
      <c r="HT98" s="207"/>
      <c r="HU98" s="207"/>
      <c r="HV98" s="207"/>
      <c r="HW98" s="207"/>
      <c r="HX98" s="207"/>
      <c r="HY98" s="207"/>
      <c r="HZ98" s="207"/>
      <c r="IA98" s="207"/>
      <c r="IB98" s="207"/>
      <c r="IC98" s="207"/>
      <c r="ID98" s="207"/>
      <c r="IE98" s="207"/>
      <c r="IF98" s="207"/>
      <c r="IG98" s="207"/>
      <c r="IH98" s="207"/>
      <c r="II98" s="207"/>
      <c r="IJ98" s="207"/>
      <c r="IK98" s="207"/>
      <c r="IL98" s="207"/>
      <c r="IM98" s="207"/>
      <c r="IN98" s="207"/>
      <c r="IO98" s="207"/>
      <c r="IP98" s="207"/>
      <c r="IQ98" s="207"/>
      <c r="IR98" s="207"/>
      <c r="IS98" s="207"/>
      <c r="IT98" s="207"/>
      <c r="IU98" s="207"/>
      <c r="IV98" s="207"/>
    </row>
    <row r="99" spans="1:256" s="212" customFormat="1" ht="12.6" customHeight="1">
      <c r="A99" s="207"/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  <c r="W99" s="207"/>
      <c r="X99" s="207"/>
      <c r="Y99" s="207"/>
      <c r="Z99" s="214"/>
      <c r="AA99" s="214"/>
      <c r="AB99" s="214"/>
      <c r="AC99" s="214"/>
      <c r="AD99" s="207"/>
      <c r="AE99" s="318"/>
      <c r="AF99" s="318"/>
      <c r="AG99" s="318"/>
      <c r="AH99" s="318"/>
      <c r="AI99" s="318"/>
      <c r="AJ99" s="318"/>
      <c r="AK99" s="318"/>
      <c r="AL99" s="318"/>
      <c r="AM99" s="318"/>
      <c r="AN99" s="318"/>
      <c r="AO99" s="318"/>
      <c r="AP99" s="318"/>
      <c r="AQ99" s="318"/>
      <c r="AR99" s="318"/>
      <c r="AS99" s="318"/>
      <c r="AT99" s="207"/>
      <c r="AU99"/>
      <c r="AV99"/>
      <c r="AW99"/>
      <c r="AX99"/>
      <c r="AY99"/>
      <c r="AZ99"/>
      <c r="BA99"/>
      <c r="BB99"/>
      <c r="BC99"/>
      <c r="BD99" s="207"/>
      <c r="BE99" s="207"/>
      <c r="BF99" s="207"/>
      <c r="BG99" s="207"/>
      <c r="BH99" s="207"/>
      <c r="BI99" s="207"/>
      <c r="BJ99" s="207"/>
      <c r="BK99" s="207"/>
      <c r="BL99" s="207"/>
      <c r="BM99" s="207"/>
      <c r="BN99" s="207"/>
      <c r="BO99" s="207"/>
      <c r="BP99" s="207"/>
      <c r="BQ99" s="207"/>
      <c r="BR99" s="207"/>
      <c r="BS99" s="207"/>
      <c r="BT99" s="207"/>
      <c r="BU99" s="207"/>
      <c r="BV99" s="207"/>
      <c r="BW99" s="207"/>
      <c r="BX99" s="207"/>
      <c r="BY99" s="207"/>
      <c r="BZ99" s="207"/>
      <c r="CA99" s="207"/>
      <c r="CB99" s="207"/>
      <c r="CC99" s="207"/>
      <c r="CD99" s="207"/>
      <c r="CE99" s="207"/>
      <c r="CF99" s="207"/>
      <c r="CG99" s="207"/>
      <c r="CH99" s="207"/>
      <c r="CI99" s="207"/>
      <c r="CJ99" s="207"/>
      <c r="CK99" s="207"/>
      <c r="CL99" s="207"/>
      <c r="CM99" s="207"/>
      <c r="CN99" s="207"/>
      <c r="CO99" s="207"/>
      <c r="CP99" s="207"/>
      <c r="CQ99" s="207"/>
      <c r="CR99" s="207"/>
      <c r="CS99" s="207"/>
      <c r="CT99" s="207"/>
      <c r="CU99" s="207"/>
      <c r="CV99" s="207"/>
      <c r="CW99" s="207"/>
      <c r="CX99" s="207"/>
      <c r="CY99" s="207"/>
      <c r="CZ99" s="207"/>
      <c r="DA99" s="207"/>
      <c r="DB99" s="207"/>
      <c r="DC99" s="207"/>
      <c r="DD99" s="207"/>
      <c r="DE99" s="207"/>
      <c r="DF99" s="207"/>
      <c r="DG99" s="207"/>
      <c r="DH99" s="207"/>
      <c r="DI99" s="207"/>
      <c r="DJ99" s="207"/>
      <c r="DK99" s="207"/>
      <c r="DL99" s="207"/>
      <c r="DM99" s="207"/>
      <c r="DN99" s="207"/>
      <c r="DO99" s="207"/>
      <c r="DP99" s="207"/>
      <c r="DQ99" s="207"/>
      <c r="DR99" s="207"/>
      <c r="DS99" s="207"/>
      <c r="DT99" s="207"/>
      <c r="DU99" s="207"/>
      <c r="DV99" s="207"/>
      <c r="DW99" s="207"/>
      <c r="DX99" s="207"/>
      <c r="DY99" s="207"/>
      <c r="DZ99" s="207"/>
      <c r="EA99" s="207"/>
      <c r="EB99" s="207"/>
      <c r="EC99" s="207"/>
      <c r="ED99" s="207"/>
      <c r="EE99" s="207"/>
      <c r="EF99" s="207"/>
      <c r="EG99" s="207"/>
      <c r="EH99" s="207"/>
      <c r="EI99" s="207"/>
      <c r="EJ99" s="207"/>
      <c r="EK99" s="207"/>
      <c r="EL99" s="207"/>
      <c r="EM99" s="207"/>
      <c r="EN99" s="207"/>
      <c r="EO99" s="207"/>
      <c r="EP99" s="207"/>
      <c r="EQ99" s="207"/>
      <c r="ER99" s="207"/>
      <c r="ES99" s="207"/>
      <c r="ET99" s="207"/>
      <c r="EU99" s="207"/>
      <c r="EV99" s="207"/>
      <c r="EW99" s="207"/>
      <c r="EX99" s="207"/>
      <c r="EY99" s="207"/>
      <c r="EZ99" s="207"/>
      <c r="FA99" s="207"/>
      <c r="FB99" s="207"/>
      <c r="FC99" s="207"/>
      <c r="FD99" s="207"/>
      <c r="FE99" s="207"/>
      <c r="FF99" s="207"/>
      <c r="FG99" s="207"/>
      <c r="FH99" s="207"/>
      <c r="FI99" s="207"/>
      <c r="FJ99" s="207"/>
      <c r="FK99" s="207"/>
      <c r="FL99" s="207"/>
      <c r="FM99" s="207"/>
      <c r="FN99" s="207"/>
      <c r="FO99" s="207"/>
      <c r="FP99" s="207"/>
      <c r="FQ99" s="207"/>
      <c r="FR99" s="207"/>
      <c r="FS99" s="207"/>
      <c r="FT99" s="207"/>
      <c r="FU99" s="207"/>
      <c r="FV99" s="207"/>
      <c r="FW99" s="207"/>
      <c r="FX99" s="207"/>
      <c r="FY99" s="207"/>
      <c r="FZ99" s="207"/>
      <c r="GA99" s="207"/>
      <c r="GB99" s="207"/>
      <c r="GC99" s="207"/>
      <c r="GD99" s="207"/>
      <c r="GE99" s="207"/>
      <c r="GF99" s="207"/>
      <c r="GG99" s="207"/>
      <c r="GH99" s="207"/>
      <c r="GI99" s="207"/>
      <c r="GJ99" s="207"/>
      <c r="GK99" s="207"/>
      <c r="GL99" s="207"/>
      <c r="GM99" s="207"/>
      <c r="GN99" s="207"/>
      <c r="GO99" s="207"/>
      <c r="GP99" s="207"/>
      <c r="GQ99" s="207"/>
      <c r="GR99" s="207"/>
      <c r="GS99" s="207"/>
      <c r="GT99" s="207"/>
      <c r="GU99" s="207"/>
      <c r="GV99" s="207"/>
      <c r="GW99" s="207"/>
      <c r="GX99" s="207"/>
      <c r="GY99" s="207"/>
      <c r="GZ99" s="207"/>
      <c r="HA99" s="207"/>
      <c r="HB99" s="207"/>
      <c r="HC99" s="207"/>
      <c r="HD99" s="207"/>
      <c r="HE99" s="207"/>
      <c r="HF99" s="207"/>
      <c r="HG99" s="207"/>
      <c r="HH99" s="207"/>
      <c r="HI99" s="207"/>
      <c r="HJ99" s="207"/>
      <c r="HK99" s="207"/>
      <c r="HL99" s="207"/>
      <c r="HM99" s="207"/>
      <c r="HN99" s="207"/>
      <c r="HO99" s="207"/>
      <c r="HP99" s="207"/>
      <c r="HQ99" s="207"/>
      <c r="HR99" s="207"/>
      <c r="HS99" s="207"/>
      <c r="HT99" s="207"/>
      <c r="HU99" s="207"/>
      <c r="HV99" s="207"/>
      <c r="HW99" s="207"/>
      <c r="HX99" s="207"/>
      <c r="HY99" s="207"/>
      <c r="HZ99" s="207"/>
      <c r="IA99" s="207"/>
      <c r="IB99" s="207"/>
      <c r="IC99" s="207"/>
      <c r="ID99" s="207"/>
      <c r="IE99" s="207"/>
      <c r="IF99" s="207"/>
      <c r="IG99" s="207"/>
      <c r="IH99" s="207"/>
      <c r="II99" s="207"/>
      <c r="IJ99" s="207"/>
      <c r="IK99" s="207"/>
      <c r="IL99" s="207"/>
      <c r="IM99" s="207"/>
      <c r="IN99" s="207"/>
      <c r="IO99" s="207"/>
      <c r="IP99" s="207"/>
      <c r="IQ99" s="207"/>
      <c r="IR99" s="207"/>
      <c r="IS99" s="207"/>
      <c r="IT99" s="207"/>
      <c r="IU99" s="207"/>
      <c r="IV99" s="207"/>
    </row>
    <row r="100" spans="1:256" s="212" customFormat="1" ht="12.6" customHeight="1">
      <c r="A100" s="207"/>
      <c r="B100" s="207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  <c r="U100" s="207"/>
      <c r="V100" s="207"/>
      <c r="W100" s="207"/>
      <c r="X100" s="207"/>
      <c r="Y100" s="207"/>
      <c r="Z100" s="214"/>
      <c r="AA100" s="214"/>
      <c r="AB100" s="214"/>
      <c r="AC100" s="214"/>
      <c r="AD100" s="207"/>
      <c r="AE100" s="318"/>
      <c r="AF100" s="318"/>
      <c r="AG100" s="318"/>
      <c r="AH100" s="318"/>
      <c r="AI100" s="318"/>
      <c r="AJ100" s="318"/>
      <c r="AK100" s="318"/>
      <c r="AL100" s="318"/>
      <c r="AM100" s="318"/>
      <c r="AN100" s="318"/>
      <c r="AO100" s="318"/>
      <c r="AP100" s="318"/>
      <c r="AQ100" s="318"/>
      <c r="AR100" s="318"/>
      <c r="AS100" s="318"/>
      <c r="AT100" s="207"/>
      <c r="AU100"/>
      <c r="AV100"/>
      <c r="AW100"/>
      <c r="AX100"/>
      <c r="AY100"/>
      <c r="AZ100"/>
      <c r="BA100"/>
      <c r="BB100"/>
      <c r="BC100"/>
      <c r="BD100" s="207"/>
      <c r="BE100" s="207"/>
      <c r="BF100" s="207"/>
      <c r="BG100" s="207"/>
      <c r="BH100" s="207"/>
      <c r="BI100" s="207"/>
      <c r="BJ100" s="207"/>
      <c r="BK100" s="207"/>
      <c r="BL100" s="207"/>
      <c r="BM100" s="207"/>
      <c r="BN100" s="207"/>
      <c r="BO100" s="207"/>
      <c r="BP100" s="207"/>
      <c r="BQ100" s="207"/>
      <c r="BR100" s="207"/>
      <c r="BS100" s="207"/>
      <c r="BT100" s="207"/>
      <c r="BU100" s="207"/>
      <c r="BV100" s="207"/>
      <c r="BW100" s="207"/>
      <c r="BX100" s="207"/>
      <c r="BY100" s="207"/>
      <c r="BZ100" s="207"/>
      <c r="CA100" s="207"/>
      <c r="CB100" s="207"/>
      <c r="CC100" s="207"/>
      <c r="CD100" s="207"/>
      <c r="CE100" s="207"/>
      <c r="CF100" s="207"/>
      <c r="CG100" s="207"/>
      <c r="CH100" s="207"/>
      <c r="CI100" s="207"/>
      <c r="CJ100" s="207"/>
      <c r="CK100" s="207"/>
      <c r="CL100" s="207"/>
      <c r="CM100" s="207"/>
      <c r="CN100" s="207"/>
      <c r="CO100" s="207"/>
      <c r="CP100" s="207"/>
      <c r="CQ100" s="207"/>
      <c r="CR100" s="207"/>
      <c r="CS100" s="207"/>
      <c r="CT100" s="207"/>
      <c r="CU100" s="207"/>
      <c r="CV100" s="207"/>
      <c r="CW100" s="207"/>
      <c r="CX100" s="207"/>
      <c r="CY100" s="207"/>
      <c r="CZ100" s="207"/>
      <c r="DA100" s="207"/>
      <c r="DB100" s="207"/>
      <c r="DC100" s="207"/>
      <c r="DD100" s="207"/>
      <c r="DE100" s="207"/>
      <c r="DF100" s="207"/>
      <c r="DG100" s="207"/>
      <c r="DH100" s="207"/>
      <c r="DI100" s="207"/>
      <c r="DJ100" s="207"/>
      <c r="DK100" s="207"/>
      <c r="DL100" s="207"/>
      <c r="DM100" s="207"/>
      <c r="DN100" s="207"/>
      <c r="DO100" s="207"/>
      <c r="DP100" s="207"/>
      <c r="DQ100" s="207"/>
      <c r="DR100" s="207"/>
      <c r="DS100" s="207"/>
      <c r="DT100" s="207"/>
      <c r="DU100" s="207"/>
      <c r="DV100" s="207"/>
      <c r="DW100" s="207"/>
      <c r="DX100" s="207"/>
      <c r="DY100" s="207"/>
      <c r="DZ100" s="207"/>
      <c r="EA100" s="207"/>
      <c r="EB100" s="207"/>
      <c r="EC100" s="207"/>
      <c r="ED100" s="207"/>
      <c r="EE100" s="207"/>
      <c r="EF100" s="207"/>
      <c r="EG100" s="207"/>
      <c r="EH100" s="207"/>
      <c r="EI100" s="207"/>
      <c r="EJ100" s="207"/>
      <c r="EK100" s="207"/>
      <c r="EL100" s="207"/>
      <c r="EM100" s="207"/>
      <c r="EN100" s="207"/>
      <c r="EO100" s="207"/>
      <c r="EP100" s="207"/>
      <c r="EQ100" s="207"/>
      <c r="ER100" s="207"/>
      <c r="ES100" s="207"/>
      <c r="ET100" s="207"/>
      <c r="EU100" s="207"/>
      <c r="EV100" s="207"/>
      <c r="EW100" s="207"/>
      <c r="EX100" s="207"/>
      <c r="EY100" s="207"/>
      <c r="EZ100" s="207"/>
      <c r="FA100" s="207"/>
      <c r="FB100" s="207"/>
      <c r="FC100" s="207"/>
      <c r="FD100" s="207"/>
      <c r="FE100" s="207"/>
      <c r="FF100" s="207"/>
      <c r="FG100" s="207"/>
      <c r="FH100" s="207"/>
      <c r="FI100" s="207"/>
      <c r="FJ100" s="207"/>
      <c r="FK100" s="207"/>
      <c r="FL100" s="207"/>
      <c r="FM100" s="207"/>
      <c r="FN100" s="207"/>
      <c r="FO100" s="207"/>
      <c r="FP100" s="207"/>
      <c r="FQ100" s="207"/>
      <c r="FR100" s="207"/>
      <c r="FS100" s="207"/>
      <c r="FT100" s="207"/>
      <c r="FU100" s="207"/>
      <c r="FV100" s="207"/>
      <c r="FW100" s="207"/>
      <c r="FX100" s="207"/>
      <c r="FY100" s="207"/>
      <c r="FZ100" s="207"/>
      <c r="GA100" s="207"/>
      <c r="GB100" s="207"/>
      <c r="GC100" s="207"/>
      <c r="GD100" s="207"/>
      <c r="GE100" s="207"/>
      <c r="GF100" s="207"/>
      <c r="GG100" s="207"/>
      <c r="GH100" s="207"/>
      <c r="GI100" s="207"/>
      <c r="GJ100" s="207"/>
      <c r="GK100" s="207"/>
      <c r="GL100" s="207"/>
      <c r="GM100" s="207"/>
      <c r="GN100" s="207"/>
      <c r="GO100" s="207"/>
      <c r="GP100" s="207"/>
      <c r="GQ100" s="207"/>
      <c r="GR100" s="207"/>
      <c r="GS100" s="207"/>
      <c r="GT100" s="207"/>
      <c r="GU100" s="207"/>
      <c r="GV100" s="207"/>
      <c r="GW100" s="207"/>
      <c r="GX100" s="207"/>
      <c r="GY100" s="207"/>
      <c r="GZ100" s="207"/>
      <c r="HA100" s="207"/>
      <c r="HB100" s="207"/>
      <c r="HC100" s="207"/>
      <c r="HD100" s="207"/>
      <c r="HE100" s="207"/>
      <c r="HF100" s="207"/>
      <c r="HG100" s="207"/>
      <c r="HH100" s="207"/>
      <c r="HI100" s="207"/>
      <c r="HJ100" s="207"/>
      <c r="HK100" s="207"/>
      <c r="HL100" s="207"/>
      <c r="HM100" s="207"/>
      <c r="HN100" s="207"/>
      <c r="HO100" s="207"/>
      <c r="HP100" s="207"/>
      <c r="HQ100" s="207"/>
      <c r="HR100" s="207"/>
      <c r="HS100" s="207"/>
      <c r="HT100" s="207"/>
      <c r="HU100" s="207"/>
      <c r="HV100" s="207"/>
      <c r="HW100" s="207"/>
      <c r="HX100" s="207"/>
      <c r="HY100" s="207"/>
      <c r="HZ100" s="207"/>
      <c r="IA100" s="207"/>
      <c r="IB100" s="207"/>
      <c r="IC100" s="207"/>
      <c r="ID100" s="207"/>
      <c r="IE100" s="207"/>
      <c r="IF100" s="207"/>
      <c r="IG100" s="207"/>
      <c r="IH100" s="207"/>
      <c r="II100" s="207"/>
      <c r="IJ100" s="207"/>
      <c r="IK100" s="207"/>
      <c r="IL100" s="207"/>
      <c r="IM100" s="207"/>
      <c r="IN100" s="207"/>
      <c r="IO100" s="207"/>
      <c r="IP100" s="207"/>
      <c r="IQ100" s="207"/>
      <c r="IR100" s="207"/>
      <c r="IS100" s="207"/>
      <c r="IT100" s="207"/>
      <c r="IU100" s="207"/>
      <c r="IV100" s="207"/>
    </row>
    <row r="101" spans="1:256" s="212" customFormat="1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214"/>
      <c r="AA101" s="214"/>
      <c r="AB101" s="214"/>
      <c r="AC101" s="214"/>
      <c r="AE101" s="317"/>
      <c r="AF101" s="317"/>
      <c r="AG101" s="317"/>
      <c r="AH101" s="317"/>
      <c r="AI101" s="317"/>
      <c r="AJ101" s="317"/>
      <c r="AK101" s="317"/>
      <c r="AL101" s="317"/>
      <c r="AM101" s="317"/>
      <c r="AN101" s="317"/>
      <c r="AO101" s="317"/>
      <c r="AP101" s="317"/>
      <c r="AQ101" s="317"/>
      <c r="AR101" s="317"/>
      <c r="AS101" s="317"/>
      <c r="AT101" s="325"/>
      <c r="AU101"/>
      <c r="AV101"/>
      <c r="AW101"/>
      <c r="AX101"/>
      <c r="AY101"/>
      <c r="AZ101"/>
      <c r="BA101"/>
      <c r="BB101"/>
      <c r="BC101"/>
      <c r="BF101" s="207"/>
    </row>
    <row r="102" spans="1:256" s="212" customFormat="1" ht="12.6" customHeight="1">
      <c r="A102" s="214"/>
      <c r="B102" s="214"/>
      <c r="C102" s="214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A102" s="214"/>
      <c r="AB102" s="214"/>
      <c r="AC102" s="211"/>
      <c r="AE102" s="321"/>
      <c r="AF102" s="321"/>
      <c r="AG102" s="321"/>
      <c r="AH102" s="321"/>
      <c r="AI102" s="321"/>
      <c r="AJ102" s="321"/>
      <c r="AK102" s="321"/>
      <c r="AL102" s="321"/>
      <c r="AM102" s="321"/>
      <c r="AN102" s="321"/>
      <c r="AO102" s="321"/>
      <c r="AP102" s="321"/>
      <c r="AQ102" s="321"/>
      <c r="AR102" s="321"/>
      <c r="AS102" s="321"/>
      <c r="AT102" s="318"/>
      <c r="AU102"/>
      <c r="AV102"/>
      <c r="AW102"/>
      <c r="AX102"/>
      <c r="AY102"/>
      <c r="AZ102"/>
      <c r="BA102"/>
      <c r="BB102"/>
      <c r="BC102"/>
      <c r="BF102" s="207"/>
    </row>
    <row r="103" spans="1:256" s="207" customFormat="1" ht="12.6" customHeight="1">
      <c r="A103" s="214"/>
      <c r="B103" s="214"/>
      <c r="C103" s="214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A103" s="214"/>
      <c r="AB103" s="214"/>
      <c r="AC103" s="212"/>
      <c r="AD103" s="212"/>
      <c r="AE103" s="212"/>
      <c r="AF103" s="212"/>
      <c r="AG103" s="212"/>
      <c r="AH103" s="212"/>
      <c r="AI103" s="212"/>
      <c r="AJ103" s="212"/>
      <c r="AK103" s="212"/>
      <c r="AL103" s="212"/>
      <c r="AM103" s="212"/>
      <c r="AN103" s="212"/>
      <c r="AO103" s="212"/>
      <c r="AP103" s="212"/>
      <c r="AQ103" s="212"/>
      <c r="AR103" s="212"/>
      <c r="AS103" s="212"/>
      <c r="AT103" s="212"/>
      <c r="AU103"/>
      <c r="AV103"/>
      <c r="AW103"/>
      <c r="AX103"/>
      <c r="AY103"/>
      <c r="AZ103"/>
      <c r="BA103"/>
      <c r="BB103"/>
      <c r="BC103"/>
      <c r="BD103" s="212"/>
      <c r="BE103" s="212"/>
      <c r="BG103" s="212"/>
      <c r="BH103" s="212"/>
      <c r="BI103" s="212"/>
      <c r="BJ103" s="212"/>
      <c r="BK103" s="212"/>
      <c r="BL103" s="212"/>
      <c r="BM103" s="212"/>
      <c r="BN103" s="212"/>
      <c r="BO103" s="212"/>
      <c r="BP103" s="212"/>
      <c r="BQ103" s="212"/>
      <c r="BR103" s="212"/>
      <c r="BS103" s="212"/>
      <c r="BT103" s="212"/>
      <c r="BU103" s="212"/>
      <c r="BV103" s="212"/>
      <c r="BW103" s="212"/>
      <c r="BX103" s="212"/>
      <c r="BY103" s="212"/>
      <c r="BZ103" s="212"/>
      <c r="CA103" s="212"/>
      <c r="CB103" s="212"/>
      <c r="CC103" s="212"/>
      <c r="CD103" s="212"/>
      <c r="CE103" s="212"/>
      <c r="CF103" s="212"/>
      <c r="CG103" s="212"/>
      <c r="CH103" s="212"/>
      <c r="CI103" s="212"/>
      <c r="CJ103" s="212"/>
      <c r="CK103" s="212"/>
      <c r="CL103" s="212"/>
      <c r="CM103" s="212"/>
      <c r="CN103" s="212"/>
      <c r="CO103" s="212"/>
      <c r="CP103" s="212"/>
      <c r="CQ103" s="212"/>
      <c r="CR103" s="212"/>
      <c r="CS103" s="212"/>
      <c r="CT103" s="212"/>
      <c r="CU103" s="212"/>
      <c r="CV103" s="212"/>
      <c r="CW103" s="212"/>
      <c r="CX103" s="212"/>
      <c r="CY103" s="212"/>
      <c r="CZ103" s="212"/>
      <c r="DA103" s="212"/>
      <c r="DB103" s="212"/>
      <c r="DC103" s="212"/>
      <c r="DD103" s="212"/>
      <c r="DE103" s="212"/>
      <c r="DF103" s="212"/>
      <c r="DG103" s="212"/>
      <c r="DH103" s="212"/>
      <c r="DI103" s="212"/>
      <c r="DJ103" s="212"/>
      <c r="DK103" s="212"/>
      <c r="DL103" s="212"/>
      <c r="DM103" s="212"/>
      <c r="DN103" s="212"/>
      <c r="DO103" s="212"/>
      <c r="DP103" s="212"/>
      <c r="DQ103" s="212"/>
      <c r="DR103" s="212"/>
      <c r="DS103" s="212"/>
      <c r="DT103" s="212"/>
      <c r="DU103" s="212"/>
      <c r="DV103" s="212"/>
      <c r="DW103" s="212"/>
      <c r="DX103" s="212"/>
      <c r="DY103" s="212"/>
      <c r="DZ103" s="212"/>
      <c r="EA103" s="212"/>
      <c r="EB103" s="212"/>
      <c r="EC103" s="212"/>
      <c r="ED103" s="212"/>
      <c r="EE103" s="212"/>
      <c r="EF103" s="212"/>
      <c r="EG103" s="212"/>
      <c r="EH103" s="212"/>
      <c r="EI103" s="212"/>
      <c r="EJ103" s="212"/>
      <c r="EK103" s="212"/>
      <c r="EL103" s="212"/>
      <c r="EM103" s="212"/>
      <c r="EN103" s="212"/>
      <c r="EO103" s="212"/>
      <c r="EP103" s="212"/>
      <c r="EQ103" s="212"/>
      <c r="ER103" s="212"/>
      <c r="ES103" s="212"/>
      <c r="ET103" s="212"/>
      <c r="EU103" s="212"/>
      <c r="EV103" s="212"/>
      <c r="EW103" s="212"/>
      <c r="EX103" s="212"/>
      <c r="EY103" s="212"/>
      <c r="EZ103" s="212"/>
      <c r="FA103" s="212"/>
      <c r="FB103" s="212"/>
      <c r="FC103" s="212"/>
      <c r="FD103" s="212"/>
      <c r="FE103" s="212"/>
      <c r="FF103" s="212"/>
      <c r="FG103" s="212"/>
      <c r="FH103" s="212"/>
      <c r="FI103" s="212"/>
      <c r="FJ103" s="212"/>
      <c r="FK103" s="212"/>
      <c r="FL103" s="212"/>
      <c r="FM103" s="212"/>
      <c r="FN103" s="212"/>
      <c r="FO103" s="212"/>
      <c r="FP103" s="212"/>
      <c r="FQ103" s="212"/>
      <c r="FR103" s="212"/>
      <c r="FS103" s="212"/>
      <c r="FT103" s="212"/>
      <c r="FU103" s="212"/>
      <c r="FV103" s="212"/>
      <c r="FW103" s="212"/>
      <c r="FX103" s="212"/>
      <c r="FY103" s="212"/>
      <c r="FZ103" s="212"/>
      <c r="GA103" s="212"/>
      <c r="GB103" s="212"/>
      <c r="GC103" s="212"/>
      <c r="GD103" s="212"/>
      <c r="GE103" s="212"/>
      <c r="GF103" s="212"/>
      <c r="GG103" s="212"/>
      <c r="GH103" s="212"/>
      <c r="GI103" s="212"/>
      <c r="GJ103" s="212"/>
      <c r="GK103" s="212"/>
      <c r="GL103" s="212"/>
      <c r="GM103" s="212"/>
      <c r="GN103" s="212"/>
      <c r="GO103" s="212"/>
      <c r="GP103" s="212"/>
      <c r="GQ103" s="212"/>
      <c r="GR103" s="212"/>
      <c r="GS103" s="212"/>
      <c r="GT103" s="212"/>
      <c r="GU103" s="212"/>
      <c r="GV103" s="212"/>
      <c r="GW103" s="212"/>
      <c r="GX103" s="212"/>
      <c r="GY103" s="212"/>
      <c r="GZ103" s="212"/>
      <c r="HA103" s="212"/>
      <c r="HB103" s="212"/>
      <c r="HC103" s="212"/>
      <c r="HD103" s="212"/>
      <c r="HE103" s="212"/>
      <c r="HF103" s="212"/>
      <c r="HG103" s="212"/>
      <c r="HH103" s="212"/>
      <c r="HI103" s="212"/>
      <c r="HJ103" s="212"/>
      <c r="HK103" s="212"/>
      <c r="HL103" s="212"/>
      <c r="HM103" s="212"/>
      <c r="HN103" s="212"/>
      <c r="HO103" s="212"/>
      <c r="HP103" s="212"/>
      <c r="HQ103" s="212"/>
      <c r="HR103" s="212"/>
      <c r="HS103" s="212"/>
      <c r="HT103" s="212"/>
      <c r="HU103" s="212"/>
      <c r="HV103" s="212"/>
      <c r="HW103" s="212"/>
      <c r="HX103" s="212"/>
      <c r="HY103" s="212"/>
      <c r="HZ103" s="212"/>
      <c r="IA103" s="212"/>
      <c r="IB103" s="212"/>
      <c r="IC103" s="212"/>
      <c r="ID103" s="212"/>
      <c r="IE103" s="212"/>
      <c r="IF103" s="212"/>
      <c r="IG103" s="212"/>
      <c r="IH103" s="212"/>
      <c r="II103" s="212"/>
      <c r="IJ103" s="212"/>
      <c r="IK103" s="212"/>
      <c r="IL103" s="212"/>
      <c r="IM103" s="212"/>
      <c r="IN103" s="212"/>
      <c r="IO103" s="212"/>
      <c r="IP103" s="212"/>
      <c r="IQ103" s="212"/>
      <c r="IR103" s="212"/>
      <c r="IS103" s="212"/>
      <c r="IT103" s="212"/>
      <c r="IU103" s="212"/>
      <c r="IV103" s="212"/>
    </row>
    <row r="104" spans="1:256" s="207" customFormat="1" ht="12.6" customHeight="1">
      <c r="A104" s="214"/>
      <c r="B104" s="214"/>
      <c r="C104" s="214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A104" s="214"/>
      <c r="AB104" s="214"/>
      <c r="AC104" s="212"/>
      <c r="AD104" s="212"/>
      <c r="AE104" s="212"/>
      <c r="AF104" s="212"/>
      <c r="AG104" s="212"/>
      <c r="AH104" s="212"/>
      <c r="AI104" s="212"/>
      <c r="AJ104" s="212"/>
      <c r="AK104" s="212"/>
      <c r="AL104" s="212"/>
      <c r="AM104" s="212"/>
      <c r="AN104" s="212"/>
      <c r="AO104" s="212"/>
      <c r="AP104" s="212"/>
      <c r="AQ104" s="212"/>
      <c r="AR104" s="212"/>
      <c r="AS104" s="212"/>
      <c r="AT104" s="212"/>
      <c r="AU104"/>
      <c r="AV104"/>
      <c r="AW104"/>
      <c r="AX104"/>
      <c r="AY104"/>
      <c r="AZ104"/>
      <c r="BA104"/>
      <c r="BB104"/>
      <c r="BC104"/>
      <c r="BD104" s="212"/>
      <c r="BE104" s="212"/>
      <c r="BG104" s="212"/>
      <c r="BH104" s="212"/>
      <c r="BI104" s="212"/>
      <c r="BJ104" s="212"/>
      <c r="BK104" s="212"/>
      <c r="BL104" s="212"/>
      <c r="BM104" s="212"/>
      <c r="BN104" s="212"/>
      <c r="BO104" s="212"/>
      <c r="BP104" s="212"/>
      <c r="BQ104" s="212"/>
      <c r="BR104" s="212"/>
      <c r="BS104" s="212"/>
      <c r="BT104" s="212"/>
      <c r="BU104" s="212"/>
      <c r="BV104" s="212"/>
      <c r="BW104" s="212"/>
      <c r="BX104" s="212"/>
      <c r="BY104" s="212"/>
      <c r="BZ104" s="212"/>
      <c r="CA104" s="212"/>
      <c r="CB104" s="212"/>
      <c r="CC104" s="212"/>
      <c r="CD104" s="212"/>
      <c r="CE104" s="212"/>
      <c r="CF104" s="212"/>
      <c r="CG104" s="212"/>
      <c r="CH104" s="212"/>
      <c r="CI104" s="212"/>
      <c r="CJ104" s="212"/>
      <c r="CK104" s="212"/>
      <c r="CL104" s="212"/>
      <c r="CM104" s="212"/>
      <c r="CN104" s="212"/>
      <c r="CO104" s="212"/>
      <c r="CP104" s="212"/>
      <c r="CQ104" s="212"/>
      <c r="CR104" s="212"/>
      <c r="CS104" s="212"/>
      <c r="CT104" s="212"/>
      <c r="CU104" s="212"/>
      <c r="CV104" s="212"/>
      <c r="CW104" s="212"/>
      <c r="CX104" s="212"/>
      <c r="CY104" s="212"/>
      <c r="CZ104" s="212"/>
      <c r="DA104" s="212"/>
      <c r="DB104" s="212"/>
      <c r="DC104" s="212"/>
      <c r="DD104" s="212"/>
      <c r="DE104" s="212"/>
      <c r="DF104" s="212"/>
      <c r="DG104" s="212"/>
      <c r="DH104" s="212"/>
      <c r="DI104" s="212"/>
      <c r="DJ104" s="212"/>
      <c r="DK104" s="212"/>
      <c r="DL104" s="212"/>
      <c r="DM104" s="212"/>
      <c r="DN104" s="212"/>
      <c r="DO104" s="212"/>
      <c r="DP104" s="212"/>
      <c r="DQ104" s="212"/>
      <c r="DR104" s="212"/>
      <c r="DS104" s="212"/>
      <c r="DT104" s="212"/>
      <c r="DU104" s="212"/>
      <c r="DV104" s="212"/>
      <c r="DW104" s="212"/>
      <c r="DX104" s="212"/>
      <c r="DY104" s="212"/>
      <c r="DZ104" s="212"/>
      <c r="EA104" s="212"/>
      <c r="EB104" s="212"/>
      <c r="EC104" s="212"/>
      <c r="ED104" s="212"/>
      <c r="EE104" s="212"/>
      <c r="EF104" s="212"/>
      <c r="EG104" s="212"/>
      <c r="EH104" s="212"/>
      <c r="EI104" s="212"/>
      <c r="EJ104" s="212"/>
      <c r="EK104" s="212"/>
      <c r="EL104" s="212"/>
      <c r="EM104" s="212"/>
      <c r="EN104" s="212"/>
      <c r="EO104" s="212"/>
      <c r="EP104" s="212"/>
      <c r="EQ104" s="212"/>
      <c r="ER104" s="212"/>
      <c r="ES104" s="212"/>
      <c r="ET104" s="212"/>
      <c r="EU104" s="212"/>
      <c r="EV104" s="212"/>
      <c r="EW104" s="212"/>
      <c r="EX104" s="212"/>
      <c r="EY104" s="212"/>
      <c r="EZ104" s="212"/>
      <c r="FA104" s="212"/>
      <c r="FB104" s="212"/>
      <c r="FC104" s="212"/>
      <c r="FD104" s="212"/>
      <c r="FE104" s="212"/>
      <c r="FF104" s="212"/>
      <c r="FG104" s="212"/>
      <c r="FH104" s="212"/>
      <c r="FI104" s="212"/>
      <c r="FJ104" s="212"/>
      <c r="FK104" s="212"/>
      <c r="FL104" s="212"/>
      <c r="FM104" s="212"/>
      <c r="FN104" s="212"/>
      <c r="FO104" s="212"/>
      <c r="FP104" s="212"/>
      <c r="FQ104" s="212"/>
      <c r="FR104" s="212"/>
      <c r="FS104" s="212"/>
      <c r="FT104" s="212"/>
      <c r="FU104" s="212"/>
      <c r="FV104" s="212"/>
      <c r="FW104" s="212"/>
      <c r="FX104" s="212"/>
      <c r="FY104" s="212"/>
      <c r="FZ104" s="212"/>
      <c r="GA104" s="212"/>
      <c r="GB104" s="212"/>
      <c r="GC104" s="212"/>
      <c r="GD104" s="212"/>
      <c r="GE104" s="212"/>
      <c r="GF104" s="212"/>
      <c r="GG104" s="212"/>
      <c r="GH104" s="212"/>
      <c r="GI104" s="212"/>
      <c r="GJ104" s="212"/>
      <c r="GK104" s="212"/>
      <c r="GL104" s="212"/>
      <c r="GM104" s="212"/>
      <c r="GN104" s="212"/>
      <c r="GO104" s="212"/>
      <c r="GP104" s="212"/>
      <c r="GQ104" s="212"/>
      <c r="GR104" s="212"/>
      <c r="GS104" s="212"/>
      <c r="GT104" s="212"/>
      <c r="GU104" s="212"/>
      <c r="GV104" s="212"/>
      <c r="GW104" s="212"/>
      <c r="GX104" s="212"/>
      <c r="GY104" s="212"/>
      <c r="GZ104" s="212"/>
      <c r="HA104" s="212"/>
      <c r="HB104" s="212"/>
      <c r="HC104" s="212"/>
      <c r="HD104" s="212"/>
      <c r="HE104" s="212"/>
      <c r="HF104" s="212"/>
      <c r="HG104" s="212"/>
      <c r="HH104" s="212"/>
      <c r="HI104" s="212"/>
      <c r="HJ104" s="212"/>
      <c r="HK104" s="212"/>
      <c r="HL104" s="212"/>
      <c r="HM104" s="212"/>
      <c r="HN104" s="212"/>
      <c r="HO104" s="212"/>
      <c r="HP104" s="212"/>
      <c r="HQ104" s="212"/>
      <c r="HR104" s="212"/>
      <c r="HS104" s="212"/>
      <c r="HT104" s="212"/>
      <c r="HU104" s="212"/>
      <c r="HV104" s="212"/>
      <c r="HW104" s="212"/>
      <c r="HX104" s="212"/>
      <c r="HY104" s="212"/>
      <c r="HZ104" s="212"/>
      <c r="IA104" s="212"/>
      <c r="IB104" s="212"/>
      <c r="IC104" s="212"/>
      <c r="ID104" s="212"/>
      <c r="IE104" s="212"/>
      <c r="IF104" s="212"/>
      <c r="IG104" s="212"/>
      <c r="IH104" s="212"/>
      <c r="II104" s="212"/>
      <c r="IJ104" s="212"/>
      <c r="IK104" s="212"/>
      <c r="IL104" s="212"/>
      <c r="IM104" s="212"/>
      <c r="IN104" s="212"/>
      <c r="IO104" s="212"/>
      <c r="IP104" s="212"/>
      <c r="IQ104" s="212"/>
      <c r="IR104" s="212"/>
      <c r="IS104" s="212"/>
      <c r="IT104" s="212"/>
      <c r="IU104" s="212"/>
      <c r="IV104" s="212"/>
    </row>
    <row r="105" spans="1:256" s="207" customFormat="1" ht="12.6" customHeight="1">
      <c r="A105" s="214"/>
      <c r="B105" s="214"/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A105" s="214"/>
      <c r="AB105" s="214"/>
      <c r="AC105" s="212"/>
      <c r="AD105" s="212"/>
      <c r="AE105" s="212"/>
      <c r="AF105" s="212"/>
      <c r="AG105" s="212"/>
      <c r="AH105" s="212"/>
      <c r="AI105" s="212"/>
      <c r="AJ105" s="212"/>
      <c r="AK105" s="212"/>
      <c r="AL105" s="212"/>
      <c r="AM105" s="212"/>
      <c r="AN105" s="212"/>
      <c r="AO105" s="212"/>
      <c r="AP105" s="212"/>
      <c r="AQ105" s="212"/>
      <c r="AR105" s="212"/>
      <c r="AS105" s="212"/>
      <c r="AT105" s="212"/>
      <c r="AU105"/>
      <c r="AV105"/>
      <c r="AW105"/>
      <c r="AX105"/>
      <c r="AY105"/>
      <c r="AZ105"/>
      <c r="BA105"/>
      <c r="BB105"/>
      <c r="BC105"/>
      <c r="BD105" s="212"/>
      <c r="BE105" s="212"/>
      <c r="BG105" s="212"/>
      <c r="BH105" s="212"/>
      <c r="BI105" s="212"/>
      <c r="BJ105" s="212"/>
      <c r="BK105" s="212"/>
      <c r="BL105" s="212"/>
      <c r="BM105" s="212"/>
      <c r="BN105" s="212"/>
      <c r="BO105" s="212"/>
      <c r="BP105" s="212"/>
      <c r="BQ105" s="212"/>
      <c r="BR105" s="212"/>
      <c r="BS105" s="212"/>
      <c r="BT105" s="212"/>
      <c r="BU105" s="212"/>
      <c r="BV105" s="212"/>
      <c r="BW105" s="212"/>
      <c r="BX105" s="212"/>
      <c r="BY105" s="212"/>
      <c r="BZ105" s="212"/>
      <c r="CA105" s="212"/>
      <c r="CB105" s="212"/>
      <c r="CC105" s="212"/>
      <c r="CD105" s="212"/>
      <c r="CE105" s="212"/>
      <c r="CF105" s="212"/>
      <c r="CG105" s="212"/>
      <c r="CH105" s="212"/>
      <c r="CI105" s="212"/>
      <c r="CJ105" s="212"/>
      <c r="CK105" s="212"/>
      <c r="CL105" s="212"/>
      <c r="CM105" s="212"/>
      <c r="CN105" s="212"/>
      <c r="CO105" s="212"/>
      <c r="CP105" s="212"/>
      <c r="CQ105" s="212"/>
      <c r="CR105" s="212"/>
      <c r="CS105" s="212"/>
      <c r="CT105" s="212"/>
      <c r="CU105" s="212"/>
      <c r="CV105" s="212"/>
      <c r="CW105" s="212"/>
      <c r="CX105" s="212"/>
      <c r="CY105" s="212"/>
      <c r="CZ105" s="212"/>
      <c r="DA105" s="212"/>
      <c r="DB105" s="212"/>
      <c r="DC105" s="212"/>
      <c r="DD105" s="212"/>
      <c r="DE105" s="212"/>
      <c r="DF105" s="212"/>
      <c r="DG105" s="212"/>
      <c r="DH105" s="212"/>
      <c r="DI105" s="212"/>
      <c r="DJ105" s="212"/>
      <c r="DK105" s="212"/>
      <c r="DL105" s="212"/>
      <c r="DM105" s="212"/>
      <c r="DN105" s="212"/>
      <c r="DO105" s="212"/>
      <c r="DP105" s="212"/>
      <c r="DQ105" s="212"/>
      <c r="DR105" s="212"/>
      <c r="DS105" s="212"/>
      <c r="DT105" s="212"/>
      <c r="DU105" s="212"/>
      <c r="DV105" s="212"/>
      <c r="DW105" s="212"/>
      <c r="DX105" s="212"/>
      <c r="DY105" s="212"/>
      <c r="DZ105" s="212"/>
      <c r="EA105" s="212"/>
      <c r="EB105" s="212"/>
      <c r="EC105" s="212"/>
      <c r="ED105" s="212"/>
      <c r="EE105" s="212"/>
      <c r="EF105" s="212"/>
      <c r="EG105" s="212"/>
      <c r="EH105" s="212"/>
      <c r="EI105" s="212"/>
      <c r="EJ105" s="212"/>
      <c r="EK105" s="212"/>
      <c r="EL105" s="212"/>
      <c r="EM105" s="212"/>
      <c r="EN105" s="212"/>
      <c r="EO105" s="212"/>
      <c r="EP105" s="212"/>
      <c r="EQ105" s="212"/>
      <c r="ER105" s="212"/>
      <c r="ES105" s="212"/>
      <c r="ET105" s="212"/>
      <c r="EU105" s="212"/>
      <c r="EV105" s="212"/>
      <c r="EW105" s="212"/>
      <c r="EX105" s="212"/>
      <c r="EY105" s="212"/>
      <c r="EZ105" s="212"/>
      <c r="FA105" s="212"/>
      <c r="FB105" s="212"/>
      <c r="FC105" s="212"/>
      <c r="FD105" s="212"/>
      <c r="FE105" s="212"/>
      <c r="FF105" s="212"/>
      <c r="FG105" s="212"/>
      <c r="FH105" s="212"/>
      <c r="FI105" s="212"/>
      <c r="FJ105" s="212"/>
      <c r="FK105" s="212"/>
      <c r="FL105" s="212"/>
      <c r="FM105" s="212"/>
      <c r="FN105" s="212"/>
      <c r="FO105" s="212"/>
      <c r="FP105" s="212"/>
      <c r="FQ105" s="212"/>
      <c r="FR105" s="212"/>
      <c r="FS105" s="212"/>
      <c r="FT105" s="212"/>
      <c r="FU105" s="212"/>
      <c r="FV105" s="212"/>
      <c r="FW105" s="212"/>
      <c r="FX105" s="212"/>
      <c r="FY105" s="212"/>
      <c r="FZ105" s="212"/>
      <c r="GA105" s="212"/>
      <c r="GB105" s="212"/>
      <c r="GC105" s="212"/>
      <c r="GD105" s="212"/>
      <c r="GE105" s="212"/>
      <c r="GF105" s="212"/>
      <c r="GG105" s="212"/>
      <c r="GH105" s="212"/>
      <c r="GI105" s="212"/>
      <c r="GJ105" s="212"/>
      <c r="GK105" s="212"/>
      <c r="GL105" s="212"/>
      <c r="GM105" s="212"/>
      <c r="GN105" s="212"/>
      <c r="GO105" s="212"/>
      <c r="GP105" s="212"/>
      <c r="GQ105" s="212"/>
      <c r="GR105" s="212"/>
      <c r="GS105" s="212"/>
      <c r="GT105" s="212"/>
      <c r="GU105" s="212"/>
      <c r="GV105" s="212"/>
      <c r="GW105" s="212"/>
      <c r="GX105" s="212"/>
      <c r="GY105" s="212"/>
      <c r="GZ105" s="212"/>
      <c r="HA105" s="212"/>
      <c r="HB105" s="212"/>
      <c r="HC105" s="212"/>
      <c r="HD105" s="212"/>
      <c r="HE105" s="212"/>
      <c r="HF105" s="212"/>
      <c r="HG105" s="212"/>
      <c r="HH105" s="212"/>
      <c r="HI105" s="212"/>
      <c r="HJ105" s="212"/>
      <c r="HK105" s="212"/>
      <c r="HL105" s="212"/>
      <c r="HM105" s="212"/>
      <c r="HN105" s="212"/>
      <c r="HO105" s="212"/>
      <c r="HP105" s="212"/>
      <c r="HQ105" s="212"/>
      <c r="HR105" s="212"/>
      <c r="HS105" s="212"/>
      <c r="HT105" s="212"/>
      <c r="HU105" s="212"/>
      <c r="HV105" s="212"/>
      <c r="HW105" s="212"/>
      <c r="HX105" s="212"/>
      <c r="HY105" s="212"/>
      <c r="HZ105" s="212"/>
      <c r="IA105" s="212"/>
      <c r="IB105" s="212"/>
      <c r="IC105" s="212"/>
      <c r="ID105" s="212"/>
      <c r="IE105" s="212"/>
      <c r="IF105" s="212"/>
      <c r="IG105" s="212"/>
      <c r="IH105" s="212"/>
      <c r="II105" s="212"/>
      <c r="IJ105" s="212"/>
      <c r="IK105" s="212"/>
      <c r="IL105" s="212"/>
      <c r="IM105" s="212"/>
      <c r="IN105" s="212"/>
      <c r="IO105" s="212"/>
      <c r="IP105" s="212"/>
      <c r="IQ105" s="212"/>
      <c r="IR105" s="212"/>
      <c r="IS105" s="212"/>
      <c r="IT105" s="212"/>
      <c r="IU105" s="212"/>
      <c r="IV105" s="212"/>
    </row>
    <row r="106" spans="1:256" s="212" customFormat="1" ht="12.6" customHeight="1">
      <c r="A106" s="214"/>
      <c r="B106" s="214"/>
      <c r="C106" s="214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A106" s="214"/>
      <c r="AB106" s="214"/>
      <c r="AU106"/>
      <c r="AV106"/>
      <c r="AW106"/>
      <c r="AX106"/>
      <c r="AY106"/>
      <c r="AZ106"/>
      <c r="BA106"/>
      <c r="BB106"/>
      <c r="BC106"/>
      <c r="BF106" s="207"/>
    </row>
    <row r="107" spans="1:256" s="212" customFormat="1" ht="12.6" customHeight="1">
      <c r="A107" s="214"/>
      <c r="B107" s="214"/>
      <c r="C107" s="214"/>
      <c r="D107" s="214"/>
      <c r="E107" s="214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A107" s="211"/>
      <c r="AB107" s="211"/>
      <c r="AU107"/>
      <c r="AV107"/>
      <c r="AW107"/>
      <c r="AX107"/>
      <c r="AY107"/>
      <c r="AZ107"/>
      <c r="BA107"/>
      <c r="BB107"/>
      <c r="BC107"/>
      <c r="BF107" s="207"/>
    </row>
    <row r="108" spans="1:256" s="212" customFormat="1" ht="12.6" customHeight="1">
      <c r="A108" s="214"/>
      <c r="B108" s="214"/>
      <c r="C108" s="214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U108"/>
      <c r="AV108"/>
      <c r="AW108"/>
      <c r="AX108"/>
      <c r="AY108"/>
      <c r="AZ108"/>
      <c r="BA108"/>
      <c r="BB108"/>
      <c r="BC108"/>
      <c r="BF108" s="207"/>
    </row>
    <row r="109" spans="1:256" s="212" customFormat="1" ht="12.6" customHeight="1">
      <c r="A109" s="214"/>
      <c r="B109" s="214"/>
      <c r="C109" s="214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U109"/>
      <c r="AV109"/>
      <c r="AW109"/>
      <c r="AX109"/>
      <c r="AY109"/>
      <c r="AZ109"/>
      <c r="BA109"/>
      <c r="BB109"/>
      <c r="BC109"/>
      <c r="BF109" s="207"/>
    </row>
    <row r="110" spans="1:256" s="212" customFormat="1" ht="12.6" customHeight="1">
      <c r="A110" s="214"/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1"/>
      <c r="AU110"/>
      <c r="AV110"/>
      <c r="AW110"/>
      <c r="AX110"/>
      <c r="AY110"/>
      <c r="AZ110"/>
      <c r="BA110"/>
      <c r="BB110"/>
      <c r="BC110"/>
      <c r="BF110" s="207"/>
    </row>
    <row r="111" spans="1:256" s="212" customFormat="1" ht="12.6" customHeight="1">
      <c r="A111" s="214"/>
      <c r="B111" s="214"/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AC111" s="207"/>
      <c r="AD111" s="207"/>
      <c r="AE111" s="207"/>
      <c r="AF111" s="207"/>
      <c r="AG111" s="207"/>
      <c r="AH111" s="207"/>
      <c r="AI111" s="207"/>
      <c r="AJ111" s="207"/>
      <c r="AK111" s="207"/>
      <c r="AL111" s="207"/>
      <c r="AM111" s="207"/>
      <c r="AN111" s="207"/>
      <c r="AO111" s="207"/>
      <c r="AP111" s="207"/>
      <c r="AQ111" s="207"/>
      <c r="AR111" s="207"/>
      <c r="AS111" s="207"/>
      <c r="AT111" s="207"/>
      <c r="AU111"/>
      <c r="AV111"/>
      <c r="AW111"/>
      <c r="AX111"/>
      <c r="AY111"/>
      <c r="AZ111"/>
      <c r="BA111"/>
      <c r="BB111"/>
      <c r="BC111"/>
      <c r="BD111" s="207"/>
      <c r="BE111" s="207"/>
      <c r="BF111" s="207"/>
      <c r="BG111" s="207"/>
      <c r="BH111" s="207"/>
      <c r="BI111" s="207"/>
      <c r="BJ111" s="207"/>
      <c r="BK111" s="207"/>
      <c r="BL111" s="207"/>
      <c r="BM111" s="207"/>
      <c r="BN111" s="207"/>
      <c r="BO111" s="207"/>
      <c r="BP111" s="207"/>
      <c r="BQ111" s="207"/>
      <c r="BR111" s="207"/>
      <c r="BS111" s="207"/>
      <c r="BT111" s="207"/>
      <c r="BU111" s="207"/>
      <c r="BV111" s="207"/>
      <c r="BW111" s="207"/>
      <c r="BX111" s="207"/>
      <c r="BY111" s="207"/>
      <c r="BZ111" s="207"/>
      <c r="CA111" s="207"/>
      <c r="CB111" s="207"/>
      <c r="CC111" s="207"/>
      <c r="CD111" s="207"/>
      <c r="CE111" s="207"/>
      <c r="CF111" s="207"/>
      <c r="CG111" s="207"/>
      <c r="CH111" s="207"/>
      <c r="CI111" s="207"/>
      <c r="CJ111" s="207"/>
      <c r="CK111" s="207"/>
      <c r="CL111" s="207"/>
      <c r="CM111" s="207"/>
      <c r="CN111" s="207"/>
      <c r="CO111" s="207"/>
      <c r="CP111" s="207"/>
      <c r="CQ111" s="207"/>
      <c r="CR111" s="207"/>
      <c r="CS111" s="207"/>
      <c r="CT111" s="207"/>
      <c r="CU111" s="207"/>
      <c r="CV111" s="207"/>
      <c r="CW111" s="207"/>
      <c r="CX111" s="207"/>
      <c r="CY111" s="207"/>
      <c r="CZ111" s="207"/>
      <c r="DA111" s="207"/>
      <c r="DB111" s="207"/>
      <c r="DC111" s="207"/>
      <c r="DD111" s="207"/>
      <c r="DE111" s="207"/>
      <c r="DF111" s="207"/>
      <c r="DG111" s="207"/>
      <c r="DH111" s="207"/>
      <c r="DI111" s="207"/>
      <c r="DJ111" s="207"/>
      <c r="DK111" s="207"/>
      <c r="DL111" s="207"/>
      <c r="DM111" s="207"/>
      <c r="DN111" s="207"/>
      <c r="DO111" s="207"/>
      <c r="DP111" s="207"/>
      <c r="DQ111" s="207"/>
      <c r="DR111" s="207"/>
      <c r="DS111" s="207"/>
      <c r="DT111" s="207"/>
      <c r="DU111" s="207"/>
      <c r="DV111" s="207"/>
      <c r="DW111" s="207"/>
      <c r="DX111" s="207"/>
      <c r="DY111" s="207"/>
      <c r="DZ111" s="207"/>
      <c r="EA111" s="207"/>
      <c r="EB111" s="207"/>
      <c r="EC111" s="207"/>
      <c r="ED111" s="207"/>
      <c r="EE111" s="207"/>
      <c r="EF111" s="207"/>
      <c r="EG111" s="207"/>
      <c r="EH111" s="207"/>
      <c r="EI111" s="207"/>
      <c r="EJ111" s="207"/>
      <c r="EK111" s="207"/>
      <c r="EL111" s="207"/>
      <c r="EM111" s="207"/>
      <c r="EN111" s="207"/>
      <c r="EO111" s="207"/>
      <c r="EP111" s="207"/>
      <c r="EQ111" s="207"/>
      <c r="ER111" s="207"/>
      <c r="ES111" s="207"/>
      <c r="ET111" s="207"/>
      <c r="EU111" s="207"/>
      <c r="EV111" s="207"/>
      <c r="EW111" s="207"/>
      <c r="EX111" s="207"/>
      <c r="EY111" s="207"/>
      <c r="EZ111" s="207"/>
      <c r="FA111" s="207"/>
      <c r="FB111" s="207"/>
      <c r="FC111" s="207"/>
      <c r="FD111" s="207"/>
      <c r="FE111" s="207"/>
      <c r="FF111" s="207"/>
      <c r="FG111" s="207"/>
      <c r="FH111" s="207"/>
      <c r="FI111" s="207"/>
      <c r="FJ111" s="207"/>
      <c r="FK111" s="207"/>
      <c r="FL111" s="207"/>
      <c r="FM111" s="207"/>
      <c r="FN111" s="207"/>
      <c r="FO111" s="207"/>
      <c r="FP111" s="207"/>
      <c r="FQ111" s="207"/>
      <c r="FR111" s="207"/>
      <c r="FS111" s="207"/>
      <c r="FT111" s="207"/>
      <c r="FU111" s="207"/>
      <c r="FV111" s="207"/>
      <c r="FW111" s="207"/>
      <c r="FX111" s="207"/>
      <c r="FY111" s="207"/>
      <c r="FZ111" s="207"/>
      <c r="GA111" s="207"/>
      <c r="GB111" s="207"/>
      <c r="GC111" s="207"/>
      <c r="GD111" s="207"/>
      <c r="GE111" s="207"/>
      <c r="GF111" s="207"/>
      <c r="GG111" s="207"/>
      <c r="GH111" s="207"/>
      <c r="GI111" s="207"/>
      <c r="GJ111" s="207"/>
      <c r="GK111" s="207"/>
      <c r="GL111" s="207"/>
      <c r="GM111" s="207"/>
      <c r="GN111" s="207"/>
      <c r="GO111" s="207"/>
      <c r="GP111" s="207"/>
      <c r="GQ111" s="207"/>
      <c r="GR111" s="207"/>
      <c r="GS111" s="207"/>
      <c r="GT111" s="207"/>
      <c r="GU111" s="207"/>
      <c r="GV111" s="207"/>
      <c r="GW111" s="207"/>
      <c r="GX111" s="207"/>
      <c r="GY111" s="207"/>
      <c r="GZ111" s="207"/>
      <c r="HA111" s="207"/>
      <c r="HB111" s="207"/>
      <c r="HC111" s="207"/>
      <c r="HD111" s="207"/>
      <c r="HE111" s="207"/>
      <c r="HF111" s="207"/>
      <c r="HG111" s="207"/>
      <c r="HH111" s="207"/>
      <c r="HI111" s="207"/>
      <c r="HJ111" s="207"/>
      <c r="HK111" s="207"/>
      <c r="HL111" s="207"/>
      <c r="HM111" s="207"/>
      <c r="HN111" s="207"/>
      <c r="HO111" s="207"/>
      <c r="HP111" s="207"/>
      <c r="HQ111" s="207"/>
      <c r="HR111" s="207"/>
      <c r="HS111" s="207"/>
      <c r="HT111" s="207"/>
      <c r="HU111" s="207"/>
      <c r="HV111" s="207"/>
      <c r="HW111" s="207"/>
      <c r="HX111" s="207"/>
      <c r="HY111" s="207"/>
      <c r="HZ111" s="207"/>
      <c r="IA111" s="207"/>
      <c r="IB111" s="207"/>
      <c r="IC111" s="207"/>
      <c r="ID111" s="207"/>
      <c r="IE111" s="207"/>
      <c r="IF111" s="207"/>
      <c r="IG111" s="207"/>
      <c r="IH111" s="207"/>
      <c r="II111" s="207"/>
      <c r="IJ111" s="207"/>
      <c r="IK111" s="207"/>
      <c r="IL111" s="207"/>
      <c r="IM111" s="207"/>
      <c r="IN111" s="207"/>
      <c r="IO111" s="207"/>
      <c r="IP111" s="207"/>
      <c r="IQ111" s="207"/>
      <c r="IR111" s="207"/>
      <c r="IS111" s="207"/>
      <c r="IT111" s="207"/>
      <c r="IU111" s="207"/>
      <c r="IV111" s="207"/>
    </row>
    <row r="112" spans="1:256" s="212" customFormat="1" ht="12.6" customHeight="1">
      <c r="A112" s="214"/>
      <c r="B112" s="214"/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AC112" s="207"/>
      <c r="AD112" s="207"/>
      <c r="AE112" s="207"/>
      <c r="AF112" s="207"/>
      <c r="AG112" s="207"/>
      <c r="AH112" s="207"/>
      <c r="AI112" s="207"/>
      <c r="AJ112" s="207"/>
      <c r="AK112" s="207"/>
      <c r="AL112" s="207"/>
      <c r="AM112" s="207"/>
      <c r="AN112" s="207"/>
      <c r="AO112" s="207"/>
      <c r="AP112" s="207"/>
      <c r="AQ112" s="207"/>
      <c r="AR112" s="207"/>
      <c r="AS112" s="207"/>
      <c r="AT112" s="207"/>
      <c r="AU112"/>
      <c r="AV112"/>
      <c r="AW112"/>
      <c r="AX112"/>
      <c r="AY112"/>
      <c r="AZ112"/>
      <c r="BA112"/>
      <c r="BB112"/>
      <c r="BC112"/>
      <c r="BD112" s="207"/>
      <c r="BE112" s="207"/>
      <c r="BF112" s="207"/>
      <c r="BG112" s="207"/>
      <c r="BH112" s="207"/>
      <c r="BI112" s="207"/>
      <c r="BJ112" s="207"/>
      <c r="BK112" s="207"/>
      <c r="BL112" s="207"/>
      <c r="BM112" s="207"/>
      <c r="BN112" s="207"/>
      <c r="BO112" s="207"/>
      <c r="BP112" s="207"/>
      <c r="BQ112" s="207"/>
      <c r="BR112" s="207"/>
      <c r="BS112" s="207"/>
      <c r="BT112" s="207"/>
      <c r="BU112" s="207"/>
      <c r="BV112" s="207"/>
      <c r="BW112" s="207"/>
      <c r="BX112" s="207"/>
      <c r="BY112" s="207"/>
      <c r="BZ112" s="207"/>
      <c r="CA112" s="207"/>
      <c r="CB112" s="207"/>
      <c r="CC112" s="207"/>
      <c r="CD112" s="207"/>
      <c r="CE112" s="207"/>
      <c r="CF112" s="207"/>
      <c r="CG112" s="207"/>
      <c r="CH112" s="207"/>
      <c r="CI112" s="207"/>
      <c r="CJ112" s="207"/>
      <c r="CK112" s="207"/>
      <c r="CL112" s="207"/>
      <c r="CM112" s="207"/>
      <c r="CN112" s="207"/>
      <c r="CO112" s="207"/>
      <c r="CP112" s="207"/>
      <c r="CQ112" s="207"/>
      <c r="CR112" s="207"/>
      <c r="CS112" s="207"/>
      <c r="CT112" s="207"/>
      <c r="CU112" s="207"/>
      <c r="CV112" s="207"/>
      <c r="CW112" s="207"/>
      <c r="CX112" s="207"/>
      <c r="CY112" s="207"/>
      <c r="CZ112" s="207"/>
      <c r="DA112" s="207"/>
      <c r="DB112" s="207"/>
      <c r="DC112" s="207"/>
      <c r="DD112" s="207"/>
      <c r="DE112" s="207"/>
      <c r="DF112" s="207"/>
      <c r="DG112" s="207"/>
      <c r="DH112" s="207"/>
      <c r="DI112" s="207"/>
      <c r="DJ112" s="207"/>
      <c r="DK112" s="207"/>
      <c r="DL112" s="207"/>
      <c r="DM112" s="207"/>
      <c r="DN112" s="207"/>
      <c r="DO112" s="207"/>
      <c r="DP112" s="207"/>
      <c r="DQ112" s="207"/>
      <c r="DR112" s="207"/>
      <c r="DS112" s="207"/>
      <c r="DT112" s="207"/>
      <c r="DU112" s="207"/>
      <c r="DV112" s="207"/>
      <c r="DW112" s="207"/>
      <c r="DX112" s="207"/>
      <c r="DY112" s="207"/>
      <c r="DZ112" s="207"/>
      <c r="EA112" s="207"/>
      <c r="EB112" s="207"/>
      <c r="EC112" s="207"/>
      <c r="ED112" s="207"/>
      <c r="EE112" s="207"/>
      <c r="EF112" s="207"/>
      <c r="EG112" s="207"/>
      <c r="EH112" s="207"/>
      <c r="EI112" s="207"/>
      <c r="EJ112" s="207"/>
      <c r="EK112" s="207"/>
      <c r="EL112" s="207"/>
      <c r="EM112" s="207"/>
      <c r="EN112" s="207"/>
      <c r="EO112" s="207"/>
      <c r="EP112" s="207"/>
      <c r="EQ112" s="207"/>
      <c r="ER112" s="207"/>
      <c r="ES112" s="207"/>
      <c r="ET112" s="207"/>
      <c r="EU112" s="207"/>
      <c r="EV112" s="207"/>
      <c r="EW112" s="207"/>
      <c r="EX112" s="207"/>
      <c r="EY112" s="207"/>
      <c r="EZ112" s="207"/>
      <c r="FA112" s="207"/>
      <c r="FB112" s="207"/>
      <c r="FC112" s="207"/>
      <c r="FD112" s="207"/>
      <c r="FE112" s="207"/>
      <c r="FF112" s="207"/>
      <c r="FG112" s="207"/>
      <c r="FH112" s="207"/>
      <c r="FI112" s="207"/>
      <c r="FJ112" s="207"/>
      <c r="FK112" s="207"/>
      <c r="FL112" s="207"/>
      <c r="FM112" s="207"/>
      <c r="FN112" s="207"/>
      <c r="FO112" s="207"/>
      <c r="FP112" s="207"/>
      <c r="FQ112" s="207"/>
      <c r="FR112" s="207"/>
      <c r="FS112" s="207"/>
      <c r="FT112" s="207"/>
      <c r="FU112" s="207"/>
      <c r="FV112" s="207"/>
      <c r="FW112" s="207"/>
      <c r="FX112" s="207"/>
      <c r="FY112" s="207"/>
      <c r="FZ112" s="207"/>
      <c r="GA112" s="207"/>
      <c r="GB112" s="207"/>
      <c r="GC112" s="207"/>
      <c r="GD112" s="207"/>
      <c r="GE112" s="207"/>
      <c r="GF112" s="207"/>
      <c r="GG112" s="207"/>
      <c r="GH112" s="207"/>
      <c r="GI112" s="207"/>
      <c r="GJ112" s="207"/>
      <c r="GK112" s="207"/>
      <c r="GL112" s="207"/>
      <c r="GM112" s="207"/>
      <c r="GN112" s="207"/>
      <c r="GO112" s="207"/>
      <c r="GP112" s="207"/>
      <c r="GQ112" s="207"/>
      <c r="GR112" s="207"/>
      <c r="GS112" s="207"/>
      <c r="GT112" s="207"/>
      <c r="GU112" s="207"/>
      <c r="GV112" s="207"/>
      <c r="GW112" s="207"/>
      <c r="GX112" s="207"/>
      <c r="GY112" s="207"/>
      <c r="GZ112" s="207"/>
      <c r="HA112" s="207"/>
      <c r="HB112" s="207"/>
      <c r="HC112" s="207"/>
      <c r="HD112" s="207"/>
      <c r="HE112" s="207"/>
      <c r="HF112" s="207"/>
      <c r="HG112" s="207"/>
      <c r="HH112" s="207"/>
      <c r="HI112" s="207"/>
      <c r="HJ112" s="207"/>
      <c r="HK112" s="207"/>
      <c r="HL112" s="207"/>
      <c r="HM112" s="207"/>
      <c r="HN112" s="207"/>
      <c r="HO112" s="207"/>
      <c r="HP112" s="207"/>
      <c r="HQ112" s="207"/>
      <c r="HR112" s="207"/>
      <c r="HS112" s="207"/>
      <c r="HT112" s="207"/>
      <c r="HU112" s="207"/>
      <c r="HV112" s="207"/>
      <c r="HW112" s="207"/>
      <c r="HX112" s="207"/>
      <c r="HY112" s="207"/>
      <c r="HZ112" s="207"/>
      <c r="IA112" s="207"/>
      <c r="IB112" s="207"/>
      <c r="IC112" s="207"/>
      <c r="ID112" s="207"/>
      <c r="IE112" s="207"/>
      <c r="IF112" s="207"/>
      <c r="IG112" s="207"/>
      <c r="IH112" s="207"/>
      <c r="II112" s="207"/>
      <c r="IJ112" s="207"/>
      <c r="IK112" s="207"/>
      <c r="IL112" s="207"/>
      <c r="IM112" s="207"/>
      <c r="IN112" s="207"/>
      <c r="IO112" s="207"/>
      <c r="IP112" s="207"/>
      <c r="IQ112" s="207"/>
      <c r="IR112" s="207"/>
      <c r="IS112" s="207"/>
      <c r="IT112" s="207"/>
      <c r="IU112" s="207"/>
      <c r="IV112" s="207"/>
    </row>
    <row r="113" spans="1:256" s="212" customFormat="1" ht="12.6" customHeight="1">
      <c r="A113" s="211"/>
      <c r="B113" s="211"/>
      <c r="C113" s="211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AC113" s="207"/>
      <c r="AD113" s="207"/>
      <c r="AE113" s="207"/>
      <c r="AF113" s="207"/>
      <c r="AG113" s="207"/>
      <c r="AH113" s="207"/>
      <c r="AI113" s="207"/>
      <c r="AJ113" s="207"/>
      <c r="AK113" s="207"/>
      <c r="AL113" s="207"/>
      <c r="AM113" s="207"/>
      <c r="AN113" s="207"/>
      <c r="AO113" s="207"/>
      <c r="AP113" s="207"/>
      <c r="AQ113" s="207"/>
      <c r="AR113" s="207"/>
      <c r="AS113" s="207"/>
      <c r="AT113" s="207"/>
      <c r="AU113"/>
      <c r="AV113"/>
      <c r="AW113"/>
      <c r="AX113"/>
      <c r="AY113"/>
      <c r="AZ113"/>
      <c r="BA113"/>
      <c r="BB113"/>
      <c r="BC113"/>
      <c r="BD113" s="207"/>
      <c r="BE113" s="207"/>
      <c r="BF113" s="207"/>
      <c r="BG113" s="207"/>
      <c r="BH113" s="207"/>
      <c r="BI113" s="207"/>
      <c r="BJ113" s="207"/>
      <c r="BK113" s="207"/>
      <c r="BL113" s="207"/>
      <c r="BM113" s="207"/>
      <c r="BN113" s="207"/>
      <c r="BO113" s="207"/>
      <c r="BP113" s="207"/>
      <c r="BQ113" s="207"/>
      <c r="BR113" s="207"/>
      <c r="BS113" s="207"/>
      <c r="BT113" s="207"/>
      <c r="BU113" s="207"/>
      <c r="BV113" s="207"/>
      <c r="BW113" s="207"/>
      <c r="BX113" s="207"/>
      <c r="BY113" s="207"/>
      <c r="BZ113" s="207"/>
      <c r="CA113" s="207"/>
      <c r="CB113" s="207"/>
      <c r="CC113" s="207"/>
      <c r="CD113" s="207"/>
      <c r="CE113" s="207"/>
      <c r="CF113" s="207"/>
      <c r="CG113" s="207"/>
      <c r="CH113" s="207"/>
      <c r="CI113" s="207"/>
      <c r="CJ113" s="207"/>
      <c r="CK113" s="207"/>
      <c r="CL113" s="207"/>
      <c r="CM113" s="207"/>
      <c r="CN113" s="207"/>
      <c r="CO113" s="207"/>
      <c r="CP113" s="207"/>
      <c r="CQ113" s="207"/>
      <c r="CR113" s="207"/>
      <c r="CS113" s="207"/>
      <c r="CT113" s="207"/>
      <c r="CU113" s="207"/>
      <c r="CV113" s="207"/>
      <c r="CW113" s="207"/>
      <c r="CX113" s="207"/>
      <c r="CY113" s="207"/>
      <c r="CZ113" s="207"/>
      <c r="DA113" s="207"/>
      <c r="DB113" s="207"/>
      <c r="DC113" s="207"/>
      <c r="DD113" s="207"/>
      <c r="DE113" s="207"/>
      <c r="DF113" s="207"/>
      <c r="DG113" s="207"/>
      <c r="DH113" s="207"/>
      <c r="DI113" s="207"/>
      <c r="DJ113" s="207"/>
      <c r="DK113" s="207"/>
      <c r="DL113" s="207"/>
      <c r="DM113" s="207"/>
      <c r="DN113" s="207"/>
      <c r="DO113" s="207"/>
      <c r="DP113" s="207"/>
      <c r="DQ113" s="207"/>
      <c r="DR113" s="207"/>
      <c r="DS113" s="207"/>
      <c r="DT113" s="207"/>
      <c r="DU113" s="207"/>
      <c r="DV113" s="207"/>
      <c r="DW113" s="207"/>
      <c r="DX113" s="207"/>
      <c r="DY113" s="207"/>
      <c r="DZ113" s="207"/>
      <c r="EA113" s="207"/>
      <c r="EB113" s="207"/>
      <c r="EC113" s="207"/>
      <c r="ED113" s="207"/>
      <c r="EE113" s="207"/>
      <c r="EF113" s="207"/>
      <c r="EG113" s="207"/>
      <c r="EH113" s="207"/>
      <c r="EI113" s="207"/>
      <c r="EJ113" s="207"/>
      <c r="EK113" s="207"/>
      <c r="EL113" s="207"/>
      <c r="EM113" s="207"/>
      <c r="EN113" s="207"/>
      <c r="EO113" s="207"/>
      <c r="EP113" s="207"/>
      <c r="EQ113" s="207"/>
      <c r="ER113" s="207"/>
      <c r="ES113" s="207"/>
      <c r="ET113" s="207"/>
      <c r="EU113" s="207"/>
      <c r="EV113" s="207"/>
      <c r="EW113" s="207"/>
      <c r="EX113" s="207"/>
      <c r="EY113" s="207"/>
      <c r="EZ113" s="207"/>
      <c r="FA113" s="207"/>
      <c r="FB113" s="207"/>
      <c r="FC113" s="207"/>
      <c r="FD113" s="207"/>
      <c r="FE113" s="207"/>
      <c r="FF113" s="207"/>
      <c r="FG113" s="207"/>
      <c r="FH113" s="207"/>
      <c r="FI113" s="207"/>
      <c r="FJ113" s="207"/>
      <c r="FK113" s="207"/>
      <c r="FL113" s="207"/>
      <c r="FM113" s="207"/>
      <c r="FN113" s="207"/>
      <c r="FO113" s="207"/>
      <c r="FP113" s="207"/>
      <c r="FQ113" s="207"/>
      <c r="FR113" s="207"/>
      <c r="FS113" s="207"/>
      <c r="FT113" s="207"/>
      <c r="FU113" s="207"/>
      <c r="FV113" s="207"/>
      <c r="FW113" s="207"/>
      <c r="FX113" s="207"/>
      <c r="FY113" s="207"/>
      <c r="FZ113" s="207"/>
      <c r="GA113" s="207"/>
      <c r="GB113" s="207"/>
      <c r="GC113" s="207"/>
      <c r="GD113" s="207"/>
      <c r="GE113" s="207"/>
      <c r="GF113" s="207"/>
      <c r="GG113" s="207"/>
      <c r="GH113" s="207"/>
      <c r="GI113" s="207"/>
      <c r="GJ113" s="207"/>
      <c r="GK113" s="207"/>
      <c r="GL113" s="207"/>
      <c r="GM113" s="207"/>
      <c r="GN113" s="207"/>
      <c r="GO113" s="207"/>
      <c r="GP113" s="207"/>
      <c r="GQ113" s="207"/>
      <c r="GR113" s="207"/>
      <c r="GS113" s="207"/>
      <c r="GT113" s="207"/>
      <c r="GU113" s="207"/>
      <c r="GV113" s="207"/>
      <c r="GW113" s="207"/>
      <c r="GX113" s="207"/>
      <c r="GY113" s="207"/>
      <c r="GZ113" s="207"/>
      <c r="HA113" s="207"/>
      <c r="HB113" s="207"/>
      <c r="HC113" s="207"/>
      <c r="HD113" s="207"/>
      <c r="HE113" s="207"/>
      <c r="HF113" s="207"/>
      <c r="HG113" s="207"/>
      <c r="HH113" s="207"/>
      <c r="HI113" s="207"/>
      <c r="HJ113" s="207"/>
      <c r="HK113" s="207"/>
      <c r="HL113" s="207"/>
      <c r="HM113" s="207"/>
      <c r="HN113" s="207"/>
      <c r="HO113" s="207"/>
      <c r="HP113" s="207"/>
      <c r="HQ113" s="207"/>
      <c r="HR113" s="207"/>
      <c r="HS113" s="207"/>
      <c r="HT113" s="207"/>
      <c r="HU113" s="207"/>
      <c r="HV113" s="207"/>
      <c r="HW113" s="207"/>
      <c r="HX113" s="207"/>
      <c r="HY113" s="207"/>
      <c r="HZ113" s="207"/>
      <c r="IA113" s="207"/>
      <c r="IB113" s="207"/>
      <c r="IC113" s="207"/>
      <c r="ID113" s="207"/>
      <c r="IE113" s="207"/>
      <c r="IF113" s="207"/>
      <c r="IG113" s="207"/>
      <c r="IH113" s="207"/>
      <c r="II113" s="207"/>
      <c r="IJ113" s="207"/>
      <c r="IK113" s="207"/>
      <c r="IL113" s="207"/>
      <c r="IM113" s="207"/>
      <c r="IN113" s="207"/>
      <c r="IO113" s="207"/>
      <c r="IP113" s="207"/>
      <c r="IQ113" s="207"/>
      <c r="IR113" s="207"/>
      <c r="IS113" s="207"/>
      <c r="IT113" s="207"/>
      <c r="IU113" s="207"/>
      <c r="IV113" s="207"/>
    </row>
    <row r="114" spans="1:256" s="212" customFormat="1" ht="12.6" customHeight="1">
      <c r="AC114" s="207"/>
      <c r="AD114" s="207"/>
      <c r="AE114" s="207"/>
      <c r="AF114" s="207"/>
      <c r="AG114" s="207"/>
      <c r="AH114" s="207"/>
      <c r="AI114" s="207"/>
      <c r="AJ114" s="207"/>
      <c r="AK114" s="207"/>
      <c r="AL114" s="207"/>
      <c r="AM114" s="207"/>
      <c r="AN114" s="207"/>
      <c r="AO114" s="207"/>
      <c r="AP114" s="207"/>
      <c r="AQ114" s="207"/>
      <c r="AR114" s="207"/>
      <c r="AS114" s="207"/>
      <c r="AT114" s="207"/>
      <c r="AU114"/>
      <c r="AV114"/>
      <c r="AW114"/>
      <c r="AX114"/>
      <c r="AY114"/>
      <c r="AZ114"/>
      <c r="BA114"/>
      <c r="BB114"/>
      <c r="BC114"/>
      <c r="BD114" s="207"/>
      <c r="BE114" s="207"/>
      <c r="BF114" s="207"/>
      <c r="BG114" s="207"/>
      <c r="BH114" s="207"/>
      <c r="BI114" s="207"/>
      <c r="BJ114" s="207"/>
      <c r="BK114" s="207"/>
      <c r="BL114" s="207"/>
      <c r="BM114" s="207"/>
      <c r="BN114" s="207"/>
      <c r="BO114" s="207"/>
      <c r="BP114" s="207"/>
      <c r="BQ114" s="207"/>
      <c r="BR114" s="207"/>
      <c r="BS114" s="207"/>
      <c r="BT114" s="207"/>
      <c r="BU114" s="207"/>
      <c r="BV114" s="207"/>
      <c r="BW114" s="207"/>
      <c r="BX114" s="207"/>
      <c r="BY114" s="207"/>
      <c r="BZ114" s="207"/>
      <c r="CA114" s="207"/>
      <c r="CB114" s="207"/>
      <c r="CC114" s="207"/>
      <c r="CD114" s="207"/>
      <c r="CE114" s="207"/>
      <c r="CF114" s="207"/>
      <c r="CG114" s="207"/>
      <c r="CH114" s="207"/>
      <c r="CI114" s="207"/>
      <c r="CJ114" s="207"/>
      <c r="CK114" s="207"/>
      <c r="CL114" s="207"/>
      <c r="CM114" s="207"/>
      <c r="CN114" s="207"/>
      <c r="CO114" s="207"/>
      <c r="CP114" s="207"/>
      <c r="CQ114" s="207"/>
      <c r="CR114" s="207"/>
      <c r="CS114" s="207"/>
      <c r="CT114" s="207"/>
      <c r="CU114" s="207"/>
      <c r="CV114" s="207"/>
      <c r="CW114" s="207"/>
      <c r="CX114" s="207"/>
      <c r="CY114" s="207"/>
      <c r="CZ114" s="207"/>
      <c r="DA114" s="207"/>
      <c r="DB114" s="207"/>
      <c r="DC114" s="207"/>
      <c r="DD114" s="207"/>
      <c r="DE114" s="207"/>
      <c r="DF114" s="207"/>
      <c r="DG114" s="207"/>
      <c r="DH114" s="207"/>
      <c r="DI114" s="207"/>
      <c r="DJ114" s="207"/>
      <c r="DK114" s="207"/>
      <c r="DL114" s="207"/>
      <c r="DM114" s="207"/>
      <c r="DN114" s="207"/>
      <c r="DO114" s="207"/>
      <c r="DP114" s="207"/>
      <c r="DQ114" s="207"/>
      <c r="DR114" s="207"/>
      <c r="DS114" s="207"/>
      <c r="DT114" s="207"/>
      <c r="DU114" s="207"/>
      <c r="DV114" s="207"/>
      <c r="DW114" s="207"/>
      <c r="DX114" s="207"/>
      <c r="DY114" s="207"/>
      <c r="DZ114" s="207"/>
      <c r="EA114" s="207"/>
      <c r="EB114" s="207"/>
      <c r="EC114" s="207"/>
      <c r="ED114" s="207"/>
      <c r="EE114" s="207"/>
      <c r="EF114" s="207"/>
      <c r="EG114" s="207"/>
      <c r="EH114" s="207"/>
      <c r="EI114" s="207"/>
      <c r="EJ114" s="207"/>
      <c r="EK114" s="207"/>
      <c r="EL114" s="207"/>
      <c r="EM114" s="207"/>
      <c r="EN114" s="207"/>
      <c r="EO114" s="207"/>
      <c r="EP114" s="207"/>
      <c r="EQ114" s="207"/>
      <c r="ER114" s="207"/>
      <c r="ES114" s="207"/>
      <c r="ET114" s="207"/>
      <c r="EU114" s="207"/>
      <c r="EV114" s="207"/>
      <c r="EW114" s="207"/>
      <c r="EX114" s="207"/>
      <c r="EY114" s="207"/>
      <c r="EZ114" s="207"/>
      <c r="FA114" s="207"/>
      <c r="FB114" s="207"/>
      <c r="FC114" s="207"/>
      <c r="FD114" s="207"/>
      <c r="FE114" s="207"/>
      <c r="FF114" s="207"/>
      <c r="FG114" s="207"/>
      <c r="FH114" s="207"/>
      <c r="FI114" s="207"/>
      <c r="FJ114" s="207"/>
      <c r="FK114" s="207"/>
      <c r="FL114" s="207"/>
      <c r="FM114" s="207"/>
      <c r="FN114" s="207"/>
      <c r="FO114" s="207"/>
      <c r="FP114" s="207"/>
      <c r="FQ114" s="207"/>
      <c r="FR114" s="207"/>
      <c r="FS114" s="207"/>
      <c r="FT114" s="207"/>
      <c r="FU114" s="207"/>
      <c r="FV114" s="207"/>
      <c r="FW114" s="207"/>
      <c r="FX114" s="207"/>
      <c r="FY114" s="207"/>
      <c r="FZ114" s="207"/>
      <c r="GA114" s="207"/>
      <c r="GB114" s="207"/>
      <c r="GC114" s="207"/>
      <c r="GD114" s="207"/>
      <c r="GE114" s="207"/>
      <c r="GF114" s="207"/>
      <c r="GG114" s="207"/>
      <c r="GH114" s="207"/>
      <c r="GI114" s="207"/>
      <c r="GJ114" s="207"/>
      <c r="GK114" s="207"/>
      <c r="GL114" s="207"/>
      <c r="GM114" s="207"/>
      <c r="GN114" s="207"/>
      <c r="GO114" s="207"/>
      <c r="GP114" s="207"/>
      <c r="GQ114" s="207"/>
      <c r="GR114" s="207"/>
      <c r="GS114" s="207"/>
      <c r="GT114" s="207"/>
      <c r="GU114" s="207"/>
      <c r="GV114" s="207"/>
      <c r="GW114" s="207"/>
      <c r="GX114" s="207"/>
      <c r="GY114" s="207"/>
      <c r="GZ114" s="207"/>
      <c r="HA114" s="207"/>
      <c r="HB114" s="207"/>
      <c r="HC114" s="207"/>
      <c r="HD114" s="207"/>
      <c r="HE114" s="207"/>
      <c r="HF114" s="207"/>
      <c r="HG114" s="207"/>
      <c r="HH114" s="207"/>
      <c r="HI114" s="207"/>
      <c r="HJ114" s="207"/>
      <c r="HK114" s="207"/>
      <c r="HL114" s="207"/>
      <c r="HM114" s="207"/>
      <c r="HN114" s="207"/>
      <c r="HO114" s="207"/>
      <c r="HP114" s="207"/>
      <c r="HQ114" s="207"/>
      <c r="HR114" s="207"/>
      <c r="HS114" s="207"/>
      <c r="HT114" s="207"/>
      <c r="HU114" s="207"/>
      <c r="HV114" s="207"/>
      <c r="HW114" s="207"/>
      <c r="HX114" s="207"/>
      <c r="HY114" s="207"/>
      <c r="HZ114" s="207"/>
      <c r="IA114" s="207"/>
      <c r="IB114" s="207"/>
      <c r="IC114" s="207"/>
      <c r="ID114" s="207"/>
      <c r="IE114" s="207"/>
      <c r="IF114" s="207"/>
      <c r="IG114" s="207"/>
      <c r="IH114" s="207"/>
      <c r="II114" s="207"/>
      <c r="IJ114" s="207"/>
      <c r="IK114" s="207"/>
      <c r="IL114" s="207"/>
      <c r="IM114" s="207"/>
      <c r="IN114" s="207"/>
      <c r="IO114" s="207"/>
      <c r="IP114" s="207"/>
      <c r="IQ114" s="207"/>
      <c r="IR114" s="207"/>
      <c r="IS114" s="207"/>
      <c r="IT114" s="207"/>
      <c r="IU114" s="207"/>
      <c r="IV114" s="207"/>
    </row>
    <row r="115" spans="1:256" s="212" customFormat="1" ht="12.6" customHeight="1">
      <c r="AC115" s="207"/>
      <c r="AD115" s="207"/>
      <c r="AE115" s="207"/>
      <c r="AF115" s="207"/>
      <c r="AG115" s="207"/>
      <c r="AH115" s="207"/>
      <c r="AI115" s="207"/>
      <c r="AJ115" s="207"/>
      <c r="AK115" s="207"/>
      <c r="AL115" s="207"/>
      <c r="AM115" s="207"/>
      <c r="AN115" s="207"/>
      <c r="AO115" s="207"/>
      <c r="AP115" s="207"/>
      <c r="AQ115" s="207"/>
      <c r="AR115" s="207"/>
      <c r="AS115" s="207"/>
      <c r="AT115" s="207"/>
      <c r="AU115"/>
      <c r="AV115"/>
      <c r="AW115"/>
      <c r="AX115"/>
      <c r="AY115"/>
      <c r="AZ115"/>
      <c r="BA115"/>
      <c r="BB115"/>
      <c r="BC115"/>
      <c r="BD115" s="207"/>
      <c r="BE115" s="207"/>
      <c r="BF115" s="207"/>
      <c r="BG115" s="207"/>
      <c r="BH115" s="207"/>
      <c r="BI115" s="207"/>
      <c r="BJ115" s="207"/>
      <c r="BK115" s="207"/>
      <c r="BL115" s="207"/>
      <c r="BM115" s="207"/>
      <c r="BN115" s="207"/>
      <c r="BO115" s="207"/>
      <c r="BP115" s="207"/>
      <c r="BQ115" s="207"/>
      <c r="BR115" s="207"/>
      <c r="BS115" s="207"/>
      <c r="BT115" s="207"/>
      <c r="BU115" s="207"/>
      <c r="BV115" s="207"/>
      <c r="BW115" s="207"/>
      <c r="BX115" s="207"/>
      <c r="BY115" s="207"/>
      <c r="BZ115" s="207"/>
      <c r="CA115" s="207"/>
      <c r="CB115" s="207"/>
      <c r="CC115" s="207"/>
      <c r="CD115" s="207"/>
      <c r="CE115" s="207"/>
      <c r="CF115" s="207"/>
      <c r="CG115" s="207"/>
      <c r="CH115" s="207"/>
      <c r="CI115" s="207"/>
      <c r="CJ115" s="207"/>
      <c r="CK115" s="207"/>
      <c r="CL115" s="207"/>
      <c r="CM115" s="207"/>
      <c r="CN115" s="207"/>
      <c r="CO115" s="207"/>
      <c r="CP115" s="207"/>
      <c r="CQ115" s="207"/>
      <c r="CR115" s="207"/>
      <c r="CS115" s="207"/>
      <c r="CT115" s="207"/>
      <c r="CU115" s="207"/>
      <c r="CV115" s="207"/>
      <c r="CW115" s="207"/>
      <c r="CX115" s="207"/>
      <c r="CY115" s="207"/>
      <c r="CZ115" s="207"/>
      <c r="DA115" s="207"/>
      <c r="DB115" s="207"/>
      <c r="DC115" s="207"/>
      <c r="DD115" s="207"/>
      <c r="DE115" s="207"/>
      <c r="DF115" s="207"/>
      <c r="DG115" s="207"/>
      <c r="DH115" s="207"/>
      <c r="DI115" s="207"/>
      <c r="DJ115" s="207"/>
      <c r="DK115" s="207"/>
      <c r="DL115" s="207"/>
      <c r="DM115" s="207"/>
      <c r="DN115" s="207"/>
      <c r="DO115" s="207"/>
      <c r="DP115" s="207"/>
      <c r="DQ115" s="207"/>
      <c r="DR115" s="207"/>
      <c r="DS115" s="207"/>
      <c r="DT115" s="207"/>
      <c r="DU115" s="207"/>
      <c r="DV115" s="207"/>
      <c r="DW115" s="207"/>
      <c r="DX115" s="207"/>
      <c r="DY115" s="207"/>
      <c r="DZ115" s="207"/>
      <c r="EA115" s="207"/>
      <c r="EB115" s="207"/>
      <c r="EC115" s="207"/>
      <c r="ED115" s="207"/>
      <c r="EE115" s="207"/>
      <c r="EF115" s="207"/>
      <c r="EG115" s="207"/>
      <c r="EH115" s="207"/>
      <c r="EI115" s="207"/>
      <c r="EJ115" s="207"/>
      <c r="EK115" s="207"/>
      <c r="EL115" s="207"/>
      <c r="EM115" s="207"/>
      <c r="EN115" s="207"/>
      <c r="EO115" s="207"/>
      <c r="EP115" s="207"/>
      <c r="EQ115" s="207"/>
      <c r="ER115" s="207"/>
      <c r="ES115" s="207"/>
      <c r="ET115" s="207"/>
      <c r="EU115" s="207"/>
      <c r="EV115" s="207"/>
      <c r="EW115" s="207"/>
      <c r="EX115" s="207"/>
      <c r="EY115" s="207"/>
      <c r="EZ115" s="207"/>
      <c r="FA115" s="207"/>
      <c r="FB115" s="207"/>
      <c r="FC115" s="207"/>
      <c r="FD115" s="207"/>
      <c r="FE115" s="207"/>
      <c r="FF115" s="207"/>
      <c r="FG115" s="207"/>
      <c r="FH115" s="207"/>
      <c r="FI115" s="207"/>
      <c r="FJ115" s="207"/>
      <c r="FK115" s="207"/>
      <c r="FL115" s="207"/>
      <c r="FM115" s="207"/>
      <c r="FN115" s="207"/>
      <c r="FO115" s="207"/>
      <c r="FP115" s="207"/>
      <c r="FQ115" s="207"/>
      <c r="FR115" s="207"/>
      <c r="FS115" s="207"/>
      <c r="FT115" s="207"/>
      <c r="FU115" s="207"/>
      <c r="FV115" s="207"/>
      <c r="FW115" s="207"/>
      <c r="FX115" s="207"/>
      <c r="FY115" s="207"/>
      <c r="FZ115" s="207"/>
      <c r="GA115" s="207"/>
      <c r="GB115" s="207"/>
      <c r="GC115" s="207"/>
      <c r="GD115" s="207"/>
      <c r="GE115" s="207"/>
      <c r="GF115" s="207"/>
      <c r="GG115" s="207"/>
      <c r="GH115" s="207"/>
      <c r="GI115" s="207"/>
      <c r="GJ115" s="207"/>
      <c r="GK115" s="207"/>
      <c r="GL115" s="207"/>
      <c r="GM115" s="207"/>
      <c r="GN115" s="207"/>
      <c r="GO115" s="207"/>
      <c r="GP115" s="207"/>
      <c r="GQ115" s="207"/>
      <c r="GR115" s="207"/>
      <c r="GS115" s="207"/>
      <c r="GT115" s="207"/>
      <c r="GU115" s="207"/>
      <c r="GV115" s="207"/>
      <c r="GW115" s="207"/>
      <c r="GX115" s="207"/>
      <c r="GY115" s="207"/>
      <c r="GZ115" s="207"/>
      <c r="HA115" s="207"/>
      <c r="HB115" s="207"/>
      <c r="HC115" s="207"/>
      <c r="HD115" s="207"/>
      <c r="HE115" s="207"/>
      <c r="HF115" s="207"/>
      <c r="HG115" s="207"/>
      <c r="HH115" s="207"/>
      <c r="HI115" s="207"/>
      <c r="HJ115" s="207"/>
      <c r="HK115" s="207"/>
      <c r="HL115" s="207"/>
      <c r="HM115" s="207"/>
      <c r="HN115" s="207"/>
      <c r="HO115" s="207"/>
      <c r="HP115" s="207"/>
      <c r="HQ115" s="207"/>
      <c r="HR115" s="207"/>
      <c r="HS115" s="207"/>
      <c r="HT115" s="207"/>
      <c r="HU115" s="207"/>
      <c r="HV115" s="207"/>
      <c r="HW115" s="207"/>
      <c r="HX115" s="207"/>
      <c r="HY115" s="207"/>
      <c r="HZ115" s="207"/>
      <c r="IA115" s="207"/>
      <c r="IB115" s="207"/>
      <c r="IC115" s="207"/>
      <c r="ID115" s="207"/>
      <c r="IE115" s="207"/>
      <c r="IF115" s="207"/>
      <c r="IG115" s="207"/>
      <c r="IH115" s="207"/>
      <c r="II115" s="207"/>
      <c r="IJ115" s="207"/>
      <c r="IK115" s="207"/>
      <c r="IL115" s="207"/>
      <c r="IM115" s="207"/>
      <c r="IN115" s="207"/>
      <c r="IO115" s="207"/>
      <c r="IP115" s="207"/>
      <c r="IQ115" s="207"/>
      <c r="IR115" s="207"/>
      <c r="IS115" s="207"/>
      <c r="IT115" s="207"/>
      <c r="IU115" s="207"/>
      <c r="IV115" s="207"/>
    </row>
    <row r="116" spans="1:256" s="207" customFormat="1" ht="12.6" customHeight="1">
      <c r="A116" s="212"/>
      <c r="B116" s="212"/>
      <c r="C116" s="212"/>
      <c r="D116" s="212"/>
      <c r="E116" s="212"/>
      <c r="F116" s="212"/>
      <c r="G116" s="212"/>
      <c r="H116" s="212"/>
      <c r="I116" s="212"/>
      <c r="J116" s="212"/>
      <c r="K116" s="212"/>
      <c r="L116" s="212"/>
      <c r="M116" s="212"/>
      <c r="N116" s="212"/>
      <c r="O116" s="212"/>
      <c r="P116" s="212"/>
      <c r="Q116" s="212"/>
      <c r="R116" s="212"/>
      <c r="S116" s="212"/>
      <c r="T116" s="212"/>
      <c r="U116" s="212"/>
      <c r="V116" s="212"/>
      <c r="W116" s="212"/>
      <c r="X116" s="212"/>
      <c r="Y116" s="212"/>
      <c r="Z116" s="212"/>
      <c r="AU116"/>
      <c r="AV116"/>
      <c r="AW116"/>
      <c r="AX116"/>
      <c r="AY116"/>
      <c r="AZ116"/>
      <c r="BA116"/>
      <c r="BB116"/>
      <c r="BC116"/>
    </row>
    <row r="117" spans="1:256" s="207" customFormat="1" ht="12.6" customHeight="1">
      <c r="A117" s="212"/>
      <c r="B117" s="212"/>
      <c r="C117" s="212"/>
      <c r="D117" s="212"/>
      <c r="E117" s="212"/>
      <c r="F117" s="212"/>
      <c r="G117" s="212"/>
      <c r="H117" s="212"/>
      <c r="I117" s="212"/>
      <c r="J117" s="212"/>
      <c r="K117" s="212"/>
      <c r="L117" s="212"/>
      <c r="M117" s="212"/>
      <c r="N117" s="212"/>
      <c r="O117" s="212"/>
      <c r="P117" s="212"/>
      <c r="Q117" s="212"/>
      <c r="R117" s="212"/>
      <c r="S117" s="212"/>
      <c r="T117" s="212"/>
      <c r="U117" s="212"/>
      <c r="V117" s="212"/>
      <c r="W117" s="212"/>
      <c r="X117" s="212"/>
      <c r="Y117" s="212"/>
      <c r="Z117" s="212"/>
      <c r="AU117"/>
      <c r="AV117"/>
      <c r="AW117"/>
      <c r="AX117"/>
      <c r="AY117"/>
      <c r="AZ117"/>
      <c r="BA117"/>
      <c r="BB117"/>
      <c r="BC117"/>
    </row>
    <row r="118" spans="1:256" s="207" customFormat="1" ht="12.6" customHeight="1">
      <c r="A118" s="212"/>
      <c r="B118" s="212"/>
      <c r="C118" s="212"/>
      <c r="D118" s="212"/>
      <c r="E118" s="212"/>
      <c r="F118" s="212"/>
      <c r="G118" s="212"/>
      <c r="H118" s="212"/>
      <c r="I118" s="212"/>
      <c r="J118" s="212"/>
      <c r="K118" s="212"/>
      <c r="L118" s="212"/>
      <c r="M118" s="212"/>
      <c r="N118" s="212"/>
      <c r="O118" s="212"/>
      <c r="P118" s="212"/>
      <c r="Q118" s="212"/>
      <c r="R118" s="212"/>
      <c r="S118" s="212"/>
      <c r="T118" s="212"/>
      <c r="U118" s="212"/>
      <c r="V118" s="212"/>
      <c r="W118" s="212"/>
      <c r="X118" s="212"/>
      <c r="Y118" s="212"/>
      <c r="Z118" s="212"/>
      <c r="AU118"/>
      <c r="AV118"/>
      <c r="AW118"/>
      <c r="AX118"/>
      <c r="AY118"/>
      <c r="AZ118"/>
      <c r="BA118"/>
      <c r="BB118"/>
      <c r="BC118"/>
    </row>
    <row r="119" spans="1:256" s="207" customFormat="1" ht="12.6" customHeight="1">
      <c r="A119" s="212"/>
      <c r="B119" s="212"/>
      <c r="C119" s="212"/>
      <c r="D119" s="212"/>
      <c r="E119" s="212"/>
      <c r="F119" s="212"/>
      <c r="G119" s="212"/>
      <c r="H119" s="212"/>
      <c r="I119" s="212"/>
      <c r="J119" s="212"/>
      <c r="K119" s="212"/>
      <c r="L119" s="212"/>
      <c r="M119" s="212"/>
      <c r="N119" s="212"/>
      <c r="O119" s="212"/>
      <c r="P119" s="212"/>
      <c r="Q119" s="212"/>
      <c r="R119" s="212"/>
      <c r="S119" s="212"/>
      <c r="T119" s="212"/>
      <c r="U119" s="212"/>
      <c r="V119" s="212"/>
      <c r="W119" s="212"/>
      <c r="X119" s="212"/>
      <c r="Y119" s="212"/>
      <c r="AU119"/>
      <c r="AV119"/>
      <c r="AW119"/>
      <c r="AX119"/>
      <c r="AY119"/>
      <c r="AZ119"/>
      <c r="BA119"/>
      <c r="BB119"/>
      <c r="BC119"/>
    </row>
    <row r="120" spans="1:256" s="207" customFormat="1" ht="12.6" customHeight="1">
      <c r="A120" s="212"/>
      <c r="B120" s="212"/>
      <c r="C120" s="212"/>
      <c r="D120" s="212"/>
      <c r="E120" s="212"/>
      <c r="F120" s="212"/>
      <c r="G120" s="212"/>
      <c r="H120" s="212"/>
      <c r="I120" s="212"/>
      <c r="J120" s="212"/>
      <c r="K120" s="212"/>
      <c r="L120" s="212"/>
      <c r="M120" s="212"/>
      <c r="N120" s="212"/>
      <c r="O120" s="212"/>
      <c r="P120" s="212"/>
      <c r="Q120" s="212"/>
      <c r="R120" s="212"/>
      <c r="S120" s="212"/>
      <c r="T120" s="212"/>
      <c r="U120" s="212"/>
      <c r="V120" s="212"/>
      <c r="W120" s="212"/>
      <c r="X120" s="212"/>
      <c r="Y120" s="212"/>
      <c r="AU120"/>
      <c r="AV120"/>
      <c r="AW120"/>
      <c r="AX120"/>
      <c r="AY120"/>
      <c r="AZ120"/>
      <c r="BA120"/>
      <c r="BB120"/>
      <c r="BC120"/>
    </row>
    <row r="121" spans="1:256" s="207" customFormat="1" ht="12.6" customHeight="1">
      <c r="A121" s="212"/>
      <c r="B121" s="212"/>
      <c r="C121" s="212"/>
      <c r="D121" s="212"/>
      <c r="E121" s="212"/>
      <c r="F121" s="212"/>
      <c r="G121" s="212"/>
      <c r="H121" s="212"/>
      <c r="I121" s="212"/>
      <c r="J121" s="212"/>
      <c r="K121" s="212"/>
      <c r="L121" s="212"/>
      <c r="M121" s="212"/>
      <c r="N121" s="212"/>
      <c r="O121" s="212"/>
      <c r="P121" s="212"/>
      <c r="Q121" s="212"/>
      <c r="R121" s="212"/>
      <c r="S121" s="212"/>
      <c r="T121" s="212"/>
      <c r="U121" s="212"/>
      <c r="V121" s="212"/>
      <c r="W121" s="212"/>
      <c r="X121" s="212"/>
      <c r="Y121" s="212"/>
      <c r="AU121"/>
      <c r="AV121"/>
      <c r="AW121"/>
      <c r="AX121"/>
      <c r="AY121"/>
      <c r="AZ121"/>
      <c r="BA121"/>
      <c r="BB121"/>
      <c r="BC121"/>
    </row>
    <row r="122" spans="1:256" s="207" customFormat="1" ht="12.6" customHeight="1">
      <c r="AU122"/>
      <c r="AV122"/>
      <c r="AW122"/>
      <c r="AX122"/>
      <c r="AY122"/>
      <c r="AZ122"/>
      <c r="BA122"/>
      <c r="BB122"/>
      <c r="BC122"/>
    </row>
    <row r="123" spans="1:256" s="207" customFormat="1" ht="12.6" customHeight="1">
      <c r="AU123"/>
      <c r="AV123"/>
      <c r="AW123"/>
      <c r="AX123"/>
      <c r="AY123"/>
      <c r="AZ123"/>
      <c r="BA123"/>
      <c r="BB123"/>
      <c r="BC123"/>
    </row>
    <row r="124" spans="1:256" s="207" customFormat="1" ht="12.6" customHeight="1">
      <c r="AU124"/>
      <c r="AV124"/>
      <c r="AW124"/>
      <c r="AX124"/>
      <c r="AY124"/>
      <c r="AZ124"/>
      <c r="BA124"/>
      <c r="BB124"/>
      <c r="BC124"/>
    </row>
    <row r="125" spans="1:256" s="207" customFormat="1" ht="12.6" customHeight="1">
      <c r="AU125"/>
      <c r="AV125"/>
      <c r="AW125"/>
      <c r="AX125"/>
      <c r="AY125"/>
      <c r="AZ125"/>
      <c r="BA125"/>
      <c r="BB125"/>
      <c r="BC125"/>
    </row>
    <row r="126" spans="1:256" s="207" customFormat="1" ht="12.6" customHeight="1"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1:256" s="207" customFormat="1" ht="12.6" customHeight="1"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1:256" s="207" customFormat="1" ht="12.6" customHeight="1"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s="207" customFormat="1" ht="12.6" customHeight="1"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s="207" customFormat="1" ht="12.6" customHeight="1"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customFormat="1" ht="12.6" customHeight="1">
      <c r="A131" s="207"/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  <c r="W131" s="207"/>
      <c r="X131" s="207"/>
      <c r="Y131" s="207"/>
      <c r="Z131" s="207"/>
    </row>
    <row r="132" spans="1:256" customFormat="1" ht="12.6" customHeight="1">
      <c r="A132" s="207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7"/>
      <c r="V132" s="207"/>
      <c r="W132" s="207"/>
      <c r="X132" s="207"/>
      <c r="Y132" s="207"/>
      <c r="Z132" s="207"/>
    </row>
    <row r="133" spans="1:256" customFormat="1" ht="12.6" customHeight="1">
      <c r="A133" s="207"/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  <c r="W133" s="207"/>
      <c r="X133" s="207"/>
      <c r="Y133" s="207"/>
      <c r="Z133" s="207"/>
    </row>
    <row r="134" spans="1:256" customFormat="1" ht="12.6" customHeight="1">
      <c r="A134" s="207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</row>
    <row r="135" spans="1:256" customFormat="1" ht="12.6" customHeight="1">
      <c r="A135" s="207"/>
      <c r="B135" s="207"/>
      <c r="C135" s="207"/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</row>
    <row r="136" spans="1:256" customFormat="1" ht="12.6" customHeight="1">
      <c r="A136" s="207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7"/>
      <c r="V136" s="207"/>
      <c r="W136" s="207"/>
      <c r="X136" s="207"/>
      <c r="Y136" s="207"/>
    </row>
    <row r="137" spans="1:256" customFormat="1" ht="12.6" customHeight="1">
      <c r="AC137" s="5"/>
      <c r="AD137" s="5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BD137" s="1"/>
      <c r="BE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</row>
    <row r="138" spans="1:256" customFormat="1" ht="12.6" customHeight="1">
      <c r="AC138" s="5"/>
      <c r="AD138" s="5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BD138" s="1"/>
      <c r="BE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</row>
    <row r="139" spans="1:256" customFormat="1" ht="12.6" customHeight="1">
      <c r="AC139" s="5"/>
      <c r="AD139" s="5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BD139" s="1"/>
      <c r="BE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</row>
    <row r="140" spans="1:256" customFormat="1" ht="12.6" customHeight="1">
      <c r="AC140" s="5"/>
      <c r="AD140" s="5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BD140" s="1"/>
      <c r="BE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</row>
    <row r="141" spans="1:256" customFormat="1" ht="12.6" customHeight="1">
      <c r="AC141" s="5"/>
      <c r="AD141" s="5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BD141" s="1"/>
      <c r="BE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</row>
    <row r="142" spans="1:256" ht="12.6" customHeigh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56" ht="12.6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56" ht="12.6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5" ht="12.6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ht="12.6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ht="12.6" customHeigh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230" spans="31:46" ht="12.6" customHeight="1"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</row>
    <row r="231" spans="31:46" ht="12.6" customHeight="1"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</row>
    <row r="232" spans="31:46" ht="12.6" customHeight="1"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</row>
    <row r="233" spans="31:46" ht="12.6" customHeight="1"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</row>
    <row r="234" spans="31:46" ht="12.6" customHeight="1"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</row>
    <row r="235" spans="31:46" ht="12.6" customHeight="1"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</row>
    <row r="236" spans="31:46" ht="12.6" customHeight="1"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</row>
    <row r="237" spans="31:46" ht="12.6" customHeight="1"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</row>
    <row r="238" spans="31:46" ht="12.6" customHeight="1"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</row>
    <row r="239" spans="31:46" ht="12.6" customHeight="1"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</row>
    <row r="240" spans="31:46" ht="12.6" customHeight="1"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</row>
    <row r="241" spans="1:256" ht="12.6" customHeight="1"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</row>
    <row r="242" spans="1:256" ht="12.6" customHeight="1"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</row>
    <row r="243" spans="1:256" ht="12.6" customHeight="1"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</row>
    <row r="244" spans="1:256" ht="12.6" customHeight="1"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</row>
    <row r="245" spans="1:256" ht="12.6" customHeight="1"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BD245"/>
      <c r="BE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</row>
    <row r="246" spans="1:256" ht="12.6" customHeight="1"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BD246"/>
      <c r="BE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</row>
    <row r="247" spans="1:256" ht="12.6" customHeight="1"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</row>
    <row r="248" spans="1:256" ht="12.6" customHeight="1"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</row>
    <row r="249" spans="1:256" ht="12.6" customHeight="1"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</row>
    <row r="250" spans="1:256" customFormat="1" ht="12.6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C250" s="5"/>
      <c r="AD250" s="5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BD250" s="1"/>
      <c r="BE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</row>
    <row r="251" spans="1:256" customFormat="1" ht="12.6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C251" s="5"/>
      <c r="AD251" s="5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BD251" s="1"/>
      <c r="BE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</row>
    <row r="252" spans="1:256" ht="12.6" customHeight="1"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</row>
    <row r="253" spans="1:256" ht="12.6" customHeight="1">
      <c r="Z253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</row>
    <row r="254" spans="1:256" ht="12.6" customHeight="1">
      <c r="Z254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</row>
    <row r="255" spans="1:256" ht="12.6" customHeight="1"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</row>
    <row r="256" spans="1:256" ht="12.6" customHeight="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</row>
    <row r="257" spans="1:46" ht="12.6" customHeight="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</row>
    <row r="258" spans="1:46" ht="12.6" customHeight="1"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</row>
    <row r="259" spans="1:46" ht="12.6" customHeight="1"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</row>
    <row r="260" spans="1:46" ht="12.6" customHeight="1"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</row>
    <row r="261" spans="1:46" ht="12.6" customHeight="1"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</row>
    <row r="262" spans="1:46" ht="12.6" customHeight="1"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</row>
    <row r="263" spans="1:46" ht="12.6" customHeight="1"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</row>
    <row r="264" spans="1:46" ht="12.6" customHeight="1"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</row>
    <row r="265" spans="1:46" ht="12.6" customHeight="1"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</row>
    <row r="266" spans="1:46" ht="12.6" customHeight="1"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</row>
    <row r="267" spans="1:46" ht="12.6" customHeight="1"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</row>
    <row r="268" spans="1:46" ht="12.6" customHeight="1"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</row>
    <row r="269" spans="1:46" ht="12.6" customHeight="1"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</row>
    <row r="270" spans="1:46" ht="12.6" customHeight="1"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</row>
    <row r="271" spans="1:46" ht="12.6" customHeight="1"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</row>
    <row r="272" spans="1:46" ht="12.6" customHeight="1"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</row>
    <row r="273" spans="31:46" ht="12.6" customHeight="1"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</row>
    <row r="274" spans="31:46" ht="12.6" customHeight="1"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</row>
    <row r="275" spans="31:46" ht="12.6" customHeight="1"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</row>
    <row r="276" spans="31:46" ht="12.6" customHeight="1"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</row>
    <row r="277" spans="31:46" ht="12.6" customHeight="1"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</row>
    <row r="278" spans="31:46" ht="12.6" customHeight="1"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</row>
    <row r="279" spans="31:46" ht="12.6" customHeight="1"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</row>
    <row r="280" spans="31:46" ht="12.6" customHeight="1"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</row>
    <row r="281" spans="31:46" ht="12.6" customHeight="1"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</row>
  </sheetData>
  <pageMargins left="0.75" right="0.75" top="1" bottom="1" header="0.5" footer="0.5"/>
  <pageSetup scale="64" fitToWidth="2" orientation="landscape" r:id="rId1"/>
  <headerFooter alignWithMargins="0"/>
  <colBreaks count="1" manualBreakCount="1">
    <brk id="15" max="51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8"/>
  <sheetViews>
    <sheetView zoomScale="75" zoomScaleNormal="100" workbookViewId="0">
      <selection activeCell="G10" sqref="G10"/>
    </sheetView>
  </sheetViews>
  <sheetFormatPr defaultRowHeight="13.2"/>
  <cols>
    <col min="1" max="1" width="11.5546875" bestFit="1" customWidth="1"/>
    <col min="2" max="2" width="19.44140625" bestFit="1" customWidth="1"/>
    <col min="3" max="3" width="23.33203125" bestFit="1" customWidth="1"/>
    <col min="4" max="4" width="4.44140625" customWidth="1"/>
    <col min="5" max="5" width="7.6640625" bestFit="1" customWidth="1"/>
    <col min="6" max="6" width="3.5546875" customWidth="1"/>
    <col min="7" max="8" width="12.33203125" bestFit="1" customWidth="1"/>
    <col min="9" max="9" width="9.6640625" bestFit="1" customWidth="1"/>
  </cols>
  <sheetData>
    <row r="1" spans="1:9" ht="45" customHeight="1">
      <c r="A1" s="587" t="s">
        <v>478</v>
      </c>
      <c r="B1" s="587"/>
      <c r="C1" s="587"/>
    </row>
    <row r="2" spans="1:9" ht="11.25" customHeight="1">
      <c r="A2" s="536"/>
      <c r="B2" s="536"/>
      <c r="C2" s="536"/>
    </row>
    <row r="3" spans="1:9" ht="11.25" customHeight="1">
      <c r="A3" t="s">
        <v>497</v>
      </c>
      <c r="B3" s="536"/>
      <c r="C3" s="536"/>
    </row>
    <row r="4" spans="1:9">
      <c r="E4" s="540"/>
    </row>
    <row r="5" spans="1:9" ht="26.4">
      <c r="A5" s="528" t="s">
        <v>123</v>
      </c>
      <c r="B5" s="528" t="s">
        <v>479</v>
      </c>
      <c r="C5" s="524" t="s">
        <v>480</v>
      </c>
    </row>
    <row r="6" spans="1:9">
      <c r="A6" s="529">
        <v>0.04</v>
      </c>
      <c r="B6" s="532">
        <v>2.5951625101769582</v>
      </c>
      <c r="C6" s="525">
        <f>'Capacity Adj Table'!B6-'Project Assumptions'!$I$28</f>
        <v>-0.34283748982304196</v>
      </c>
      <c r="E6" s="538"/>
      <c r="G6" s="539"/>
      <c r="H6" s="539"/>
      <c r="I6" s="393"/>
    </row>
    <row r="7" spans="1:9">
      <c r="A7" s="530">
        <f>+A6+0.0025</f>
        <v>4.2500000000000003E-2</v>
      </c>
      <c r="B7" s="533">
        <v>2.6396148928930794</v>
      </c>
      <c r="C7" s="526">
        <f>'Capacity Adj Table'!B7-'Project Assumptions'!$I$28</f>
        <v>-0.29838510710692079</v>
      </c>
      <c r="E7" s="538"/>
      <c r="G7" s="539"/>
      <c r="H7" s="539"/>
      <c r="I7" s="393"/>
    </row>
    <row r="8" spans="1:9">
      <c r="A8" s="530">
        <f t="shared" ref="A8:A26" si="0">+A7+0.0025</f>
        <v>4.5000000000000005E-2</v>
      </c>
      <c r="B8" s="533">
        <v>2.6844862494382982</v>
      </c>
      <c r="C8" s="526">
        <f>'Capacity Adj Table'!B8-'Project Assumptions'!$I$28</f>
        <v>-0.253513750561702</v>
      </c>
      <c r="E8" s="538"/>
      <c r="G8" s="539"/>
      <c r="H8" s="539"/>
      <c r="I8" s="393"/>
    </row>
    <row r="9" spans="1:9">
      <c r="A9" s="530">
        <f t="shared" si="0"/>
        <v>4.7500000000000007E-2</v>
      </c>
      <c r="B9" s="533">
        <v>2.7297738404271481</v>
      </c>
      <c r="C9" s="526">
        <f>'Capacity Adj Table'!B9-'Project Assumptions'!$I$28</f>
        <v>-0.20822615957285207</v>
      </c>
      <c r="E9" s="538"/>
      <c r="G9" s="539"/>
      <c r="H9" s="539"/>
      <c r="I9" s="393"/>
    </row>
    <row r="10" spans="1:9">
      <c r="A10" s="530">
        <f t="shared" si="0"/>
        <v>5.000000000000001E-2</v>
      </c>
      <c r="B10" s="533">
        <v>2.7754748393580821</v>
      </c>
      <c r="C10" s="526">
        <f>'Capacity Adj Table'!B10-'Project Assumptions'!$I$28</f>
        <v>-0.16252516064191802</v>
      </c>
      <c r="E10" s="538"/>
      <c r="G10" s="539"/>
      <c r="H10" s="539"/>
      <c r="I10" s="393"/>
    </row>
    <row r="11" spans="1:9">
      <c r="A11" s="530">
        <f t="shared" si="0"/>
        <v>5.2500000000000012E-2</v>
      </c>
      <c r="B11" s="533">
        <v>2.8215863353256698</v>
      </c>
      <c r="C11" s="526">
        <f>'Capacity Adj Table'!B11-'Project Assumptions'!$I$28</f>
        <v>-0.11641366467433034</v>
      </c>
      <c r="E11" s="538"/>
      <c r="G11" s="539"/>
      <c r="H11" s="539"/>
      <c r="I11" s="393"/>
    </row>
    <row r="12" spans="1:9">
      <c r="A12" s="530">
        <f t="shared" si="0"/>
        <v>5.5000000000000014E-2</v>
      </c>
      <c r="B12" s="533">
        <v>2.8681053357742194</v>
      </c>
      <c r="C12" s="526">
        <f>'Capacity Adj Table'!B12-'Project Assumptions'!$I$28</f>
        <v>-6.9894664225780723E-2</v>
      </c>
      <c r="E12" s="538"/>
      <c r="G12" s="539"/>
      <c r="H12" s="539"/>
      <c r="I12" s="393"/>
    </row>
    <row r="13" spans="1:9">
      <c r="A13" s="530">
        <f t="shared" si="0"/>
        <v>5.7500000000000016E-2</v>
      </c>
      <c r="B13" s="533">
        <v>2.9150287692879568</v>
      </c>
      <c r="C13" s="526">
        <f>'Capacity Adj Table'!B13-'Project Assumptions'!$I$28</f>
        <v>-2.2971230712043322E-2</v>
      </c>
      <c r="E13" s="538"/>
      <c r="G13" s="539"/>
      <c r="H13" s="539"/>
      <c r="I13" s="393"/>
    </row>
    <row r="14" spans="1:9">
      <c r="A14" s="530">
        <f t="shared" si="0"/>
        <v>6.0000000000000019E-2</v>
      </c>
      <c r="B14" s="533">
        <v>2.9379870166787141</v>
      </c>
      <c r="C14" s="526">
        <f>'Capacity Adj Table'!B14-'Project Assumptions'!$I$28</f>
        <v>-1.2983321286075267E-5</v>
      </c>
      <c r="E14" s="538"/>
      <c r="G14" s="539"/>
      <c r="H14" s="539"/>
      <c r="I14" s="393"/>
    </row>
    <row r="15" spans="1:9">
      <c r="A15" s="530">
        <f t="shared" si="0"/>
        <v>6.2500000000000014E-2</v>
      </c>
      <c r="B15" s="533">
        <v>3.010076272510581</v>
      </c>
      <c r="C15" s="526">
        <f>'Capacity Adj Table'!B15-'Project Assumptions'!$I$28</f>
        <v>7.2076272510580797E-2</v>
      </c>
      <c r="E15" s="538"/>
      <c r="G15" s="539"/>
      <c r="H15" s="539"/>
      <c r="I15" s="393"/>
    </row>
    <row r="16" spans="1:9">
      <c r="A16" s="530">
        <f t="shared" si="0"/>
        <v>6.5000000000000016E-2</v>
      </c>
      <c r="B16" s="533">
        <v>3.0581938306244938</v>
      </c>
      <c r="C16" s="526">
        <f>'Capacity Adj Table'!B16-'Project Assumptions'!$I$28</f>
        <v>0.12019383062449362</v>
      </c>
      <c r="E16" s="538"/>
      <c r="G16" s="539"/>
      <c r="H16" s="539"/>
      <c r="I16" s="393"/>
    </row>
    <row r="17" spans="1:9">
      <c r="A17" s="530">
        <f t="shared" si="0"/>
        <v>6.7500000000000018E-2</v>
      </c>
      <c r="B17" s="533">
        <v>3.1067028043794647</v>
      </c>
      <c r="C17" s="526">
        <f>'Capacity Adj Table'!B17-'Project Assumptions'!$I$28</f>
        <v>0.1687028043794645</v>
      </c>
      <c r="E17" s="538"/>
      <c r="G17" s="539"/>
      <c r="H17" s="539"/>
      <c r="I17" s="393"/>
    </row>
    <row r="18" spans="1:9">
      <c r="A18" s="530">
        <f t="shared" si="0"/>
        <v>7.0000000000000021E-2</v>
      </c>
      <c r="B18" s="533">
        <v>3.1555997708850323</v>
      </c>
      <c r="C18" s="526">
        <f>'Capacity Adj Table'!B18-'Project Assumptions'!$I$28</f>
        <v>0.21759977088503213</v>
      </c>
      <c r="E18" s="538"/>
      <c r="G18" s="539"/>
      <c r="H18" s="539"/>
      <c r="I18" s="393"/>
    </row>
    <row r="19" spans="1:9">
      <c r="A19" s="530">
        <f t="shared" si="0"/>
        <v>7.2500000000000023E-2</v>
      </c>
      <c r="B19" s="533">
        <v>3.2048812456532318</v>
      </c>
      <c r="C19" s="526">
        <f>'Capacity Adj Table'!B19-'Project Assumptions'!$I$28</f>
        <v>0.26688124565323168</v>
      </c>
      <c r="E19" s="538"/>
      <c r="G19" s="539"/>
      <c r="H19" s="539"/>
      <c r="I19" s="393"/>
    </row>
    <row r="20" spans="1:9">
      <c r="A20" s="530">
        <f t="shared" si="0"/>
        <v>7.5000000000000025E-2</v>
      </c>
      <c r="B20" s="533">
        <v>3.2545436855218455</v>
      </c>
      <c r="C20" s="526">
        <f>'Capacity Adj Table'!B20-'Project Assumptions'!$I$28</f>
        <v>0.31654368552184531</v>
      </c>
      <c r="E20" s="538"/>
      <c r="G20" s="539"/>
      <c r="H20" s="539"/>
      <c r="I20" s="393"/>
    </row>
    <row r="21" spans="1:9">
      <c r="A21" s="530">
        <f t="shared" si="0"/>
        <v>7.7500000000000027E-2</v>
      </c>
      <c r="B21" s="533">
        <v>3.3045834915795487</v>
      </c>
      <c r="C21" s="526">
        <f>'Capacity Adj Table'!B21-'Project Assumptions'!$I$28</f>
        <v>0.3665834915795485</v>
      </c>
      <c r="E21" s="538"/>
      <c r="G21" s="539"/>
      <c r="H21" s="539"/>
      <c r="I21" s="393"/>
    </row>
    <row r="22" spans="1:9">
      <c r="A22" s="530">
        <f t="shared" si="0"/>
        <v>8.0000000000000029E-2</v>
      </c>
      <c r="B22" s="533">
        <v>3.35499701208904</v>
      </c>
      <c r="C22" s="526">
        <f>'Capacity Adj Table'!B22-'Project Assumptions'!$I$28</f>
        <v>0.41699701208903983</v>
      </c>
      <c r="E22" s="538"/>
      <c r="G22" s="539"/>
      <c r="H22" s="539"/>
      <c r="I22" s="393"/>
    </row>
    <row r="23" spans="1:9">
      <c r="A23" s="530">
        <f t="shared" si="0"/>
        <v>8.2500000000000032E-2</v>
      </c>
      <c r="B23" s="533">
        <v>3.4057805454042387</v>
      </c>
      <c r="C23" s="526">
        <f>'Capacity Adj Table'!B23-'Project Assumptions'!$I$28</f>
        <v>0.46778054540423852</v>
      </c>
      <c r="E23" s="538"/>
      <c r="G23" s="539"/>
      <c r="H23" s="539"/>
      <c r="I23" s="393"/>
    </row>
    <row r="24" spans="1:9">
      <c r="A24" s="530">
        <f t="shared" si="0"/>
        <v>8.5000000000000034E-2</v>
      </c>
      <c r="B24" s="533">
        <v>3.4569303428778113</v>
      </c>
      <c r="C24" s="526">
        <f>'Capacity Adj Table'!B24-'Project Assumptions'!$I$28</f>
        <v>0.51893034287781115</v>
      </c>
      <c r="E24" s="538"/>
      <c r="G24" s="539"/>
      <c r="H24" s="539"/>
      <c r="I24" s="393"/>
    </row>
    <row r="25" spans="1:9">
      <c r="A25" s="530">
        <f t="shared" si="0"/>
        <v>8.7500000000000036E-2</v>
      </c>
      <c r="B25" s="533">
        <v>3.5084426117552101</v>
      </c>
      <c r="C25" s="526">
        <f>'Capacity Adj Table'!B25-'Project Assumptions'!$I$28</f>
        <v>0.57044261175520994</v>
      </c>
      <c r="E25" s="538"/>
      <c r="G25" s="539"/>
      <c r="H25" s="539"/>
      <c r="I25" s="393"/>
    </row>
    <row r="26" spans="1:9">
      <c r="A26" s="531">
        <f t="shared" si="0"/>
        <v>9.0000000000000038E-2</v>
      </c>
      <c r="B26" s="534">
        <v>3.560313518051812</v>
      </c>
      <c r="C26" s="527">
        <f>'Capacity Adj Table'!B26-'Project Assumptions'!$I$28</f>
        <v>0.62231351805181179</v>
      </c>
      <c r="E26" s="538"/>
      <c r="G26" s="539"/>
      <c r="H26" s="539"/>
      <c r="I26" s="393"/>
    </row>
    <row r="28" spans="1:9">
      <c r="A28" t="s">
        <v>496</v>
      </c>
    </row>
  </sheetData>
  <mergeCells count="1">
    <mergeCell ref="A1:C1"/>
  </mergeCells>
  <pageMargins left="0.94" right="0.75" top="1" bottom="1" header="0.5" footer="0.5"/>
  <pageSetup scale="15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329"/>
  <sheetViews>
    <sheetView zoomScale="75" zoomScaleNormal="75" workbookViewId="0">
      <selection activeCell="B148" sqref="B148"/>
    </sheetView>
  </sheetViews>
  <sheetFormatPr defaultRowHeight="13.2"/>
  <cols>
    <col min="1" max="1" width="36.33203125" style="207" bestFit="1" customWidth="1"/>
    <col min="2" max="2" width="12.5546875" style="207" bestFit="1" customWidth="1"/>
    <col min="3" max="3" width="11.6640625" style="207" bestFit="1" customWidth="1"/>
    <col min="4" max="11" width="12.5546875" style="207" bestFit="1" customWidth="1"/>
    <col min="12" max="12" width="9.88671875" style="207" customWidth="1"/>
    <col min="13" max="33" width="12.5546875" style="207" bestFit="1" customWidth="1"/>
    <col min="34" max="16384" width="8.88671875" style="207"/>
  </cols>
  <sheetData>
    <row r="1" spans="1:52" ht="24.6">
      <c r="A1" s="438" t="str">
        <f>'Project Assumptions'!$A$2</f>
        <v>PROJECT DOYLE</v>
      </c>
    </row>
    <row r="2" spans="1:52" ht="15.6" customHeight="1">
      <c r="A2" s="439" t="s">
        <v>120</v>
      </c>
      <c r="D2" s="212"/>
    </row>
    <row r="3" spans="1:52" ht="12.6" customHeight="1">
      <c r="A3" s="11"/>
      <c r="D3" s="212"/>
    </row>
    <row r="4" spans="1:52" ht="12.6" customHeight="1">
      <c r="C4" s="212">
        <f>'Book Income Statement'!B3</f>
        <v>0</v>
      </c>
      <c r="D4" s="212">
        <f>'Book Income Statement'!C3</f>
        <v>1</v>
      </c>
      <c r="E4" s="212">
        <f>'Book Income Statement'!D3</f>
        <v>2</v>
      </c>
      <c r="F4" s="212">
        <f>'Book Income Statement'!E3</f>
        <v>3</v>
      </c>
      <c r="G4" s="212">
        <f>'Book Income Statement'!F3</f>
        <v>4</v>
      </c>
      <c r="H4" s="212">
        <f>'Book Income Statement'!G3</f>
        <v>5</v>
      </c>
      <c r="I4" s="212">
        <f>'Book Income Statement'!H3</f>
        <v>6</v>
      </c>
      <c r="J4" s="212">
        <f>'Book Income Statement'!I3</f>
        <v>7</v>
      </c>
      <c r="K4" s="212">
        <f>'Book Income Statement'!J3</f>
        <v>8</v>
      </c>
      <c r="L4" s="212">
        <f>'Book Income Statement'!K3</f>
        <v>9</v>
      </c>
      <c r="M4" s="212">
        <f>'Book Income Statement'!L3</f>
        <v>10</v>
      </c>
      <c r="N4" s="212">
        <f>'Book Income Statement'!M3</f>
        <v>11</v>
      </c>
      <c r="O4" s="212">
        <f>'Book Income Statement'!N3</f>
        <v>12</v>
      </c>
      <c r="P4" s="212">
        <f>'Book Income Statement'!O3</f>
        <v>13</v>
      </c>
      <c r="Q4" s="212">
        <f>'Book Income Statement'!P3</f>
        <v>14</v>
      </c>
      <c r="R4" s="212">
        <f>'Book Income Statement'!Q3</f>
        <v>15</v>
      </c>
      <c r="S4" s="212">
        <f>'Book Income Statement'!R3</f>
        <v>16</v>
      </c>
      <c r="T4"/>
      <c r="U4"/>
      <c r="V4"/>
      <c r="W4"/>
      <c r="X4"/>
      <c r="Y4"/>
      <c r="Z4"/>
      <c r="AA4"/>
      <c r="AB4"/>
    </row>
    <row r="5" spans="1:52" s="212" customFormat="1" ht="12.6" customHeight="1">
      <c r="A5" s="329"/>
      <c r="B5" s="329"/>
      <c r="C5" s="330">
        <f>D5-1</f>
        <v>1999</v>
      </c>
      <c r="D5" s="330">
        <f>YEAR('Project Assumptions'!$I$16)</f>
        <v>2000</v>
      </c>
      <c r="E5" s="330">
        <f t="shared" ref="E5:S5" si="0">D5+1</f>
        <v>2001</v>
      </c>
      <c r="F5" s="330">
        <f t="shared" si="0"/>
        <v>2002</v>
      </c>
      <c r="G5" s="330">
        <f t="shared" si="0"/>
        <v>2003</v>
      </c>
      <c r="H5" s="330">
        <f t="shared" si="0"/>
        <v>2004</v>
      </c>
      <c r="I5" s="330">
        <f t="shared" si="0"/>
        <v>2005</v>
      </c>
      <c r="J5" s="330">
        <f t="shared" si="0"/>
        <v>2006</v>
      </c>
      <c r="K5" s="330">
        <f t="shared" si="0"/>
        <v>2007</v>
      </c>
      <c r="L5" s="330">
        <f t="shared" si="0"/>
        <v>2008</v>
      </c>
      <c r="M5" s="330">
        <f t="shared" si="0"/>
        <v>2009</v>
      </c>
      <c r="N5" s="330">
        <f t="shared" si="0"/>
        <v>2010</v>
      </c>
      <c r="O5" s="330">
        <f t="shared" si="0"/>
        <v>2011</v>
      </c>
      <c r="P5" s="330">
        <f t="shared" si="0"/>
        <v>2012</v>
      </c>
      <c r="Q5" s="330">
        <f t="shared" si="0"/>
        <v>2013</v>
      </c>
      <c r="R5" s="330">
        <f t="shared" si="0"/>
        <v>2014</v>
      </c>
      <c r="S5" s="330">
        <f t="shared" si="0"/>
        <v>2015</v>
      </c>
      <c r="T5"/>
      <c r="U5"/>
      <c r="V5"/>
      <c r="W5"/>
      <c r="X5"/>
      <c r="Y5"/>
      <c r="Z5"/>
      <c r="AA5"/>
      <c r="AB5"/>
      <c r="AC5" s="330"/>
      <c r="AD5" s="330"/>
      <c r="AE5" s="330"/>
      <c r="AF5" s="330"/>
      <c r="AG5" s="330"/>
      <c r="AH5" s="330"/>
      <c r="AI5" s="330"/>
      <c r="AJ5" s="330"/>
      <c r="AK5" s="330"/>
      <c r="AL5" s="330"/>
      <c r="AM5" s="330"/>
      <c r="AN5" s="330"/>
      <c r="AO5" s="330"/>
      <c r="AP5" s="330"/>
      <c r="AQ5" s="330"/>
      <c r="AR5" s="330"/>
      <c r="AS5" s="330"/>
      <c r="AT5" s="330"/>
      <c r="AU5" s="330"/>
      <c r="AV5" s="330"/>
      <c r="AW5" s="330"/>
      <c r="AX5" s="330"/>
      <c r="AY5" s="330"/>
      <c r="AZ5" s="330"/>
    </row>
    <row r="6" spans="1:52" s="212" customFormat="1" ht="12.6" customHeight="1">
      <c r="A6" s="211" t="s">
        <v>2</v>
      </c>
      <c r="B6" s="214"/>
      <c r="D6" s="213">
        <f>'Book Income Statement'!C40</f>
        <v>6111.0756333333302</v>
      </c>
      <c r="E6" s="213">
        <f>'Book Income Statement'!D40</f>
        <v>11917.004119999998</v>
      </c>
      <c r="F6" s="213">
        <f>'Book Income Statement'!E40</f>
        <v>11918.185952400003</v>
      </c>
      <c r="G6" s="213">
        <f>'Book Income Statement'!F40</f>
        <v>11920.581071447996</v>
      </c>
      <c r="H6" s="213">
        <f>'Book Income Statement'!G40</f>
        <v>11921.925082876958</v>
      </c>
      <c r="I6" s="213">
        <f>'Book Income Statement'!H40</f>
        <v>11924.4856245345</v>
      </c>
      <c r="J6" s="213">
        <f>'Book Income Statement'!I40</f>
        <v>11924.865367025188</v>
      </c>
      <c r="K6" s="213">
        <f>'Book Income Statement'!J40</f>
        <v>11924.765514365692</v>
      </c>
      <c r="L6" s="213">
        <f>'Book Income Statement'!K40</f>
        <v>11925.88730465301</v>
      </c>
      <c r="M6" s="213">
        <f>'Book Income Statement'!L40</f>
        <v>11925.966510746064</v>
      </c>
      <c r="N6" s="213">
        <f>'Book Income Statement'!M40</f>
        <v>11926.137940960987</v>
      </c>
      <c r="O6" s="213">
        <f>'Book Income Statement'!N40</f>
        <v>11925.836939780209</v>
      </c>
      <c r="P6" s="213">
        <f>'Book Income Statement'!O40</f>
        <v>11926.198388575816</v>
      </c>
      <c r="Q6" s="213">
        <f>'Book Income Statement'!P40</f>
        <v>11926.657706347323</v>
      </c>
      <c r="R6" s="213">
        <f>'Book Income Statement'!Q40</f>
        <v>11926.650350474272</v>
      </c>
      <c r="S6" s="213">
        <f>'Book Income Statement'!R40</f>
        <v>17959.031426664304</v>
      </c>
      <c r="T6"/>
      <c r="U6"/>
      <c r="V6"/>
      <c r="W6"/>
      <c r="X6"/>
      <c r="Y6"/>
      <c r="Z6"/>
      <c r="AA6"/>
      <c r="AB6"/>
      <c r="AE6" s="207"/>
    </row>
    <row r="7" spans="1:52" s="212" customFormat="1" ht="12.6" customHeight="1">
      <c r="A7" s="214"/>
      <c r="C7" s="352"/>
      <c r="D7" s="352"/>
      <c r="E7" s="352"/>
      <c r="F7" s="352"/>
      <c r="G7" s="352"/>
      <c r="H7" s="352"/>
      <c r="I7" s="352"/>
      <c r="J7" s="352"/>
      <c r="K7" s="352"/>
      <c r="L7" s="352"/>
      <c r="M7" s="352"/>
      <c r="N7" s="352"/>
      <c r="O7" s="352"/>
      <c r="P7" s="352"/>
      <c r="Q7" s="352"/>
      <c r="R7" s="352"/>
      <c r="S7" s="352"/>
      <c r="T7"/>
      <c r="U7"/>
      <c r="V7"/>
      <c r="W7"/>
      <c r="X7"/>
      <c r="Y7"/>
      <c r="Z7"/>
      <c r="AA7"/>
      <c r="AB7"/>
      <c r="AD7" s="207"/>
    </row>
    <row r="8" spans="1:52" s="206" customFormat="1" hidden="1">
      <c r="A8" s="206" t="s">
        <v>121</v>
      </c>
      <c r="D8" s="215">
        <f>IF(D4&lt;='Project Assumptions'!$I$42+1,'Project Assumptions'!$I$44,0)</f>
        <v>0</v>
      </c>
      <c r="E8" s="215">
        <f>IF(E4&lt;='Project Assumptions'!$I$42+1,'Project Assumptions'!$I$44,0)</f>
        <v>0</v>
      </c>
      <c r="F8" s="215">
        <f>IF(F4&lt;='Project Assumptions'!$I$42+1,'Project Assumptions'!$I$44,0)</f>
        <v>0</v>
      </c>
      <c r="G8" s="215">
        <f>IF(G4&lt;='Project Assumptions'!$I$42+1,'Project Assumptions'!$I$44,0)</f>
        <v>0</v>
      </c>
      <c r="H8" s="215">
        <f>IF(H4&lt;='Project Assumptions'!$I$42+1,'Project Assumptions'!$I$44,0)</f>
        <v>0</v>
      </c>
      <c r="I8" s="215">
        <f>IF(I4&lt;='Project Assumptions'!$I$42+1,'Project Assumptions'!$I$44,0)</f>
        <v>0</v>
      </c>
      <c r="J8" s="215">
        <f>IF(J4&lt;='Project Assumptions'!$I$42+1,'Project Assumptions'!$I$44,0)</f>
        <v>0</v>
      </c>
      <c r="K8" s="215">
        <f>IF(K4&lt;='Project Assumptions'!$I$42+1,'Project Assumptions'!$I$44,0)</f>
        <v>0</v>
      </c>
      <c r="L8" s="215">
        <f>IF(L4&lt;='Project Assumptions'!$I$42+1,'Project Assumptions'!$I$44,0)</f>
        <v>0</v>
      </c>
      <c r="M8" s="215">
        <f>IF(M4&lt;='Project Assumptions'!$I$42+1,'Project Assumptions'!$I$44,0)</f>
        <v>0</v>
      </c>
      <c r="N8" s="215">
        <f>IF(N4&lt;='Project Assumptions'!$I$42+1,'Project Assumptions'!$I$44,0)</f>
        <v>0</v>
      </c>
      <c r="O8" s="215">
        <f>IF(O4&lt;='Project Assumptions'!$I$42+1,'Project Assumptions'!$I$44,0)</f>
        <v>0</v>
      </c>
      <c r="P8" s="215">
        <f>IF(P4&lt;='Project Assumptions'!$I$42+1,'Project Assumptions'!$I$44,0)</f>
        <v>0</v>
      </c>
      <c r="Q8" s="215">
        <f>IF(Q4&lt;='Project Assumptions'!$I$42+1,'Project Assumptions'!$I$44,0)</f>
        <v>0</v>
      </c>
      <c r="R8" s="215">
        <f>IF(R4&lt;='Project Assumptions'!$I$42+1,'Project Assumptions'!$I$44,0)</f>
        <v>0</v>
      </c>
      <c r="S8" s="215">
        <f>IF(S4&lt;='Project Assumptions'!$I$42+1,'Project Assumptions'!$I$44,0)</f>
        <v>0</v>
      </c>
      <c r="T8"/>
      <c r="U8"/>
      <c r="V8"/>
      <c r="W8"/>
      <c r="X8"/>
      <c r="Y8"/>
      <c r="Z8"/>
      <c r="AA8"/>
      <c r="AB8"/>
      <c r="AC8" s="216"/>
    </row>
    <row r="9" spans="1:52" s="206" customFormat="1" hidden="1"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/>
      <c r="U9"/>
      <c r="V9"/>
      <c r="W9"/>
      <c r="X9"/>
      <c r="Y9"/>
      <c r="Z9"/>
      <c r="AA9"/>
      <c r="AB9"/>
      <c r="AC9" s="216"/>
    </row>
    <row r="10" spans="1:52" s="206" customFormat="1" hidden="1"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/>
      <c r="U10"/>
      <c r="V10"/>
      <c r="W10"/>
      <c r="X10"/>
      <c r="Y10"/>
      <c r="Z10"/>
      <c r="AA10"/>
      <c r="AB10"/>
      <c r="AC10" s="216"/>
    </row>
    <row r="11" spans="1:52" s="206" customFormat="1" hidden="1">
      <c r="D11" s="253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/>
      <c r="U11"/>
      <c r="V11"/>
      <c r="W11"/>
      <c r="X11"/>
      <c r="Y11"/>
      <c r="Z11"/>
      <c r="AA11"/>
      <c r="AB11"/>
      <c r="AC11" s="216"/>
    </row>
    <row r="12" spans="1:52" s="206" customFormat="1" hidden="1">
      <c r="D12" s="253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/>
      <c r="U12"/>
      <c r="V12"/>
      <c r="W12"/>
      <c r="X12"/>
      <c r="Y12"/>
      <c r="Z12"/>
      <c r="AA12"/>
      <c r="AB12"/>
      <c r="AC12" s="216"/>
    </row>
    <row r="13" spans="1:52" s="206" customFormat="1" hidden="1">
      <c r="D13" s="253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/>
      <c r="U13"/>
      <c r="V13"/>
      <c r="W13"/>
      <c r="X13"/>
      <c r="Y13"/>
      <c r="Z13"/>
      <c r="AA13"/>
      <c r="AB13"/>
      <c r="AC13" s="216"/>
    </row>
    <row r="14" spans="1:52" hidden="1">
      <c r="T14"/>
      <c r="U14"/>
      <c r="V14"/>
      <c r="W14"/>
      <c r="X14"/>
      <c r="Y14"/>
      <c r="Z14"/>
      <c r="AA14"/>
      <c r="AB14"/>
    </row>
    <row r="15" spans="1:52" hidden="1">
      <c r="T15"/>
      <c r="U15"/>
      <c r="V15"/>
      <c r="W15"/>
      <c r="X15"/>
      <c r="Y15"/>
      <c r="Z15"/>
      <c r="AA15"/>
      <c r="AB15"/>
    </row>
    <row r="16" spans="1:52" hidden="1">
      <c r="T16"/>
      <c r="U16"/>
      <c r="V16"/>
      <c r="W16"/>
      <c r="X16"/>
      <c r="Y16"/>
      <c r="Z16"/>
      <c r="AA16"/>
      <c r="AB16"/>
    </row>
    <row r="17" spans="1:29" hidden="1">
      <c r="T17"/>
      <c r="U17"/>
      <c r="V17"/>
      <c r="W17"/>
      <c r="X17"/>
      <c r="Y17"/>
      <c r="Z17"/>
      <c r="AA17"/>
      <c r="AB17"/>
    </row>
    <row r="18" spans="1:29" hidden="1">
      <c r="T18"/>
      <c r="U18"/>
      <c r="V18"/>
      <c r="W18"/>
      <c r="X18"/>
      <c r="Y18"/>
      <c r="Z18"/>
      <c r="AA18"/>
      <c r="AB18"/>
    </row>
    <row r="19" spans="1:29" hidden="1">
      <c r="T19"/>
      <c r="U19"/>
      <c r="V19"/>
      <c r="W19"/>
      <c r="X19"/>
      <c r="Y19"/>
      <c r="Z19"/>
      <c r="AA19"/>
      <c r="AB19"/>
    </row>
    <row r="20" spans="1:29" hidden="1">
      <c r="T20"/>
      <c r="U20"/>
      <c r="V20"/>
      <c r="W20"/>
      <c r="X20"/>
      <c r="Y20"/>
      <c r="Z20"/>
      <c r="AA20"/>
      <c r="AB20"/>
    </row>
    <row r="21" spans="1:29" s="206" customFormat="1" hidden="1">
      <c r="D21" s="253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/>
      <c r="U21"/>
      <c r="V21"/>
      <c r="W21"/>
      <c r="X21"/>
      <c r="Y21"/>
      <c r="Z21"/>
      <c r="AA21"/>
      <c r="AB21"/>
      <c r="AC21" s="216"/>
    </row>
    <row r="22" spans="1:29" s="206" customFormat="1" hidden="1">
      <c r="A22" s="254" t="s">
        <v>122</v>
      </c>
      <c r="B22" s="254"/>
      <c r="C22" s="254"/>
      <c r="D22" s="301">
        <f>IF(D$4&lt;='Project Assumptions'!$I$42+1,'Project Assumptions'!$I$43,0)</f>
        <v>0.06</v>
      </c>
      <c r="E22" s="301">
        <f>IF(E$4&lt;='Project Assumptions'!$I$42+1,'Project Assumptions'!$I$43,0)</f>
        <v>0.06</v>
      </c>
      <c r="F22" s="301">
        <f>IF(F$4&lt;='Project Assumptions'!$I$42+1,'Project Assumptions'!$I$43,0)</f>
        <v>0.06</v>
      </c>
      <c r="G22" s="301">
        <f>IF(G$4&lt;='Project Assumptions'!$I$42+1,'Project Assumptions'!$I$43,0)</f>
        <v>0.06</v>
      </c>
      <c r="H22" s="301">
        <f>IF(H$4&lt;='Project Assumptions'!$I$42+1,'Project Assumptions'!$I$43,0)</f>
        <v>0.06</v>
      </c>
      <c r="I22" s="301">
        <f>IF(I$4&lt;='Project Assumptions'!$I$42+1,'Project Assumptions'!$I$43,0)</f>
        <v>0.06</v>
      </c>
      <c r="J22" s="301">
        <f>IF(J$4&lt;='Project Assumptions'!$I$42+1,'Project Assumptions'!$I$43,0)</f>
        <v>0.06</v>
      </c>
      <c r="K22" s="301">
        <f>IF(K$4&lt;='Project Assumptions'!$I$42+1,'Project Assumptions'!$I$43,0)</f>
        <v>0.06</v>
      </c>
      <c r="L22" s="301">
        <f>IF(L$4&lt;='Project Assumptions'!$I$42+1,'Project Assumptions'!$I$43,0)</f>
        <v>0.06</v>
      </c>
      <c r="M22" s="301">
        <f>IF(M$4&lt;='Project Assumptions'!$I$42+1,'Project Assumptions'!$I$43,0)</f>
        <v>0.06</v>
      </c>
      <c r="N22" s="301">
        <f>IF(N$4&lt;='Project Assumptions'!$I$42+1,'Project Assumptions'!$I$43,0)</f>
        <v>0.06</v>
      </c>
      <c r="O22" s="301">
        <f>IF(O$4&lt;='Project Assumptions'!$I$42+1,'Project Assumptions'!$I$43,0)</f>
        <v>0.06</v>
      </c>
      <c r="P22" s="301">
        <f>IF(P$4&lt;='Project Assumptions'!$I$42+1,'Project Assumptions'!$I$43,0)</f>
        <v>0.06</v>
      </c>
      <c r="Q22" s="301">
        <f>IF(Q$4&lt;='Project Assumptions'!$I$42+1,'Project Assumptions'!$I$43,0)</f>
        <v>0.06</v>
      </c>
      <c r="R22" s="301">
        <f>IF(R$4&lt;='Project Assumptions'!$I$42+1,'Project Assumptions'!$I$43,0)</f>
        <v>0.06</v>
      </c>
      <c r="S22" s="301">
        <f>IF(S$4&lt;='Project Assumptions'!$I$42+1,'Project Assumptions'!$I$43,0)</f>
        <v>0.06</v>
      </c>
      <c r="T22"/>
      <c r="U22"/>
      <c r="V22"/>
      <c r="W22"/>
      <c r="X22"/>
      <c r="Y22"/>
      <c r="Z22"/>
      <c r="AA22"/>
      <c r="AB22"/>
    </row>
    <row r="23" spans="1:29" s="206" customFormat="1" hidden="1"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/>
      <c r="U23"/>
      <c r="V23"/>
      <c r="W23"/>
      <c r="X23"/>
      <c r="Y23"/>
      <c r="Z23"/>
      <c r="AA23"/>
      <c r="AB23"/>
    </row>
    <row r="24" spans="1:29" s="206" customFormat="1" hidden="1"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/>
      <c r="U24"/>
      <c r="V24"/>
      <c r="W24"/>
      <c r="X24"/>
      <c r="Y24"/>
      <c r="Z24"/>
      <c r="AA24"/>
      <c r="AB24"/>
    </row>
    <row r="25" spans="1:29" s="206" customFormat="1" hidden="1"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/>
      <c r="U25"/>
      <c r="V25"/>
      <c r="W25"/>
      <c r="X25"/>
      <c r="Y25"/>
      <c r="Z25"/>
      <c r="AA25"/>
      <c r="AB25"/>
    </row>
    <row r="26" spans="1:29" s="206" customFormat="1" hidden="1">
      <c r="A26" s="205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/>
      <c r="U26"/>
      <c r="V26"/>
      <c r="W26"/>
      <c r="X26"/>
      <c r="Y26"/>
      <c r="Z26"/>
      <c r="AA26"/>
      <c r="AB26"/>
      <c r="AC26" s="218"/>
    </row>
    <row r="27" spans="1:29" s="206" customFormat="1" hidden="1">
      <c r="B27" s="251"/>
      <c r="C27" s="251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/>
      <c r="U27"/>
      <c r="V27"/>
      <c r="W27"/>
      <c r="X27"/>
      <c r="Y27"/>
      <c r="Z27"/>
      <c r="AA27"/>
      <c r="AB27"/>
    </row>
    <row r="28" spans="1:29" s="206" customFormat="1" hidden="1"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/>
      <c r="U28"/>
      <c r="V28"/>
      <c r="W28"/>
      <c r="X28"/>
      <c r="Y28"/>
      <c r="Z28"/>
      <c r="AA28"/>
      <c r="AB28"/>
    </row>
    <row r="29" spans="1:29" s="206" customFormat="1" hidden="1"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/>
      <c r="U29"/>
      <c r="V29"/>
      <c r="W29"/>
      <c r="X29"/>
      <c r="Y29"/>
      <c r="Z29"/>
      <c r="AA29"/>
      <c r="AB29"/>
    </row>
    <row r="30" spans="1:29" s="206" customFormat="1" ht="15" hidden="1">
      <c r="B30" s="219"/>
      <c r="C30" s="234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/>
      <c r="U30"/>
      <c r="V30"/>
      <c r="W30"/>
      <c r="X30"/>
      <c r="Y30"/>
      <c r="Z30"/>
      <c r="AA30"/>
      <c r="AB30"/>
    </row>
    <row r="31" spans="1:29" s="206" customFormat="1" hidden="1">
      <c r="B31" s="220"/>
      <c r="C31" s="218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/>
      <c r="U31"/>
      <c r="V31"/>
      <c r="W31"/>
      <c r="X31"/>
      <c r="Y31"/>
      <c r="Z31"/>
      <c r="AA31"/>
      <c r="AB31"/>
    </row>
    <row r="32" spans="1:29" hidden="1">
      <c r="A32" s="205"/>
      <c r="B32" s="221"/>
      <c r="C32" s="125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/>
      <c r="U32"/>
      <c r="V32"/>
      <c r="W32"/>
      <c r="X32"/>
      <c r="Y32"/>
      <c r="Z32"/>
      <c r="AA32"/>
      <c r="AB32"/>
    </row>
    <row r="33" spans="1:33" ht="19.95" customHeight="1">
      <c r="C33" s="251">
        <v>36661</v>
      </c>
      <c r="D33" s="251">
        <v>36891</v>
      </c>
      <c r="E33" s="251">
        <f t="shared" ref="E33:R33" si="1">EDATE(D33,12)</f>
        <v>37256</v>
      </c>
      <c r="F33" s="251">
        <f t="shared" si="1"/>
        <v>37621</v>
      </c>
      <c r="G33" s="251">
        <f t="shared" si="1"/>
        <v>37986</v>
      </c>
      <c r="H33" s="251">
        <f t="shared" si="1"/>
        <v>38352</v>
      </c>
      <c r="I33" s="251">
        <f t="shared" si="1"/>
        <v>38717</v>
      </c>
      <c r="J33" s="251">
        <f t="shared" si="1"/>
        <v>39082</v>
      </c>
      <c r="K33" s="251">
        <f t="shared" si="1"/>
        <v>39447</v>
      </c>
      <c r="L33" s="251">
        <f t="shared" si="1"/>
        <v>39813</v>
      </c>
      <c r="M33" s="251">
        <f t="shared" si="1"/>
        <v>40178</v>
      </c>
      <c r="N33" s="251">
        <f t="shared" si="1"/>
        <v>40543</v>
      </c>
      <c r="O33" s="251">
        <f t="shared" si="1"/>
        <v>40908</v>
      </c>
      <c r="P33" s="251">
        <f t="shared" si="1"/>
        <v>41274</v>
      </c>
      <c r="Q33" s="251">
        <f t="shared" si="1"/>
        <v>41639</v>
      </c>
      <c r="R33" s="251">
        <f t="shared" si="1"/>
        <v>42004</v>
      </c>
      <c r="S33" s="222"/>
      <c r="T33"/>
      <c r="U33"/>
      <c r="V33"/>
      <c r="W33"/>
      <c r="X33"/>
      <c r="Y33"/>
      <c r="Z33"/>
      <c r="AA33"/>
      <c r="AB33"/>
    </row>
    <row r="34" spans="1:33" s="206" customFormat="1" ht="19.95" customHeight="1">
      <c r="A34" s="205" t="s">
        <v>124</v>
      </c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435"/>
      <c r="U34" s="435"/>
      <c r="V34" s="435"/>
      <c r="W34" s="435"/>
      <c r="X34" s="435"/>
      <c r="Y34" s="435"/>
      <c r="Z34" s="435"/>
      <c r="AA34" s="435"/>
      <c r="AB34" s="435"/>
    </row>
    <row r="35" spans="1:33" s="206" customFormat="1" ht="15" customHeight="1">
      <c r="A35" s="206" t="s">
        <v>60</v>
      </c>
      <c r="D35" s="218">
        <f>IF('Project Assumptions'!$F$38="Assumed",'Debt Amortization'!D63,D50+D161+D169)</f>
        <v>113344.92774122291</v>
      </c>
      <c r="E35" s="218">
        <f>IF('Project Assumptions'!$F$38="Assumed",'Debt Amortization'!E63,E50+E161+E169)</f>
        <v>110962.50131239486</v>
      </c>
      <c r="F35" s="218">
        <f>IF('Project Assumptions'!$F$38="Assumed",'Debt Amortization'!F63,F50+F161+F169)</f>
        <v>105981.08589235827</v>
      </c>
      <c r="G35" s="218">
        <f>IF('Project Assumptions'!$F$38="Assumed",'Debt Amortization'!G63,G50+G161+G169)</f>
        <v>100696.30227324145</v>
      </c>
      <c r="H35" s="218">
        <f>IF('Project Assumptions'!$F$38="Assumed",'Debt Amortization'!H63,H50+H161+H169)</f>
        <v>95089.675331720427</v>
      </c>
      <c r="I35" s="218">
        <f>IF('Project Assumptions'!$F$38="Assumed",'Debt Amortization'!I63,I50+I161+I169)</f>
        <v>89141.604809460769</v>
      </c>
      <c r="J35" s="218">
        <f>IF('Project Assumptions'!$F$38="Assumed",'Debt Amortization'!J63,J50+J161+J169)</f>
        <v>82831.2967923955</v>
      </c>
      <c r="K35" s="218">
        <f>IF('Project Assumptions'!$F$38="Assumed",'Debt Amortization'!K63,K50+K161+K169)</f>
        <v>76136.691017090954</v>
      </c>
      <c r="L35" s="218">
        <f>IF('Project Assumptions'!$F$38="Assumed",'Debt Amortization'!L63,L50+L161+L169)</f>
        <v>69034.383750070367</v>
      </c>
      <c r="M35" s="218">
        <f>IF('Project Assumptions'!$F$38="Assumed",'Debt Amortization'!M63,M50+M161+M169)</f>
        <v>61499.545970488223</v>
      </c>
      <c r="N35" s="218">
        <f>IF('Project Assumptions'!$F$38="Assumed",'Debt Amortization'!N63,N50+N161+N169)</f>
        <v>53505.836570129526</v>
      </c>
      <c r="O35" s="218">
        <f>IF('Project Assumptions'!$F$38="Assumed",'Debt Amortization'!O63,O50+O161+O169)</f>
        <v>45025.31026728898</v>
      </c>
      <c r="P35" s="218">
        <f>IF('Project Assumptions'!$F$38="Assumed",'Debt Amortization'!P63,P50+P161+P169)</f>
        <v>36028.319912605453</v>
      </c>
      <c r="Q35" s="218">
        <f>IF('Project Assumptions'!$F$38="Assumed",'Debt Amortization'!Q63,Q50+Q161+Q169)</f>
        <v>26483.412845321698</v>
      </c>
      <c r="R35" s="218">
        <f>IF('Project Assumptions'!$F$38="Assumed",'Debt Amortization'!R63,R50+R161+R169)</f>
        <v>16357.220937640359</v>
      </c>
      <c r="S35" s="218">
        <f>IF('Project Assumptions'!$F$38="Assumed",'Debt Amortization'!S63,S50+S161+S169)</f>
        <v>5614.3439427812264</v>
      </c>
      <c r="T35" s="435"/>
      <c r="U35" s="435"/>
      <c r="V35" s="435"/>
      <c r="W35" s="435"/>
      <c r="X35" s="435"/>
      <c r="Y35" s="435"/>
      <c r="Z35" s="435"/>
      <c r="AA35" s="435"/>
      <c r="AB35" s="435"/>
    </row>
    <row r="36" spans="1:33" s="206" customFormat="1" ht="15" customHeight="1">
      <c r="A36" s="206" t="s">
        <v>61</v>
      </c>
      <c r="D36" s="218">
        <f>IF('Project Assumptions'!$F$38="Assumed",'Debt Amortization'!D64,D51+D162+D170)</f>
        <v>3400.3478322366873</v>
      </c>
      <c r="E36" s="218">
        <f>IF('Project Assumptions'!$F$38="Assumed",'Debt Amortization'!E64,E51+E162+E170)</f>
        <v>6584.1331020929047</v>
      </c>
      <c r="F36" s="218">
        <f>IF('Project Assumptions'!$F$38="Assumed",'Debt Amortization'!F64,F51+F162+F170)</f>
        <v>6280.7649030126759</v>
      </c>
      <c r="G36" s="218">
        <f>IF('Project Assumptions'!$F$38="Assumed",'Debt Amortization'!G64,G51+G162+G170)</f>
        <v>5958.921580608463</v>
      </c>
      <c r="H36" s="218">
        <f>IF('Project Assumptions'!$F$38="Assumed",'Debt Amortization'!H64,H51+H162+H170)</f>
        <v>5617.4779998698323</v>
      </c>
      <c r="I36" s="218">
        <f>IF('Project Assumptions'!$F$38="Assumed",'Debt Amortization'!I64,I51+I162+I170)</f>
        <v>5255.2405050642192</v>
      </c>
      <c r="J36" s="218">
        <f>IF('Project Assumptions'!$F$38="Assumed",'Debt Amortization'!J64,J51+J162+J170)</f>
        <v>4870.9427468249451</v>
      </c>
      <c r="K36" s="218">
        <f>IF('Project Assumptions'!$F$38="Assumed",'Debt Amortization'!K64,K51+K162+K170)</f>
        <v>4463.2412551088983</v>
      </c>
      <c r="L36" s="218">
        <f>IF('Project Assumptions'!$F$38="Assumed",'Debt Amortization'!L64,L51+L162+L170)</f>
        <v>4030.7107425473437</v>
      </c>
      <c r="M36" s="218">
        <f>IF('Project Assumptions'!$F$38="Assumed",'Debt Amortization'!M64,M51+M162+M170)</f>
        <v>3571.8391217707917</v>
      </c>
      <c r="N36" s="218">
        <f>IF('Project Assumptions'!$F$38="Assumed",'Debt Amortization'!N64,N51+N162+N170)</f>
        <v>3085.0222192889478</v>
      </c>
      <c r="O36" s="218">
        <f>IF('Project Assumptions'!$F$38="Assumed",'Debt Amortization'!O64,O51+O162+O170)</f>
        <v>2568.55816744596</v>
      </c>
      <c r="P36" s="218">
        <f>IF('Project Assumptions'!$F$38="Assumed",'Debt Amortization'!P64,P51+P162+P170)</f>
        <v>2020.6414548457317</v>
      </c>
      <c r="Q36" s="218">
        <f>IF('Project Assumptions'!$F$38="Assumed",'Debt Amortization'!Q64,Q51+Q162+Q170)</f>
        <v>1439.3566144481506</v>
      </c>
      <c r="R36" s="218">
        <f>IF('Project Assumptions'!$F$38="Assumed",'Debt Amortization'!R64,R51+R162+R170)</f>
        <v>822.67152727035773</v>
      </c>
      <c r="S36" s="218">
        <f>IF('Project Assumptions'!$F$38="Assumed",'Debt Amortization'!S64,S51+S162+S170)</f>
        <v>168.43031828343808</v>
      </c>
      <c r="T36" s="435"/>
      <c r="U36" s="435"/>
      <c r="V36" s="435"/>
      <c r="W36" s="435"/>
      <c r="X36" s="435"/>
      <c r="Y36" s="435"/>
      <c r="Z36" s="435"/>
      <c r="AA36" s="435"/>
      <c r="AB36" s="435"/>
    </row>
    <row r="37" spans="1:33" s="206" customFormat="1" ht="15" customHeight="1">
      <c r="A37" s="206" t="s">
        <v>62</v>
      </c>
      <c r="C37" s="219"/>
      <c r="D37" s="218">
        <f>IF('Project Assumptions'!$F$38="Assumed",'Debt Amortization'!D65,D52+D163+D171)</f>
        <v>2382.4264288280574</v>
      </c>
      <c r="E37" s="218">
        <f>IF('Project Assumptions'!$F$38="Assumed",'Debt Amortization'!E65,E52+E163+E171)</f>
        <v>4981.4154200365847</v>
      </c>
      <c r="F37" s="218">
        <f>IF('Project Assumptions'!$F$38="Assumed",'Debt Amortization'!F65,F52+F163+F171)</f>
        <v>5284.7836191168135</v>
      </c>
      <c r="G37" s="218">
        <f>IF('Project Assumptions'!$F$38="Assumed",'Debt Amortization'!G65,G52+G163+G171)</f>
        <v>5606.6269415210263</v>
      </c>
      <c r="H37" s="218">
        <f>IF('Project Assumptions'!$F$38="Assumed",'Debt Amortization'!H65,H52+H163+H171)</f>
        <v>5948.0705222596571</v>
      </c>
      <c r="I37" s="218">
        <f>IF('Project Assumptions'!$F$38="Assumed",'Debt Amortization'!I65,I52+I163+I171)</f>
        <v>6310.3080170652702</v>
      </c>
      <c r="J37" s="218">
        <f>IF('Project Assumptions'!$F$38="Assumed",'Debt Amortization'!J65,J52+J163+J171)</f>
        <v>6694.6057753045443</v>
      </c>
      <c r="K37" s="218">
        <f>IF('Project Assumptions'!$F$38="Assumed",'Debt Amortization'!K65,K52+K163+K171)</f>
        <v>7102.3072670205911</v>
      </c>
      <c r="L37" s="218">
        <f>IF('Project Assumptions'!$F$38="Assumed",'Debt Amortization'!L65,L52+L163+L171)</f>
        <v>7534.8377795821452</v>
      </c>
      <c r="M37" s="218">
        <f>IF('Project Assumptions'!$F$38="Assumed",'Debt Amortization'!M65,M52+M163+M171)</f>
        <v>7993.7094003586972</v>
      </c>
      <c r="N37" s="218">
        <f>IF('Project Assumptions'!$F$38="Assumed",'Debt Amortization'!N65,N52+N163+N171)</f>
        <v>8480.5263028405425</v>
      </c>
      <c r="O37" s="218">
        <f>IF('Project Assumptions'!$F$38="Assumed",'Debt Amortization'!O65,O52+O163+O171)</f>
        <v>8996.9903546835303</v>
      </c>
      <c r="P37" s="218">
        <f>IF('Project Assumptions'!$F$38="Assumed",'Debt Amortization'!P65,P52+P163+P171)</f>
        <v>9544.907067283757</v>
      </c>
      <c r="Q37" s="218">
        <f>IF('Project Assumptions'!$F$38="Assumed",'Debt Amortization'!Q65,Q52+Q163+Q171)</f>
        <v>10126.191907681339</v>
      </c>
      <c r="R37" s="218">
        <f>IF('Project Assumptions'!$F$38="Assumed",'Debt Amortization'!R65,R52+R163+R171)</f>
        <v>10742.876994859133</v>
      </c>
      <c r="S37" s="218">
        <f>IF('Project Assumptions'!$F$38="Assumed",'Debt Amortization'!S65,S52+S163+S171)</f>
        <v>5614.3439427813064</v>
      </c>
      <c r="T37" s="435"/>
      <c r="U37" s="435"/>
      <c r="V37" s="435"/>
      <c r="W37" s="435"/>
      <c r="X37" s="435"/>
      <c r="Y37" s="435"/>
      <c r="Z37" s="435"/>
      <c r="AA37" s="435"/>
      <c r="AB37" s="435"/>
    </row>
    <row r="38" spans="1:33" s="206" customFormat="1" ht="15" customHeight="1">
      <c r="A38" s="206" t="s">
        <v>63</v>
      </c>
      <c r="B38" s="436"/>
      <c r="C38" s="472"/>
      <c r="D38" s="218">
        <f>IF('Project Assumptions'!$F$38="Assumed",'Debt Amortization'!D66,D53+D164+D172)</f>
        <v>5782.7742610647447</v>
      </c>
      <c r="E38" s="218">
        <f>IF('Project Assumptions'!$F$38="Assumed",'Debt Amortization'!E66,E53+E164+E172)</f>
        <v>11565.548522129489</v>
      </c>
      <c r="F38" s="218">
        <f>IF('Project Assumptions'!$F$38="Assumed",'Debt Amortization'!F66,F53+F164+F172)</f>
        <v>11565.548522129489</v>
      </c>
      <c r="G38" s="218">
        <f>IF('Project Assumptions'!$F$38="Assumed",'Debt Amortization'!G66,G53+G164+G172)</f>
        <v>11565.548522129489</v>
      </c>
      <c r="H38" s="218">
        <f>IF('Project Assumptions'!$F$38="Assumed",'Debt Amortization'!H66,H53+H164+H172)</f>
        <v>11565.548522129489</v>
      </c>
      <c r="I38" s="218">
        <f>IF('Project Assumptions'!$F$38="Assumed",'Debt Amortization'!I66,I53+I164+I172)</f>
        <v>11565.548522129489</v>
      </c>
      <c r="J38" s="218">
        <f>IF('Project Assumptions'!$F$38="Assumed",'Debt Amortization'!J66,J53+J164+J172)</f>
        <v>11565.548522129489</v>
      </c>
      <c r="K38" s="218">
        <f>IF('Project Assumptions'!$F$38="Assumed",'Debt Amortization'!K66,K53+K164+K172)</f>
        <v>11565.548522129489</v>
      </c>
      <c r="L38" s="218">
        <f>IF('Project Assumptions'!$F$38="Assumed",'Debt Amortization'!L66,L53+L164+L172)</f>
        <v>11565.548522129489</v>
      </c>
      <c r="M38" s="218">
        <f>IF('Project Assumptions'!$F$38="Assumed",'Debt Amortization'!M66,M53+M164+M172)</f>
        <v>11565.548522129489</v>
      </c>
      <c r="N38" s="218">
        <f>IF('Project Assumptions'!$F$38="Assumed",'Debt Amortization'!N66,N53+N164+N172)</f>
        <v>11565.548522129489</v>
      </c>
      <c r="O38" s="218">
        <f>IF('Project Assumptions'!$F$38="Assumed",'Debt Amortization'!O66,O53+O164+O172)</f>
        <v>11565.548522129489</v>
      </c>
      <c r="P38" s="218">
        <f>IF('Project Assumptions'!$F$38="Assumed",'Debt Amortization'!P66,P53+P164+P172)</f>
        <v>11565.548522129488</v>
      </c>
      <c r="Q38" s="218">
        <f>IF('Project Assumptions'!$F$38="Assumed",'Debt Amortization'!Q66,Q53+Q164+Q172)</f>
        <v>11565.548522129488</v>
      </c>
      <c r="R38" s="218">
        <f>IF('Project Assumptions'!$F$38="Assumed",'Debt Amortization'!R66,R53+R164+R172)</f>
        <v>11565.548522129489</v>
      </c>
      <c r="S38" s="218">
        <f>IF('Project Assumptions'!$F$38="Assumed",'Debt Amortization'!S66,S53+S164+S172)</f>
        <v>5782.7742610647447</v>
      </c>
      <c r="T38" s="435"/>
      <c r="U38" s="435"/>
      <c r="V38" s="435"/>
      <c r="W38" s="435"/>
      <c r="X38" s="435"/>
      <c r="Y38" s="435"/>
      <c r="Z38" s="435"/>
      <c r="AA38" s="435"/>
      <c r="AB38" s="435"/>
    </row>
    <row r="39" spans="1:33" s="206" customFormat="1" ht="15" customHeight="1">
      <c r="A39" s="206" t="s">
        <v>64</v>
      </c>
      <c r="B39" s="229"/>
      <c r="D39" s="218">
        <f>IF('Project Assumptions'!$F$38="Assumed",'Debt Amortization'!D67,D54+D165+D173)</f>
        <v>110962.50131239486</v>
      </c>
      <c r="E39" s="218">
        <f>IF('Project Assumptions'!$F$38="Assumed",'Debt Amortization'!E67,E54+E165+E173)</f>
        <v>105981.08589235827</v>
      </c>
      <c r="F39" s="218">
        <f>IF('Project Assumptions'!$F$38="Assumed",'Debt Amortization'!F67,F54+F165+F173)</f>
        <v>100696.30227324145</v>
      </c>
      <c r="G39" s="218">
        <f>IF('Project Assumptions'!$F$38="Assumed",'Debt Amortization'!G67,G54+G165+G173)</f>
        <v>95089.675331720427</v>
      </c>
      <c r="H39" s="218">
        <f>IF('Project Assumptions'!$F$38="Assumed",'Debt Amortization'!H67,H54+H165+H173)</f>
        <v>89141.604809460769</v>
      </c>
      <c r="I39" s="218">
        <f>IF('Project Assumptions'!$F$38="Assumed",'Debt Amortization'!I67,I54+I165+I173)</f>
        <v>82831.2967923955</v>
      </c>
      <c r="J39" s="218">
        <f>IF('Project Assumptions'!$F$38="Assumed",'Debt Amortization'!J67,J54+J165+J173)</f>
        <v>76136.691017090954</v>
      </c>
      <c r="K39" s="218">
        <f>IF('Project Assumptions'!$F$38="Assumed",'Debt Amortization'!K67,K54+K165+K173)</f>
        <v>69034.383750070367</v>
      </c>
      <c r="L39" s="218">
        <f>IF('Project Assumptions'!$F$38="Assumed",'Debt Amortization'!L67,L54+L165+L173)</f>
        <v>61499.545970488223</v>
      </c>
      <c r="M39" s="218">
        <f>IF('Project Assumptions'!$F$38="Assumed",'Debt Amortization'!M67,M54+M165+M173)</f>
        <v>53505.836570129526</v>
      </c>
      <c r="N39" s="218">
        <f>IF('Project Assumptions'!$F$38="Assumed",'Debt Amortization'!N67,N54+N165+N173)</f>
        <v>45025.31026728898</v>
      </c>
      <c r="O39" s="218">
        <f>IF('Project Assumptions'!$F$38="Assumed",'Debt Amortization'!O67,O54+O165+O173)</f>
        <v>36028.319912605453</v>
      </c>
      <c r="P39" s="218">
        <f>IF('Project Assumptions'!$F$38="Assumed",'Debt Amortization'!P67,P54+P165+P173)</f>
        <v>26483.412845321698</v>
      </c>
      <c r="Q39" s="218">
        <f>IF('Project Assumptions'!$F$38="Assumed",'Debt Amortization'!Q67,Q54+Q165+Q173)</f>
        <v>16357.220937640359</v>
      </c>
      <c r="R39" s="218">
        <f>IF('Project Assumptions'!$F$38="Assumed",'Debt Amortization'!R67,R54+R165+R173)</f>
        <v>5614.3439427812264</v>
      </c>
      <c r="S39" s="218">
        <f>IF('Project Assumptions'!$F$38="Assumed",'Debt Amortization'!S67,S54+S165+S173)</f>
        <v>-8.0035533756017685E-11</v>
      </c>
      <c r="T39" s="435"/>
      <c r="U39" s="435"/>
      <c r="V39" s="435"/>
      <c r="W39" s="435"/>
      <c r="X39" s="435"/>
      <c r="Y39" s="435"/>
      <c r="Z39" s="435"/>
      <c r="AA39" s="435"/>
      <c r="AB39" s="435"/>
    </row>
    <row r="40" spans="1:33" s="206" customFormat="1" ht="15" customHeight="1">
      <c r="A40" s="206" t="s">
        <v>125</v>
      </c>
      <c r="B40" s="229"/>
      <c r="D40" s="437">
        <f>SUMPRODUCT(D4:AB4,D37:AB37)/D35</f>
        <v>9.5966575747404192</v>
      </c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435"/>
      <c r="U40" s="435"/>
      <c r="V40" s="435"/>
      <c r="W40" s="435"/>
      <c r="X40" s="435"/>
      <c r="Y40" s="435"/>
      <c r="Z40" s="435"/>
      <c r="AA40" s="435"/>
      <c r="AB40" s="435"/>
    </row>
    <row r="41" spans="1:33" s="206" customFormat="1" ht="14.25" customHeight="1">
      <c r="B41" s="217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435"/>
      <c r="U41" s="435"/>
      <c r="V41" s="435"/>
      <c r="W41" s="435"/>
      <c r="X41" s="435"/>
      <c r="Y41" s="435"/>
      <c r="Z41" s="435"/>
      <c r="AA41" s="435"/>
      <c r="AB41" s="435"/>
    </row>
    <row r="42" spans="1:33" s="206" customFormat="1" ht="14.25" customHeight="1">
      <c r="A42" s="206" t="s">
        <v>187</v>
      </c>
      <c r="B42" s="217"/>
      <c r="D42" s="487">
        <f>'Book Income Statement'!C40/('Debt Amortization'!D38)</f>
        <v>1.056772296037739</v>
      </c>
      <c r="E42" s="487">
        <f>'Book Income Statement'!D40/'Debt Amortization'!E38</f>
        <v>1.0303881477993053</v>
      </c>
      <c r="F42" s="487">
        <f>'Book Income Statement'!E40/'Debt Amortization'!F38</f>
        <v>1.0304903333893569</v>
      </c>
      <c r="G42" s="487">
        <f>'Book Income Statement'!F40/'Debt Amortization'!G38</f>
        <v>1.0306974242198015</v>
      </c>
      <c r="H42" s="487">
        <f>'Book Income Statement'!G40/'Debt Amortization'!H38</f>
        <v>1.030813632407108</v>
      </c>
      <c r="I42" s="487">
        <f>'Book Income Statement'!H40/'Debt Amortization'!I38</f>
        <v>1.0310350262867534</v>
      </c>
      <c r="J42" s="487">
        <f>'Book Income Statement'!I40/'Debt Amortization'!J38</f>
        <v>1.0310678602236791</v>
      </c>
      <c r="K42" s="487">
        <f>'Book Income Statement'!J40/'Debt Amortization'!K38</f>
        <v>1.031059226594301</v>
      </c>
      <c r="L42" s="487">
        <f>'Book Income Statement'!K40/'Debt Amortization'!L38</f>
        <v>1.0311562207217453</v>
      </c>
      <c r="M42" s="487">
        <f>'Book Income Statement'!L40/'Debt Amortization'!M38</f>
        <v>1.0311630691728069</v>
      </c>
      <c r="N42" s="487">
        <f>'Book Income Statement'!M40/'Debt Amortization'!N38</f>
        <v>1.0311778916617353</v>
      </c>
      <c r="O42" s="487">
        <f>'Book Income Statement'!N40/'Debt Amortization'!O38</f>
        <v>1.0311518659890055</v>
      </c>
      <c r="P42" s="487">
        <f>'Book Income Statement'!O40/'Debt Amortization'!P38</f>
        <v>1.0311831181855544</v>
      </c>
      <c r="Q42" s="487">
        <f>'Book Income Statement'!P40/'Debt Amortization'!Q38</f>
        <v>1.0312228324948782</v>
      </c>
      <c r="R42" s="487">
        <f>'Book Income Statement'!Q40/'Debt Amortization'!R38</f>
        <v>1.0312221964789523</v>
      </c>
      <c r="S42" s="487">
        <f>('Book Income Statement'!R40)/'Debt Amortization'!S38</f>
        <v>3.1056082454371343</v>
      </c>
      <c r="T42" s="435"/>
      <c r="U42" s="435"/>
      <c r="V42" s="435"/>
      <c r="W42" s="435"/>
      <c r="X42" s="435"/>
      <c r="Y42" s="435"/>
      <c r="Z42" s="435"/>
      <c r="AA42" s="435"/>
      <c r="AB42" s="435"/>
    </row>
    <row r="43" spans="1:33" ht="12.6" customHeight="1">
      <c r="B43" s="154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09"/>
      <c r="S43" s="209"/>
      <c r="T43" s="208"/>
      <c r="U43" s="208"/>
      <c r="V43" s="208"/>
      <c r="W43" s="208"/>
      <c r="X43" s="208"/>
      <c r="Y43" s="208"/>
      <c r="Z43" s="208"/>
      <c r="AA43" s="208"/>
      <c r="AB43" s="208"/>
    </row>
    <row r="44" spans="1:33" s="206" customFormat="1" ht="13.95" customHeight="1">
      <c r="A44" s="11" t="s">
        <v>206</v>
      </c>
      <c r="B44" s="218"/>
      <c r="C44" s="217"/>
      <c r="D44" s="222"/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17"/>
      <c r="AG44" s="217"/>
    </row>
    <row r="45" spans="1:33">
      <c r="A45" s="206" t="s">
        <v>204</v>
      </c>
      <c r="B45" s="340">
        <f>SUM(E45:AG45)</f>
        <v>5996.9869772435904</v>
      </c>
      <c r="C45" s="342"/>
      <c r="D45" s="208"/>
      <c r="E45" s="218">
        <f t="shared" ref="E45:J45" si="2">E$46*D$36</f>
        <v>238.02434825656815</v>
      </c>
      <c r="F45" s="218">
        <f t="shared" si="2"/>
        <v>460.88931714650334</v>
      </c>
      <c r="G45" s="218">
        <f t="shared" si="2"/>
        <v>439.65354321088734</v>
      </c>
      <c r="H45" s="218">
        <f t="shared" si="2"/>
        <v>417.12451064259244</v>
      </c>
      <c r="I45" s="218">
        <f t="shared" si="2"/>
        <v>393.22345999088827</v>
      </c>
      <c r="J45" s="218">
        <f t="shared" si="2"/>
        <v>367.86683535449538</v>
      </c>
      <c r="K45" s="218">
        <f t="shared" ref="K45:R45" si="3">K$46*J$36</f>
        <v>340.96599227774618</v>
      </c>
      <c r="L45" s="218">
        <f t="shared" si="3"/>
        <v>312.42688785762289</v>
      </c>
      <c r="M45" s="218">
        <f t="shared" si="3"/>
        <v>282.1497519783141</v>
      </c>
      <c r="N45" s="218">
        <f t="shared" si="3"/>
        <v>250.02873852395544</v>
      </c>
      <c r="O45" s="218">
        <f t="shared" si="3"/>
        <v>215.95155535022636</v>
      </c>
      <c r="P45" s="218">
        <f t="shared" si="3"/>
        <v>179.79907172121722</v>
      </c>
      <c r="Q45" s="218">
        <f t="shared" si="3"/>
        <v>141.44490183920124</v>
      </c>
      <c r="R45" s="218">
        <f t="shared" si="3"/>
        <v>100.75496301137055</v>
      </c>
      <c r="S45" s="218">
        <f>($R$36*0.07)+($D$36*0.03)</f>
        <v>159.59744187602564</v>
      </c>
      <c r="T45" s="218">
        <f>T$46*E$36</f>
        <v>197.52399306278713</v>
      </c>
      <c r="U45" s="218">
        <f>U$46*F$36</f>
        <v>188.42294709038026</v>
      </c>
      <c r="V45" s="218">
        <f>V$46*G$36</f>
        <v>178.76764741825389</v>
      </c>
      <c r="W45" s="218">
        <f>W$46*H$36</f>
        <v>168.52433999609497</v>
      </c>
      <c r="X45" s="218">
        <f>X$46*I$36</f>
        <v>157.65721515192658</v>
      </c>
      <c r="Y45" s="218">
        <f t="shared" ref="Y45:AG45" si="4">Y$46*J$36</f>
        <v>146.12828240474835</v>
      </c>
      <c r="Z45" s="218">
        <f t="shared" si="4"/>
        <v>133.89723765326696</v>
      </c>
      <c r="AA45" s="218">
        <f t="shared" si="4"/>
        <v>120.92132227642031</v>
      </c>
      <c r="AB45" s="218">
        <f t="shared" si="4"/>
        <v>107.15517365312375</v>
      </c>
      <c r="AC45" s="218">
        <f t="shared" si="4"/>
        <v>92.550666578668427</v>
      </c>
      <c r="AD45" s="218">
        <f t="shared" si="4"/>
        <v>77.056745023378795</v>
      </c>
      <c r="AE45" s="218">
        <f t="shared" si="4"/>
        <v>60.619243645371945</v>
      </c>
      <c r="AF45" s="218">
        <f t="shared" si="4"/>
        <v>43.180698433444519</v>
      </c>
      <c r="AG45" s="218">
        <f t="shared" si="4"/>
        <v>24.680145818110731</v>
      </c>
    </row>
    <row r="46" spans="1:33">
      <c r="A46" s="207" t="s">
        <v>205</v>
      </c>
      <c r="B46" s="154"/>
      <c r="D46" s="208"/>
      <c r="E46" s="217">
        <v>7.0000000000000007E-2</v>
      </c>
      <c r="F46" s="217">
        <v>7.0000000000000007E-2</v>
      </c>
      <c r="G46" s="217">
        <v>7.0000000000000007E-2</v>
      </c>
      <c r="H46" s="217">
        <v>7.0000000000000007E-2</v>
      </c>
      <c r="I46" s="217">
        <v>7.0000000000000007E-2</v>
      </c>
      <c r="J46" s="217">
        <v>7.0000000000000007E-2</v>
      </c>
      <c r="K46" s="217">
        <v>7.0000000000000007E-2</v>
      </c>
      <c r="L46" s="217">
        <v>7.0000000000000007E-2</v>
      </c>
      <c r="M46" s="217">
        <v>7.0000000000000007E-2</v>
      </c>
      <c r="N46" s="217">
        <v>7.0000000000000007E-2</v>
      </c>
      <c r="O46" s="217">
        <v>7.0000000000000007E-2</v>
      </c>
      <c r="P46" s="217">
        <v>7.0000000000000007E-2</v>
      </c>
      <c r="Q46" s="217">
        <v>7.0000000000000007E-2</v>
      </c>
      <c r="R46" s="217">
        <v>7.0000000000000007E-2</v>
      </c>
      <c r="S46" s="217"/>
      <c r="T46" s="217">
        <v>0.03</v>
      </c>
      <c r="U46" s="217">
        <v>0.03</v>
      </c>
      <c r="V46" s="217">
        <v>0.03</v>
      </c>
      <c r="W46" s="217">
        <v>0.03</v>
      </c>
      <c r="X46" s="217">
        <v>0.03</v>
      </c>
      <c r="Y46" s="217">
        <v>0.03</v>
      </c>
      <c r="Z46" s="217">
        <v>0.03</v>
      </c>
      <c r="AA46" s="217">
        <v>0.03</v>
      </c>
      <c r="AB46" s="217">
        <v>0.03</v>
      </c>
      <c r="AC46" s="217">
        <v>0.03</v>
      </c>
      <c r="AD46" s="217">
        <v>0.03</v>
      </c>
      <c r="AE46" s="217">
        <v>0.03</v>
      </c>
      <c r="AF46" s="217">
        <v>0.03</v>
      </c>
      <c r="AG46" s="217">
        <v>0.03</v>
      </c>
    </row>
    <row r="47" spans="1:33">
      <c r="B47" s="218"/>
      <c r="D47" s="20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09"/>
    </row>
    <row r="48" spans="1:33" ht="12.6" hidden="1" customHeight="1">
      <c r="B48" s="154"/>
      <c r="D48" s="207">
        <v>1</v>
      </c>
      <c r="E48" s="207">
        <f>D48+1</f>
        <v>2</v>
      </c>
      <c r="F48" s="207">
        <f t="shared" ref="F48:S48" si="5">E48+1</f>
        <v>3</v>
      </c>
      <c r="G48" s="207">
        <f t="shared" si="5"/>
        <v>4</v>
      </c>
      <c r="H48" s="207">
        <f t="shared" si="5"/>
        <v>5</v>
      </c>
      <c r="I48" s="207">
        <f t="shared" si="5"/>
        <v>6</v>
      </c>
      <c r="J48" s="207">
        <f>I48+1</f>
        <v>7</v>
      </c>
      <c r="K48" s="207">
        <f t="shared" si="5"/>
        <v>8</v>
      </c>
      <c r="L48" s="207">
        <f t="shared" si="5"/>
        <v>9</v>
      </c>
      <c r="M48" s="207">
        <f t="shared" si="5"/>
        <v>10</v>
      </c>
      <c r="N48" s="207">
        <f t="shared" si="5"/>
        <v>11</v>
      </c>
      <c r="O48" s="207">
        <f t="shared" si="5"/>
        <v>12</v>
      </c>
      <c r="P48" s="207">
        <f t="shared" si="5"/>
        <v>13</v>
      </c>
      <c r="Q48" s="207">
        <f t="shared" si="5"/>
        <v>14</v>
      </c>
      <c r="R48" s="207">
        <f t="shared" si="5"/>
        <v>15</v>
      </c>
      <c r="S48" s="207">
        <f t="shared" si="5"/>
        <v>16</v>
      </c>
      <c r="T48"/>
      <c r="U48"/>
      <c r="V48"/>
      <c r="W48"/>
      <c r="X48"/>
      <c r="Y48"/>
      <c r="Z48"/>
      <c r="AA48"/>
      <c r="AB48"/>
      <c r="AC48" s="217"/>
      <c r="AD48" s="217"/>
      <c r="AE48" s="217"/>
      <c r="AF48" s="217"/>
      <c r="AG48" s="217"/>
    </row>
    <row r="49" spans="1:28" hidden="1">
      <c r="A49" s="11" t="s">
        <v>191</v>
      </c>
      <c r="B49" s="224"/>
      <c r="C49" s="222"/>
      <c r="D49" s="330">
        <f t="shared" ref="D49:I49" si="6">D5</f>
        <v>2000</v>
      </c>
      <c r="E49" s="330">
        <f t="shared" si="6"/>
        <v>2001</v>
      </c>
      <c r="F49" s="330">
        <f t="shared" si="6"/>
        <v>2002</v>
      </c>
      <c r="G49" s="330">
        <f t="shared" si="6"/>
        <v>2003</v>
      </c>
      <c r="H49" s="330">
        <f t="shared" si="6"/>
        <v>2004</v>
      </c>
      <c r="I49" s="330">
        <f t="shared" si="6"/>
        <v>2005</v>
      </c>
      <c r="J49" s="330">
        <f t="shared" ref="J49:S49" si="7">J5</f>
        <v>2006</v>
      </c>
      <c r="K49" s="330">
        <f t="shared" si="7"/>
        <v>2007</v>
      </c>
      <c r="L49" s="330">
        <f t="shared" si="7"/>
        <v>2008</v>
      </c>
      <c r="M49" s="330">
        <f t="shared" si="7"/>
        <v>2009</v>
      </c>
      <c r="N49" s="330">
        <f t="shared" si="7"/>
        <v>2010</v>
      </c>
      <c r="O49" s="330">
        <f t="shared" si="7"/>
        <v>2011</v>
      </c>
      <c r="P49" s="330">
        <f t="shared" si="7"/>
        <v>2012</v>
      </c>
      <c r="Q49" s="330">
        <f t="shared" si="7"/>
        <v>2013</v>
      </c>
      <c r="R49" s="330">
        <f t="shared" si="7"/>
        <v>2014</v>
      </c>
      <c r="S49" s="330">
        <f t="shared" si="7"/>
        <v>2015</v>
      </c>
      <c r="T49"/>
      <c r="U49"/>
      <c r="V49"/>
      <c r="W49"/>
      <c r="X49"/>
      <c r="Y49"/>
      <c r="Z49"/>
      <c r="AA49"/>
      <c r="AB49"/>
    </row>
    <row r="50" spans="1:28" hidden="1">
      <c r="A50" s="207" t="s">
        <v>60</v>
      </c>
      <c r="B50" s="225"/>
      <c r="D50" s="222" t="str">
        <f>IF('Project Assumptions'!$F$38&lt;&gt;"Coverage Ratio","Turned Off",B28)</f>
        <v>Turned Off</v>
      </c>
      <c r="E50" s="222" t="str">
        <f>IF(E4&gt;'Project Assumptions'!$I$42+1,0,D54)</f>
        <v>Turned Off</v>
      </c>
      <c r="F50" s="222" t="str">
        <f>IF(F4&gt;'Project Assumptions'!$I$42+1,0,E54)</f>
        <v>Turned Off</v>
      </c>
      <c r="G50" s="222" t="str">
        <f>IF(G4&gt;'Project Assumptions'!$I$42+1,0,F54)</f>
        <v>Turned Off</v>
      </c>
      <c r="H50" s="222" t="str">
        <f>IF(H4&gt;'Project Assumptions'!$I$42+1,0,G54)</f>
        <v>Turned Off</v>
      </c>
      <c r="I50" s="222" t="str">
        <f>IF(I4&gt;'Project Assumptions'!$I$42+1,0,H54)</f>
        <v>Turned Off</v>
      </c>
      <c r="J50" s="222" t="str">
        <f>IF(J4&gt;'Project Assumptions'!$I$42+1,0,I54)</f>
        <v>Turned Off</v>
      </c>
      <c r="K50" s="222" t="str">
        <f>IF(K4&gt;'Project Assumptions'!$I$42+1,0,J54)</f>
        <v>Turned Off</v>
      </c>
      <c r="L50" s="222" t="str">
        <f>IF(L4&gt;'Project Assumptions'!$I$42+1,0,K54)</f>
        <v>Turned Off</v>
      </c>
      <c r="M50" s="222" t="str">
        <f>IF(M4&gt;'Project Assumptions'!$I$42+1,0,L54)</f>
        <v>Turned Off</v>
      </c>
      <c r="N50" s="222" t="str">
        <f>IF(N4&gt;'Project Assumptions'!$I$42+1,0,M54)</f>
        <v>Turned Off</v>
      </c>
      <c r="O50" s="222" t="str">
        <f>IF(O4&gt;'Project Assumptions'!$I$42+1,0,N54)</f>
        <v>Turned Off</v>
      </c>
      <c r="P50" s="222" t="str">
        <f>IF(P4&gt;'Project Assumptions'!$I$42+1,0,O54)</f>
        <v>Turned Off</v>
      </c>
      <c r="Q50" s="222" t="str">
        <f>IF(Q4&gt;'Project Assumptions'!$I$42+1,0,P54)</f>
        <v>Turned Off</v>
      </c>
      <c r="R50" s="222" t="str">
        <f>IF(R4&gt;'Project Assumptions'!$I$42+1,0,Q54)</f>
        <v>Turned Off</v>
      </c>
      <c r="S50" s="222" t="str">
        <f>IF(S4&gt;'Project Assumptions'!$I$42+1,0,R54)</f>
        <v>Turned Off</v>
      </c>
      <c r="T50"/>
      <c r="U50"/>
      <c r="V50"/>
      <c r="W50"/>
      <c r="X50"/>
      <c r="Y50"/>
      <c r="Z50"/>
      <c r="AA50"/>
      <c r="AB50"/>
    </row>
    <row r="51" spans="1:28" hidden="1">
      <c r="A51" s="207" t="s">
        <v>61</v>
      </c>
      <c r="B51" s="226"/>
      <c r="C51" s="209"/>
      <c r="D51" s="222" t="str">
        <f>IF('Project Assumptions'!$F$38&lt;&gt;"Coverage Ratio","Turned Off",D50*$D$22*'Book Income Statement'!C5/12)</f>
        <v>Turned Off</v>
      </c>
      <c r="E51" s="222" t="str">
        <f>IF('Project Assumptions'!$F$38&lt;&gt;"Coverage Ratio","Turned Off",E50*$D$22)</f>
        <v>Turned Off</v>
      </c>
      <c r="F51" s="222" t="str">
        <f>IF('Project Assumptions'!$F$38&lt;&gt;"Coverage Ratio","Turned Off",F50*$D$22)</f>
        <v>Turned Off</v>
      </c>
      <c r="G51" s="222" t="str">
        <f>IF('Project Assumptions'!$F$38&lt;&gt;"Coverage Ratio","Turned Off",G50*$D$22)</f>
        <v>Turned Off</v>
      </c>
      <c r="H51" s="222" t="str">
        <f>IF('Project Assumptions'!$F$38&lt;&gt;"Coverage Ratio","Turned Off",H50*$D$22)</f>
        <v>Turned Off</v>
      </c>
      <c r="I51" s="222" t="str">
        <f>IF('Project Assumptions'!$F$38&lt;&gt;"Coverage Ratio","Turned Off",I50*$D$22)</f>
        <v>Turned Off</v>
      </c>
      <c r="J51" s="222" t="str">
        <f>IF('Project Assumptions'!$F$38&lt;&gt;"Coverage Ratio","Turned Off",J50*$D$22)</f>
        <v>Turned Off</v>
      </c>
      <c r="K51" s="222" t="str">
        <f>IF('Project Assumptions'!$F$38&lt;&gt;"Coverage Ratio","Turned Off",K50*$D$22)</f>
        <v>Turned Off</v>
      </c>
      <c r="L51" s="222" t="str">
        <f>IF('Project Assumptions'!$F$38&lt;&gt;"Coverage Ratio","Turned Off",L50*$D$22)</f>
        <v>Turned Off</v>
      </c>
      <c r="M51" s="222" t="str">
        <f>IF('Project Assumptions'!$F$38&lt;&gt;"Coverage Ratio","Turned Off",M50*$D$22)</f>
        <v>Turned Off</v>
      </c>
      <c r="N51" s="222" t="str">
        <f>IF('Project Assumptions'!$F$38&lt;&gt;"Coverage Ratio","Turned Off",N50*$D$22)</f>
        <v>Turned Off</v>
      </c>
      <c r="O51" s="222" t="str">
        <f>IF('Project Assumptions'!$F$38&lt;&gt;"Coverage Ratio","Turned Off",O50*$D$22)</f>
        <v>Turned Off</v>
      </c>
      <c r="P51" s="222" t="str">
        <f>IF('Project Assumptions'!$F$38&lt;&gt;"Coverage Ratio","Turned Off",P50*$D$22)</f>
        <v>Turned Off</v>
      </c>
      <c r="Q51" s="222" t="str">
        <f>IF('Project Assumptions'!$F$38&lt;&gt;"Coverage Ratio","Turned Off",Q50*$D$22)</f>
        <v>Turned Off</v>
      </c>
      <c r="R51" s="222" t="str">
        <f>IF('Project Assumptions'!$F$38&lt;&gt;"Coverage Ratio","Turned Off",R50*$D$22)</f>
        <v>Turned Off</v>
      </c>
      <c r="S51" s="222" t="str">
        <f>IF('Project Assumptions'!$F$38&lt;&gt;"Coverage Ratio","Turned Off",S50*$D$22)</f>
        <v>Turned Off</v>
      </c>
      <c r="T51"/>
      <c r="U51"/>
      <c r="V51"/>
      <c r="W51"/>
      <c r="X51"/>
      <c r="Y51"/>
      <c r="Z51"/>
      <c r="AA51"/>
      <c r="AB51"/>
    </row>
    <row r="52" spans="1:28" hidden="1">
      <c r="A52" s="207" t="s">
        <v>62</v>
      </c>
      <c r="C52" s="209"/>
      <c r="D52" s="222" t="str">
        <f>IF('Project Assumptions'!$F$38&lt;&gt;"Coverage Ratio","Turned Off",IF(D4&gt;'Project Assumptions'!$I$42+1,0,D53-D51))</f>
        <v>Turned Off</v>
      </c>
      <c r="E52" s="222" t="str">
        <f>IF('Project Assumptions'!$F$38&lt;&gt;"Coverage Ratio","Turned Off",IF(E4&gt;'Project Assumptions'!$I$42+1,0,E53-E51))</f>
        <v>Turned Off</v>
      </c>
      <c r="F52" s="222" t="str">
        <f>IF('Project Assumptions'!$F$38&lt;&gt;"Coverage Ratio","Turned Off",IF(F4&gt;'Project Assumptions'!$I$42+1,0,F53-F51))</f>
        <v>Turned Off</v>
      </c>
      <c r="G52" s="222" t="str">
        <f>IF('Project Assumptions'!$F$38&lt;&gt;"Coverage Ratio","Turned Off",IF(G4&gt;'Project Assumptions'!$I$42+1,0,G53-G51))</f>
        <v>Turned Off</v>
      </c>
      <c r="H52" s="222" t="str">
        <f>IF('Project Assumptions'!$F$38&lt;&gt;"Coverage Ratio","Turned Off",IF(H4&gt;'Project Assumptions'!$I$42+1,0,H53-H51))</f>
        <v>Turned Off</v>
      </c>
      <c r="I52" s="222" t="str">
        <f>IF('Project Assumptions'!$F$38&lt;&gt;"Coverage Ratio","Turned Off",IF(I4&gt;'Project Assumptions'!$I$42+1,0,I53-I51))</f>
        <v>Turned Off</v>
      </c>
      <c r="J52" s="222" t="str">
        <f>IF('Project Assumptions'!$F$38&lt;&gt;"Coverage Ratio","Turned Off",IF(J4&gt;'Project Assumptions'!$I$42+1,0,J53-J51))</f>
        <v>Turned Off</v>
      </c>
      <c r="K52" s="222" t="str">
        <f>IF('Project Assumptions'!$F$38&lt;&gt;"Coverage Ratio","Turned Off",IF(K4&gt;'Project Assumptions'!$I$42+1,0,K53-K51))</f>
        <v>Turned Off</v>
      </c>
      <c r="L52" s="222" t="str">
        <f>IF('Project Assumptions'!$F$38&lt;&gt;"Coverage Ratio","Turned Off",IF(L4&gt;'Project Assumptions'!$I$42+1,0,L53-L51))</f>
        <v>Turned Off</v>
      </c>
      <c r="M52" s="222" t="str">
        <f>IF('Project Assumptions'!$F$38&lt;&gt;"Coverage Ratio","Turned Off",IF(M4&gt;'Project Assumptions'!$I$42+1,0,M53-M51))</f>
        <v>Turned Off</v>
      </c>
      <c r="N52" s="222" t="str">
        <f>IF('Project Assumptions'!$F$38&lt;&gt;"Coverage Ratio","Turned Off",IF(N4&gt;'Project Assumptions'!$I$42+1,0,N53-N51))</f>
        <v>Turned Off</v>
      </c>
      <c r="O52" s="222" t="str">
        <f>IF('Project Assumptions'!$F$38&lt;&gt;"Coverage Ratio","Turned Off",IF(O4&gt;'Project Assumptions'!$I$42+1,0,O53-O51))</f>
        <v>Turned Off</v>
      </c>
      <c r="P52" s="222" t="str">
        <f>IF('Project Assumptions'!$F$38&lt;&gt;"Coverage Ratio","Turned Off",IF(P4&gt;'Project Assumptions'!$I$42+1,0,P53-P51))</f>
        <v>Turned Off</v>
      </c>
      <c r="Q52" s="222" t="str">
        <f>IF('Project Assumptions'!$F$38&lt;&gt;"Coverage Ratio","Turned Off",IF(Q4&gt;'Project Assumptions'!$I$42+1,0,Q53-Q51))</f>
        <v>Turned Off</v>
      </c>
      <c r="R52" s="222" t="str">
        <f>IF('Project Assumptions'!$F$38&lt;&gt;"Coverage Ratio","Turned Off",IF(R4&gt;'Project Assumptions'!$I$42+1,0,R53-R51))</f>
        <v>Turned Off</v>
      </c>
      <c r="S52" s="222" t="str">
        <f>IF('Project Assumptions'!$F$38&lt;&gt;"Coverage Ratio","Turned Off",IF(S4&gt;'Project Assumptions'!$I$42+1,0,S53-S51))</f>
        <v>Turned Off</v>
      </c>
      <c r="T52"/>
      <c r="U52"/>
      <c r="V52"/>
      <c r="W52"/>
      <c r="X52"/>
      <c r="Y52"/>
      <c r="Z52"/>
      <c r="AA52"/>
      <c r="AB52"/>
    </row>
    <row r="53" spans="1:28" hidden="1">
      <c r="A53" s="207" t="s">
        <v>63</v>
      </c>
      <c r="C53" s="209"/>
      <c r="D53" s="222" t="str">
        <f>IF('Project Assumptions'!$F$38&lt;&gt;"Coverage Ratio","Turned Off",IF(D4&gt;'Project Assumptions'!$I$42+1,0,D28))</f>
        <v>Turned Off</v>
      </c>
      <c r="E53" s="222" t="str">
        <f>IF('Project Assumptions'!$F$38&lt;&gt;"Coverage Ratio","Turned Off",IF(E4&gt;'Project Assumptions'!$I$42+1,0,E28))</f>
        <v>Turned Off</v>
      </c>
      <c r="F53" s="222" t="str">
        <f>IF('Project Assumptions'!$F$38&lt;&gt;"Coverage Ratio","Turned Off",IF(F4&gt;'Project Assumptions'!$I$42+1,0,F28))</f>
        <v>Turned Off</v>
      </c>
      <c r="G53" s="222" t="str">
        <f>IF('Project Assumptions'!$F$38&lt;&gt;"Coverage Ratio","Turned Off",IF(G4&gt;'Project Assumptions'!$I$42+1,0,G28))</f>
        <v>Turned Off</v>
      </c>
      <c r="H53" s="222" t="str">
        <f>IF('Project Assumptions'!$F$38&lt;&gt;"Coverage Ratio","Turned Off",IF(H4&gt;'Project Assumptions'!$I$42+1,0,H28))</f>
        <v>Turned Off</v>
      </c>
      <c r="I53" s="222" t="str">
        <f>IF('Project Assumptions'!$F$38&lt;&gt;"Coverage Ratio","Turned Off",IF(I4&gt;'Project Assumptions'!$I$42+1,0,I28))</f>
        <v>Turned Off</v>
      </c>
      <c r="J53" s="222" t="str">
        <f>IF('Project Assumptions'!$F$38&lt;&gt;"Coverage Ratio","Turned Off",IF(J4&gt;'Project Assumptions'!$I$42+1,0,J28))</f>
        <v>Turned Off</v>
      </c>
      <c r="K53" s="222" t="str">
        <f>IF('Project Assumptions'!$F$38&lt;&gt;"Coverage Ratio","Turned Off",IF(K4&gt;'Project Assumptions'!$I$42+1,0,K28))</f>
        <v>Turned Off</v>
      </c>
      <c r="L53" s="222" t="str">
        <f>IF('Project Assumptions'!$F$38&lt;&gt;"Coverage Ratio","Turned Off",IF(L4&gt;'Project Assumptions'!$I$42+1,0,L28))</f>
        <v>Turned Off</v>
      </c>
      <c r="M53" s="222" t="str">
        <f>IF('Project Assumptions'!$F$38&lt;&gt;"Coverage Ratio","Turned Off",IF(M4&gt;'Project Assumptions'!$I$42+1,0,M28))</f>
        <v>Turned Off</v>
      </c>
      <c r="N53" s="222" t="str">
        <f>IF('Project Assumptions'!$F$38&lt;&gt;"Coverage Ratio","Turned Off",IF(N4&gt;'Project Assumptions'!$I$42+1,0,N28))</f>
        <v>Turned Off</v>
      </c>
      <c r="O53" s="222" t="str">
        <f>IF('Project Assumptions'!$F$38&lt;&gt;"Coverage Ratio","Turned Off",IF(O4&gt;'Project Assumptions'!$I$42+1,0,O28))</f>
        <v>Turned Off</v>
      </c>
      <c r="P53" s="222" t="str">
        <f>IF('Project Assumptions'!$F$38&lt;&gt;"Coverage Ratio","Turned Off",IF(P4&gt;'Project Assumptions'!$I$42+1,0,P28))</f>
        <v>Turned Off</v>
      </c>
      <c r="Q53" s="222" t="str">
        <f>IF('Project Assumptions'!$F$38&lt;&gt;"Coverage Ratio","Turned Off",IF(Q4&gt;'Project Assumptions'!$I$42+1,0,Q28))</f>
        <v>Turned Off</v>
      </c>
      <c r="R53" s="222" t="str">
        <f>IF('Project Assumptions'!$F$38&lt;&gt;"Coverage Ratio","Turned Off",IF(R4&gt;'Project Assumptions'!$I$42+1,0,R28))</f>
        <v>Turned Off</v>
      </c>
      <c r="S53" s="222" t="str">
        <f>IF('Project Assumptions'!$F$38&lt;&gt;"Coverage Ratio","Turned Off",IF(S4&gt;'Project Assumptions'!$I$42+1,0,S28))</f>
        <v>Turned Off</v>
      </c>
      <c r="T53"/>
      <c r="U53"/>
      <c r="V53"/>
      <c r="W53"/>
      <c r="X53"/>
      <c r="Y53"/>
      <c r="Z53"/>
      <c r="AA53"/>
      <c r="AB53"/>
    </row>
    <row r="54" spans="1:28" hidden="1">
      <c r="A54" s="207" t="s">
        <v>64</v>
      </c>
      <c r="D54" s="222" t="str">
        <f>IF('Project Assumptions'!$F$38&lt;&gt;"Coverage Ratio","Turned Off",IF(D4&lt;'Project Assumptions'!$I$42+1,D50-D52,IF(AND(D4='Project Assumptions'!$I$42,D50-D52&gt;1),"ERROR",IF(D4&gt;'Project Assumptions'!$I$42,0,D50-D52))))</f>
        <v>Turned Off</v>
      </c>
      <c r="E54" s="222" t="str">
        <f>IF('Project Assumptions'!$F$38&lt;&gt;"Coverage Ratio","Turned Off",IF(E4&lt;'Project Assumptions'!$I$42+1,E50-E52,IF(AND(E4='Project Assumptions'!$I$42,E50-E52&gt;1),"ERROR",IF(E4&gt;'Project Assumptions'!$I$42,0,E50-E52))))</f>
        <v>Turned Off</v>
      </c>
      <c r="F54" s="222" t="str">
        <f>IF('Project Assumptions'!$F$38&lt;&gt;"Coverage Ratio","Turned Off",IF(F4&lt;'Project Assumptions'!$I$42+1,F50-F52,IF(AND(F4='Project Assumptions'!$I$42,F50-F52&gt;1),"ERROR",IF(F4&gt;'Project Assumptions'!$I$42,0,F50-F52))))</f>
        <v>Turned Off</v>
      </c>
      <c r="G54" s="222" t="str">
        <f>IF('Project Assumptions'!$F$38&lt;&gt;"Coverage Ratio","Turned Off",IF(G4&lt;'Project Assumptions'!$I$42+1,G50-G52,IF(AND(G4='Project Assumptions'!$I$42,G50-G52&gt;1),"ERROR",IF(G4&gt;'Project Assumptions'!$I$42,0,G50-G52))))</f>
        <v>Turned Off</v>
      </c>
      <c r="H54" s="222" t="str">
        <f>IF('Project Assumptions'!$F$38&lt;&gt;"Coverage Ratio","Turned Off",IF(H4&lt;'Project Assumptions'!$I$42+1,H50-H52,IF(AND(H4='Project Assumptions'!$I$42,H50-H52&gt;1),"ERROR",IF(H4&gt;'Project Assumptions'!$I$42,0,H50-H52))))</f>
        <v>Turned Off</v>
      </c>
      <c r="I54" s="222" t="str">
        <f>IF('Project Assumptions'!$F$38&lt;&gt;"Coverage Ratio","Turned Off",IF(I4&lt;'Project Assumptions'!$I$42+1,I50-I52,IF(AND(I4='Project Assumptions'!$I$42,I50-I52&gt;1),"ERROR",IF(I4&gt;'Project Assumptions'!$I$42,0,I50-I52))))</f>
        <v>Turned Off</v>
      </c>
      <c r="J54" s="222" t="str">
        <f>IF('Project Assumptions'!$F$38&lt;&gt;"Coverage Ratio","Turned Off",IF(J4&lt;'Project Assumptions'!$I$42+1,J50-J52,IF(AND(J4='Project Assumptions'!$I$42,J50-J52&gt;1),"ERROR",IF(J4&gt;'Project Assumptions'!$I$42,0,J50-J52))))</f>
        <v>Turned Off</v>
      </c>
      <c r="K54" s="222" t="str">
        <f>IF('Project Assumptions'!$F$38&lt;&gt;"Coverage Ratio","Turned Off",IF(K4&lt;'Project Assumptions'!$I$42+1,K50-K52,IF(AND(K4='Project Assumptions'!$I$42,K50-K52&gt;1),"ERROR",IF(K4&gt;'Project Assumptions'!$I$42,0,K50-K52))))</f>
        <v>Turned Off</v>
      </c>
      <c r="L54" s="222" t="str">
        <f>IF('Project Assumptions'!$F$38&lt;&gt;"Coverage Ratio","Turned Off",IF(L4&lt;'Project Assumptions'!$I$42+1,L50-L52,IF(AND(L4='Project Assumptions'!$I$42,L50-L52&gt;1),"ERROR",IF(L4&gt;'Project Assumptions'!$I$42,0,L50-L52))))</f>
        <v>Turned Off</v>
      </c>
      <c r="M54" s="222" t="str">
        <f>IF('Project Assumptions'!$F$38&lt;&gt;"Coverage Ratio","Turned Off",IF(M4&lt;'Project Assumptions'!$I$42+1,M50-M52,IF(AND(M4='Project Assumptions'!$I$42,M50-M52&gt;1),"ERROR",IF(M4&gt;'Project Assumptions'!$I$42,0,M50-M52))))</f>
        <v>Turned Off</v>
      </c>
      <c r="N54" s="222" t="str">
        <f>IF('Project Assumptions'!$F$38&lt;&gt;"Coverage Ratio","Turned Off",IF(N4&lt;'Project Assumptions'!$I$42+1,N50-N52,IF(AND(N4='Project Assumptions'!$I$42,N50-N52&gt;1),"ERROR",IF(N4&gt;'Project Assumptions'!$I$42,0,N50-N52))))</f>
        <v>Turned Off</v>
      </c>
      <c r="O54" s="222" t="str">
        <f>IF('Project Assumptions'!$F$38&lt;&gt;"Coverage Ratio","Turned Off",IF(O4&lt;'Project Assumptions'!$I$42+1,O50-O52,IF(AND(O4='Project Assumptions'!$I$42,O50-O52&gt;1),"ERROR",IF(O4&gt;'Project Assumptions'!$I$42,0,O50-O52))))</f>
        <v>Turned Off</v>
      </c>
      <c r="P54" s="222" t="str">
        <f>IF('Project Assumptions'!$F$38&lt;&gt;"Coverage Ratio","Turned Off",IF(P4&lt;'Project Assumptions'!$I$42+1,P50-P52,IF(AND(P4='Project Assumptions'!$I$42,P50-P52&gt;1),"ERROR",IF(P4&gt;'Project Assumptions'!$I$42,0,P50-P52))))</f>
        <v>Turned Off</v>
      </c>
      <c r="Q54" s="222" t="str">
        <f>IF('Project Assumptions'!$F$38&lt;&gt;"Coverage Ratio","Turned Off",IF(Q4&lt;'Project Assumptions'!$I$42+1,Q50-Q52,IF(AND(Q4='Project Assumptions'!$I$42,Q50-Q52&gt;1),"ERROR",IF(Q4&gt;'Project Assumptions'!$I$42,0,Q50-Q52))))</f>
        <v>Turned Off</v>
      </c>
      <c r="R54" s="222" t="str">
        <f>IF('Project Assumptions'!$F$38&lt;&gt;"Coverage Ratio","Turned Off",IF(R4&lt;'Project Assumptions'!$I$42+1,R50-R52,IF(AND(R4='Project Assumptions'!$I$42,R50-R52&gt;1),"ERROR",IF(R4&gt;'Project Assumptions'!$I$42,0,R50-R52))))</f>
        <v>Turned Off</v>
      </c>
      <c r="S54" s="222" t="str">
        <f>IF('Project Assumptions'!$F$38&lt;&gt;"Coverage Ratio","Turned Off",IF(S4&lt;'Project Assumptions'!$I$42+1,S50-S52,IF(AND(S4='Project Assumptions'!$I$42,S50-S52&gt;1),"ERROR",IF(S4&gt;'Project Assumptions'!$I$42,0,S50-S52))))</f>
        <v>Turned Off</v>
      </c>
      <c r="T54"/>
      <c r="U54"/>
      <c r="V54"/>
      <c r="W54"/>
      <c r="X54"/>
      <c r="Y54"/>
      <c r="Z54"/>
      <c r="AA54"/>
      <c r="AB54"/>
    </row>
    <row r="55" spans="1:28" hidden="1">
      <c r="A55" s="207" t="s">
        <v>125</v>
      </c>
      <c r="D55" s="223" t="str">
        <f>IF('Project Assumptions'!$F$38&lt;&gt;"Coverage Ratio","Turned Off",SUMPRODUCT(D4:AB4,D52:AB52)/C28)</f>
        <v>Turned Off</v>
      </c>
      <c r="E55" s="222"/>
      <c r="F55" s="222"/>
      <c r="G55" s="222"/>
      <c r="H55" s="222"/>
      <c r="I55" s="222"/>
      <c r="J55" s="222"/>
      <c r="K55" s="222"/>
      <c r="L55" s="222"/>
      <c r="M55" s="222"/>
      <c r="N55" s="219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</row>
    <row r="56" spans="1:28" hidden="1">
      <c r="C56" s="222"/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</row>
    <row r="57" spans="1:28" hidden="1">
      <c r="C57" s="222"/>
      <c r="D57" s="498"/>
      <c r="E57" s="498"/>
      <c r="F57" s="498"/>
      <c r="G57" s="498"/>
      <c r="H57" s="498"/>
      <c r="I57" s="498"/>
      <c r="J57" s="498"/>
      <c r="K57" s="498"/>
      <c r="L57" s="498"/>
      <c r="M57" s="498"/>
      <c r="N57" s="498"/>
      <c r="O57" s="498"/>
      <c r="P57" s="498"/>
      <c r="Q57" s="498"/>
      <c r="R57" s="498"/>
      <c r="S57" s="498"/>
      <c r="T57" s="222"/>
      <c r="U57" s="222"/>
      <c r="V57" s="222"/>
      <c r="W57" s="222"/>
      <c r="X57" s="222"/>
      <c r="Y57" s="222"/>
      <c r="Z57" s="222"/>
      <c r="AA57" s="222"/>
    </row>
    <row r="58" spans="1:28" hidden="1"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  <c r="AA58" s="222"/>
    </row>
    <row r="59" spans="1:28" hidden="1"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</row>
    <row r="60" spans="1:28" hidden="1"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</row>
    <row r="61" spans="1:28" hidden="1">
      <c r="D61" s="207">
        <v>1</v>
      </c>
      <c r="E61" s="207">
        <f>D61+1</f>
        <v>2</v>
      </c>
      <c r="F61" s="207">
        <f t="shared" ref="F61:S61" si="8">E61+1</f>
        <v>3</v>
      </c>
      <c r="G61" s="207">
        <f t="shared" si="8"/>
        <v>4</v>
      </c>
      <c r="H61" s="207">
        <f t="shared" si="8"/>
        <v>5</v>
      </c>
      <c r="I61" s="207">
        <f t="shared" si="8"/>
        <v>6</v>
      </c>
      <c r="J61" s="207">
        <f>I61+1</f>
        <v>7</v>
      </c>
      <c r="K61" s="207">
        <f t="shared" si="8"/>
        <v>8</v>
      </c>
      <c r="L61" s="207">
        <f t="shared" si="8"/>
        <v>9</v>
      </c>
      <c r="M61" s="207">
        <f t="shared" si="8"/>
        <v>10</v>
      </c>
      <c r="N61" s="207">
        <f t="shared" si="8"/>
        <v>11</v>
      </c>
      <c r="O61" s="207">
        <f t="shared" si="8"/>
        <v>12</v>
      </c>
      <c r="P61" s="207">
        <f t="shared" si="8"/>
        <v>13</v>
      </c>
      <c r="Q61" s="207">
        <f t="shared" si="8"/>
        <v>14</v>
      </c>
      <c r="R61" s="207">
        <f t="shared" si="8"/>
        <v>15</v>
      </c>
      <c r="S61" s="207">
        <f t="shared" si="8"/>
        <v>16</v>
      </c>
      <c r="T61"/>
      <c r="U61"/>
      <c r="V61"/>
      <c r="W61"/>
      <c r="X61"/>
      <c r="Y61"/>
      <c r="Z61"/>
      <c r="AA61"/>
      <c r="AB61"/>
    </row>
    <row r="62" spans="1:28" hidden="1">
      <c r="A62" s="11" t="s">
        <v>190</v>
      </c>
      <c r="B62" s="224"/>
      <c r="C62" s="222"/>
      <c r="D62" s="330">
        <f t="shared" ref="D62:I62" si="9">D5</f>
        <v>2000</v>
      </c>
      <c r="E62" s="330">
        <f t="shared" si="9"/>
        <v>2001</v>
      </c>
      <c r="F62" s="330">
        <f t="shared" si="9"/>
        <v>2002</v>
      </c>
      <c r="G62" s="330">
        <f t="shared" si="9"/>
        <v>2003</v>
      </c>
      <c r="H62" s="330">
        <f t="shared" si="9"/>
        <v>2004</v>
      </c>
      <c r="I62" s="330">
        <f t="shared" si="9"/>
        <v>2005</v>
      </c>
      <c r="J62" s="330">
        <f t="shared" ref="J62:S62" si="10">J5</f>
        <v>2006</v>
      </c>
      <c r="K62" s="330">
        <f t="shared" si="10"/>
        <v>2007</v>
      </c>
      <c r="L62" s="330">
        <f t="shared" si="10"/>
        <v>2008</v>
      </c>
      <c r="M62" s="330">
        <f t="shared" si="10"/>
        <v>2009</v>
      </c>
      <c r="N62" s="330">
        <f t="shared" si="10"/>
        <v>2010</v>
      </c>
      <c r="O62" s="330">
        <f t="shared" si="10"/>
        <v>2011</v>
      </c>
      <c r="P62" s="330">
        <f t="shared" si="10"/>
        <v>2012</v>
      </c>
      <c r="Q62" s="330">
        <f t="shared" si="10"/>
        <v>2013</v>
      </c>
      <c r="R62" s="330">
        <f t="shared" si="10"/>
        <v>2014</v>
      </c>
      <c r="S62" s="330">
        <f t="shared" si="10"/>
        <v>2015</v>
      </c>
      <c r="T62"/>
      <c r="U62"/>
      <c r="V62"/>
      <c r="W62"/>
      <c r="X62"/>
      <c r="Y62"/>
      <c r="Z62"/>
      <c r="AA62"/>
      <c r="AB62"/>
    </row>
    <row r="63" spans="1:28" hidden="1">
      <c r="A63" s="207" t="s">
        <v>60</v>
      </c>
      <c r="B63" s="225"/>
      <c r="D63" s="222">
        <f>IF('Project Assumptions'!$I$39="Mortgage Style",E74,IF('Project Assumptions'!$I$39="Level Principal",E101,'Debt Amortization'!E111))</f>
        <v>113344.92774122291</v>
      </c>
      <c r="E63" s="222">
        <f>IF(E169&gt;'Project Assumptions'!$I$42+1,0,D67)</f>
        <v>110962.50131239486</v>
      </c>
      <c r="F63" s="222">
        <f>IF(F169&gt;'Project Assumptions'!$I$42+1,0,E67)</f>
        <v>105981.08589235827</v>
      </c>
      <c r="G63" s="222">
        <f>IF(G169&gt;'Project Assumptions'!$I$42+1,0,F67)</f>
        <v>100696.30227324145</v>
      </c>
      <c r="H63" s="222">
        <f>IF(H169&gt;'Project Assumptions'!$I$42+1,0,G67)</f>
        <v>95089.675331720427</v>
      </c>
      <c r="I63" s="222">
        <f>IF(I169&gt;'Project Assumptions'!$I$42+1,0,H67)</f>
        <v>89141.604809460769</v>
      </c>
      <c r="J63" s="222">
        <f>IF(J169&gt;'Project Assumptions'!$I$42+1,0,I67)</f>
        <v>82831.2967923955</v>
      </c>
      <c r="K63" s="222">
        <f>IF(K169&gt;'Project Assumptions'!$I$42+1,0,J67)</f>
        <v>76136.691017090954</v>
      </c>
      <c r="L63" s="222">
        <f>IF(L169&gt;'Project Assumptions'!$I$42+1,0,K67)</f>
        <v>69034.383750070367</v>
      </c>
      <c r="M63" s="222">
        <f>IF(M169&gt;'Project Assumptions'!$I$42+1,0,L67)</f>
        <v>61499.545970488223</v>
      </c>
      <c r="N63" s="222">
        <f>IF(N169&gt;'Project Assumptions'!$I$42+1,0,M67)</f>
        <v>53505.836570129526</v>
      </c>
      <c r="O63" s="222">
        <f>IF(O169&gt;'Project Assumptions'!$I$42+1,0,N67)</f>
        <v>45025.31026728898</v>
      </c>
      <c r="P63" s="222">
        <f>IF(P169&gt;'Project Assumptions'!$I$42+1,0,O67)</f>
        <v>36028.319912605453</v>
      </c>
      <c r="Q63" s="222">
        <f>IF(Q169&gt;'Project Assumptions'!$I$42+1,0,P67)</f>
        <v>26483.412845321698</v>
      </c>
      <c r="R63" s="222">
        <f>IF(R169&gt;'Project Assumptions'!$I$42+1,0,Q67)</f>
        <v>16357.220937640359</v>
      </c>
      <c r="S63" s="222">
        <f>IF(S169&gt;'Project Assumptions'!$I$42+1,0,R67)</f>
        <v>5614.3439427812264</v>
      </c>
      <c r="T63"/>
      <c r="U63"/>
      <c r="V63"/>
      <c r="W63"/>
      <c r="X63"/>
      <c r="Y63"/>
      <c r="Z63"/>
      <c r="AA63"/>
      <c r="AB63"/>
    </row>
    <row r="64" spans="1:28" hidden="1">
      <c r="A64" s="207" t="s">
        <v>61</v>
      </c>
      <c r="B64" s="226"/>
      <c r="C64" s="209"/>
      <c r="D64" s="222">
        <f>D91</f>
        <v>3400.3478322366873</v>
      </c>
      <c r="E64" s="222">
        <f t="shared" ref="E64:S64" si="11">E91</f>
        <v>6584.1331020929047</v>
      </c>
      <c r="F64" s="222">
        <f t="shared" si="11"/>
        <v>6280.7649030126759</v>
      </c>
      <c r="G64" s="222">
        <f t="shared" si="11"/>
        <v>5958.921580608463</v>
      </c>
      <c r="H64" s="222">
        <f t="shared" si="11"/>
        <v>5617.4779998698323</v>
      </c>
      <c r="I64" s="222">
        <f t="shared" si="11"/>
        <v>5255.2405050642192</v>
      </c>
      <c r="J64" s="222">
        <f t="shared" si="11"/>
        <v>4870.9427468249451</v>
      </c>
      <c r="K64" s="222">
        <f t="shared" si="11"/>
        <v>4463.2412551088983</v>
      </c>
      <c r="L64" s="222">
        <f t="shared" si="11"/>
        <v>4030.7107425473437</v>
      </c>
      <c r="M64" s="222">
        <f t="shared" si="11"/>
        <v>3571.8391217707917</v>
      </c>
      <c r="N64" s="222">
        <f t="shared" si="11"/>
        <v>3085.0222192889478</v>
      </c>
      <c r="O64" s="222">
        <f t="shared" si="11"/>
        <v>2568.55816744596</v>
      </c>
      <c r="P64" s="222">
        <f t="shared" si="11"/>
        <v>2020.6414548457317</v>
      </c>
      <c r="Q64" s="222">
        <f t="shared" si="11"/>
        <v>1439.3566144481506</v>
      </c>
      <c r="R64" s="222">
        <f t="shared" si="11"/>
        <v>822.67152727035773</v>
      </c>
      <c r="S64" s="222">
        <f t="shared" si="11"/>
        <v>168.43031828343808</v>
      </c>
      <c r="T64"/>
      <c r="U64"/>
      <c r="V64"/>
      <c r="W64"/>
      <c r="X64"/>
      <c r="Y64"/>
      <c r="Z64"/>
      <c r="AA64"/>
      <c r="AB64"/>
    </row>
    <row r="65" spans="1:34" hidden="1">
      <c r="A65" s="207" t="s">
        <v>62</v>
      </c>
      <c r="C65" s="209"/>
      <c r="D65" s="222">
        <f t="shared" ref="D65:S66" si="12">D92</f>
        <v>2382.4264288280574</v>
      </c>
      <c r="E65" s="222">
        <f t="shared" si="12"/>
        <v>4981.4154200365847</v>
      </c>
      <c r="F65" s="222">
        <f t="shared" si="12"/>
        <v>5284.7836191168135</v>
      </c>
      <c r="G65" s="222">
        <f t="shared" si="12"/>
        <v>5606.6269415210263</v>
      </c>
      <c r="H65" s="222">
        <f t="shared" si="12"/>
        <v>5948.0705222596571</v>
      </c>
      <c r="I65" s="222">
        <f t="shared" si="12"/>
        <v>6310.3080170652702</v>
      </c>
      <c r="J65" s="222">
        <f t="shared" si="12"/>
        <v>6694.6057753045443</v>
      </c>
      <c r="K65" s="222">
        <f t="shared" si="12"/>
        <v>7102.3072670205911</v>
      </c>
      <c r="L65" s="222">
        <f t="shared" si="12"/>
        <v>7534.8377795821452</v>
      </c>
      <c r="M65" s="222">
        <f t="shared" si="12"/>
        <v>7993.7094003586972</v>
      </c>
      <c r="N65" s="222">
        <f t="shared" si="12"/>
        <v>8480.5263028405425</v>
      </c>
      <c r="O65" s="222">
        <f t="shared" si="12"/>
        <v>8996.9903546835303</v>
      </c>
      <c r="P65" s="222">
        <f t="shared" si="12"/>
        <v>9544.907067283757</v>
      </c>
      <c r="Q65" s="222">
        <f t="shared" si="12"/>
        <v>10126.191907681339</v>
      </c>
      <c r="R65" s="222">
        <f t="shared" si="12"/>
        <v>10742.876994859133</v>
      </c>
      <c r="S65" s="222">
        <f t="shared" si="12"/>
        <v>5614.3439427813064</v>
      </c>
      <c r="T65"/>
      <c r="U65"/>
      <c r="V65"/>
      <c r="W65"/>
      <c r="X65"/>
      <c r="Y65"/>
      <c r="Z65"/>
      <c r="AA65"/>
      <c r="AB65"/>
    </row>
    <row r="66" spans="1:34" hidden="1">
      <c r="A66" s="207" t="s">
        <v>63</v>
      </c>
      <c r="C66" s="209"/>
      <c r="D66" s="222">
        <f t="shared" si="12"/>
        <v>5782.7742610647447</v>
      </c>
      <c r="E66" s="222">
        <f t="shared" si="12"/>
        <v>11565.548522129489</v>
      </c>
      <c r="F66" s="222">
        <f t="shared" si="12"/>
        <v>11565.548522129489</v>
      </c>
      <c r="G66" s="222">
        <f t="shared" si="12"/>
        <v>11565.548522129489</v>
      </c>
      <c r="H66" s="222">
        <f t="shared" si="12"/>
        <v>11565.548522129489</v>
      </c>
      <c r="I66" s="222">
        <f t="shared" si="12"/>
        <v>11565.548522129489</v>
      </c>
      <c r="J66" s="222">
        <f t="shared" si="12"/>
        <v>11565.548522129489</v>
      </c>
      <c r="K66" s="222">
        <f t="shared" si="12"/>
        <v>11565.548522129489</v>
      </c>
      <c r="L66" s="222">
        <f t="shared" si="12"/>
        <v>11565.548522129489</v>
      </c>
      <c r="M66" s="222">
        <f t="shared" si="12"/>
        <v>11565.548522129489</v>
      </c>
      <c r="N66" s="222">
        <f t="shared" si="12"/>
        <v>11565.548522129489</v>
      </c>
      <c r="O66" s="222">
        <f t="shared" si="12"/>
        <v>11565.548522129489</v>
      </c>
      <c r="P66" s="222">
        <f t="shared" si="12"/>
        <v>11565.548522129488</v>
      </c>
      <c r="Q66" s="222">
        <f t="shared" si="12"/>
        <v>11565.548522129488</v>
      </c>
      <c r="R66" s="222">
        <f t="shared" si="12"/>
        <v>11565.548522129489</v>
      </c>
      <c r="S66" s="222">
        <f t="shared" si="12"/>
        <v>5782.7742610647447</v>
      </c>
      <c r="T66"/>
      <c r="U66"/>
      <c r="V66"/>
      <c r="W66"/>
      <c r="X66"/>
      <c r="Y66"/>
      <c r="Z66"/>
      <c r="AA66"/>
      <c r="AB66"/>
    </row>
    <row r="67" spans="1:34" hidden="1">
      <c r="A67" s="207" t="s">
        <v>64</v>
      </c>
      <c r="D67" s="222">
        <f>D63-D65</f>
        <v>110962.50131239486</v>
      </c>
      <c r="E67" s="222">
        <f t="shared" ref="E67:S67" si="13">E63-E65</f>
        <v>105981.08589235827</v>
      </c>
      <c r="F67" s="222">
        <f t="shared" si="13"/>
        <v>100696.30227324145</v>
      </c>
      <c r="G67" s="222">
        <f t="shared" si="13"/>
        <v>95089.675331720427</v>
      </c>
      <c r="H67" s="222">
        <f t="shared" si="13"/>
        <v>89141.604809460769</v>
      </c>
      <c r="I67" s="222">
        <f t="shared" si="13"/>
        <v>82831.2967923955</v>
      </c>
      <c r="J67" s="222">
        <f t="shared" si="13"/>
        <v>76136.691017090954</v>
      </c>
      <c r="K67" s="222">
        <f t="shared" si="13"/>
        <v>69034.383750070367</v>
      </c>
      <c r="L67" s="222">
        <f t="shared" si="13"/>
        <v>61499.545970488223</v>
      </c>
      <c r="M67" s="222">
        <f t="shared" si="13"/>
        <v>53505.836570129526</v>
      </c>
      <c r="N67" s="222">
        <f t="shared" si="13"/>
        <v>45025.31026728898</v>
      </c>
      <c r="O67" s="222">
        <f t="shared" si="13"/>
        <v>36028.319912605453</v>
      </c>
      <c r="P67" s="222">
        <f t="shared" si="13"/>
        <v>26483.412845321698</v>
      </c>
      <c r="Q67" s="222">
        <f t="shared" si="13"/>
        <v>16357.220937640359</v>
      </c>
      <c r="R67" s="222">
        <f t="shared" si="13"/>
        <v>5614.3439427812264</v>
      </c>
      <c r="S67" s="222">
        <f t="shared" si="13"/>
        <v>-8.0035533756017685E-11</v>
      </c>
      <c r="T67"/>
      <c r="U67"/>
      <c r="V67"/>
      <c r="W67"/>
      <c r="X67"/>
      <c r="Y67"/>
      <c r="Z67"/>
      <c r="AA67"/>
      <c r="AB67"/>
    </row>
    <row r="68" spans="1:34" hidden="1">
      <c r="A68" s="207" t="s">
        <v>125</v>
      </c>
      <c r="D68" s="223">
        <f>SUMPRODUCT(D4:AB4,D65:AB65)/D63</f>
        <v>9.5966575747404192</v>
      </c>
      <c r="E68" s="222"/>
      <c r="F68" s="222"/>
      <c r="G68" s="222"/>
      <c r="H68" s="222"/>
      <c r="I68" s="222"/>
      <c r="J68" s="222"/>
      <c r="K68" s="222"/>
      <c r="L68" s="222"/>
      <c r="M68" s="222"/>
      <c r="N68" s="219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</row>
    <row r="69" spans="1:34" hidden="1"/>
    <row r="70" spans="1:34" hidden="1">
      <c r="E70" s="497"/>
    </row>
    <row r="71" spans="1:34" hidden="1">
      <c r="A71" s="11" t="s">
        <v>412</v>
      </c>
      <c r="C71" s="497">
        <f>'Project Assumptions'!F25</f>
        <v>36769</v>
      </c>
      <c r="D71" s="497">
        <v>36891</v>
      </c>
      <c r="E71" s="497">
        <f>EDATE('Project Assumptions'!F25,6)</f>
        <v>36950</v>
      </c>
      <c r="F71" s="497">
        <f t="shared" ref="F71:AH71" si="14">+EDATE(E71,6)</f>
        <v>37131</v>
      </c>
      <c r="G71" s="497">
        <f t="shared" si="14"/>
        <v>37315</v>
      </c>
      <c r="H71" s="497">
        <f t="shared" si="14"/>
        <v>37496</v>
      </c>
      <c r="I71" s="497">
        <f t="shared" si="14"/>
        <v>37680</v>
      </c>
      <c r="J71" s="497">
        <f t="shared" si="14"/>
        <v>37861</v>
      </c>
      <c r="K71" s="497">
        <f t="shared" si="14"/>
        <v>38045</v>
      </c>
      <c r="L71" s="497">
        <f t="shared" si="14"/>
        <v>38227</v>
      </c>
      <c r="M71" s="497">
        <f t="shared" si="14"/>
        <v>38411</v>
      </c>
      <c r="N71" s="497">
        <f t="shared" si="14"/>
        <v>38592</v>
      </c>
      <c r="O71" s="497">
        <f t="shared" si="14"/>
        <v>38776</v>
      </c>
      <c r="P71" s="497">
        <f t="shared" si="14"/>
        <v>38957</v>
      </c>
      <c r="Q71" s="497">
        <f t="shared" si="14"/>
        <v>39141</v>
      </c>
      <c r="R71" s="497">
        <f t="shared" si="14"/>
        <v>39322</v>
      </c>
      <c r="S71" s="497">
        <f t="shared" si="14"/>
        <v>39506</v>
      </c>
      <c r="T71" s="497">
        <f t="shared" si="14"/>
        <v>39688</v>
      </c>
      <c r="U71" s="497">
        <f t="shared" si="14"/>
        <v>39872</v>
      </c>
      <c r="V71" s="497">
        <f t="shared" si="14"/>
        <v>40053</v>
      </c>
      <c r="W71" s="497">
        <f t="shared" si="14"/>
        <v>40237</v>
      </c>
      <c r="X71" s="497">
        <f t="shared" si="14"/>
        <v>40418</v>
      </c>
      <c r="Y71" s="497">
        <f t="shared" si="14"/>
        <v>40602</v>
      </c>
      <c r="Z71" s="497">
        <f t="shared" si="14"/>
        <v>40783</v>
      </c>
      <c r="AA71" s="497">
        <f t="shared" si="14"/>
        <v>40967</v>
      </c>
      <c r="AB71" s="497">
        <f t="shared" si="14"/>
        <v>41149</v>
      </c>
      <c r="AC71" s="497">
        <f t="shared" si="14"/>
        <v>41333</v>
      </c>
      <c r="AD71" s="497">
        <f t="shared" si="14"/>
        <v>41514</v>
      </c>
      <c r="AE71" s="497">
        <f t="shared" si="14"/>
        <v>41698</v>
      </c>
      <c r="AF71" s="497">
        <f t="shared" si="14"/>
        <v>41879</v>
      </c>
      <c r="AG71" s="497">
        <f t="shared" si="14"/>
        <v>42063</v>
      </c>
      <c r="AH71" s="497">
        <f t="shared" si="14"/>
        <v>42244</v>
      </c>
    </row>
    <row r="72" spans="1:34" hidden="1">
      <c r="D72" s="207">
        <v>2000</v>
      </c>
      <c r="E72" s="207">
        <v>2000</v>
      </c>
      <c r="F72" s="207">
        <v>2001</v>
      </c>
      <c r="G72" s="207">
        <v>2001</v>
      </c>
      <c r="H72" s="207">
        <v>2002</v>
      </c>
      <c r="I72" s="207">
        <f t="shared" ref="I72:AH72" si="15">+IF(H72-E72=1,H72+1,H72)</f>
        <v>2002</v>
      </c>
      <c r="J72" s="207">
        <f>+IF(I72-F72=1,I72+1,I72)</f>
        <v>2003</v>
      </c>
      <c r="K72" s="207">
        <f>+IF(J72-G72=1,J72+1,J72)</f>
        <v>2003</v>
      </c>
      <c r="L72" s="207">
        <f>+IF(K72-H72=1,K72+1,K72)</f>
        <v>2004</v>
      </c>
      <c r="M72" s="207">
        <f>+IF(L72-I72=1,L72+1,L72)</f>
        <v>2004</v>
      </c>
      <c r="N72" s="207">
        <f t="shared" si="15"/>
        <v>2005</v>
      </c>
      <c r="O72" s="207">
        <f t="shared" si="15"/>
        <v>2005</v>
      </c>
      <c r="P72" s="207">
        <f t="shared" si="15"/>
        <v>2006</v>
      </c>
      <c r="Q72" s="207">
        <f t="shared" si="15"/>
        <v>2006</v>
      </c>
      <c r="R72" s="207">
        <f t="shared" si="15"/>
        <v>2007</v>
      </c>
      <c r="S72" s="207">
        <f t="shared" si="15"/>
        <v>2007</v>
      </c>
      <c r="T72" s="207">
        <f t="shared" si="15"/>
        <v>2008</v>
      </c>
      <c r="U72" s="207">
        <f t="shared" si="15"/>
        <v>2008</v>
      </c>
      <c r="V72" s="207">
        <f t="shared" si="15"/>
        <v>2009</v>
      </c>
      <c r="W72" s="207">
        <f t="shared" si="15"/>
        <v>2009</v>
      </c>
      <c r="X72" s="207">
        <f t="shared" si="15"/>
        <v>2010</v>
      </c>
      <c r="Y72" s="207">
        <f t="shared" si="15"/>
        <v>2010</v>
      </c>
      <c r="Z72" s="207">
        <f t="shared" si="15"/>
        <v>2011</v>
      </c>
      <c r="AA72" s="207">
        <f t="shared" si="15"/>
        <v>2011</v>
      </c>
      <c r="AB72" s="207">
        <f t="shared" si="15"/>
        <v>2012</v>
      </c>
      <c r="AC72" s="207">
        <f t="shared" si="15"/>
        <v>2012</v>
      </c>
      <c r="AD72" s="207">
        <f t="shared" si="15"/>
        <v>2013</v>
      </c>
      <c r="AE72" s="207">
        <f t="shared" si="15"/>
        <v>2013</v>
      </c>
      <c r="AF72" s="207">
        <f t="shared" si="15"/>
        <v>2014</v>
      </c>
      <c r="AG72" s="207">
        <f t="shared" si="15"/>
        <v>2014</v>
      </c>
      <c r="AH72" s="207">
        <f t="shared" si="15"/>
        <v>2015</v>
      </c>
    </row>
    <row r="73" spans="1:34" hidden="1">
      <c r="A73" s="294" t="s">
        <v>413</v>
      </c>
      <c r="E73" s="207">
        <v>1</v>
      </c>
      <c r="F73" s="207">
        <f t="shared" ref="F73:AG73" si="16">E73+1</f>
        <v>2</v>
      </c>
      <c r="G73" s="207">
        <f t="shared" si="16"/>
        <v>3</v>
      </c>
      <c r="H73" s="207">
        <f t="shared" si="16"/>
        <v>4</v>
      </c>
      <c r="I73" s="207">
        <f t="shared" si="16"/>
        <v>5</v>
      </c>
      <c r="J73" s="207">
        <f>I73+1</f>
        <v>6</v>
      </c>
      <c r="K73" s="207">
        <f t="shared" si="16"/>
        <v>7</v>
      </c>
      <c r="L73" s="207">
        <f t="shared" si="16"/>
        <v>8</v>
      </c>
      <c r="M73" s="207">
        <f t="shared" si="16"/>
        <v>9</v>
      </c>
      <c r="N73" s="207">
        <f t="shared" si="16"/>
        <v>10</v>
      </c>
      <c r="O73" s="207">
        <f t="shared" si="16"/>
        <v>11</v>
      </c>
      <c r="P73" s="207">
        <f t="shared" si="16"/>
        <v>12</v>
      </c>
      <c r="Q73" s="207">
        <f t="shared" si="16"/>
        <v>13</v>
      </c>
      <c r="R73" s="207">
        <f t="shared" si="16"/>
        <v>14</v>
      </c>
      <c r="S73" s="207">
        <f t="shared" si="16"/>
        <v>15</v>
      </c>
      <c r="T73" s="207">
        <f t="shared" si="16"/>
        <v>16</v>
      </c>
      <c r="U73" s="207">
        <f t="shared" si="16"/>
        <v>17</v>
      </c>
      <c r="V73" s="207">
        <f t="shared" si="16"/>
        <v>18</v>
      </c>
      <c r="W73" s="207">
        <f t="shared" si="16"/>
        <v>19</v>
      </c>
      <c r="X73" s="207">
        <f t="shared" si="16"/>
        <v>20</v>
      </c>
      <c r="Y73" s="207">
        <f t="shared" si="16"/>
        <v>21</v>
      </c>
      <c r="Z73" s="207">
        <f t="shared" si="16"/>
        <v>22</v>
      </c>
      <c r="AA73" s="207">
        <f t="shared" si="16"/>
        <v>23</v>
      </c>
      <c r="AB73" s="207">
        <f t="shared" si="16"/>
        <v>24</v>
      </c>
      <c r="AC73" s="207">
        <f t="shared" si="16"/>
        <v>25</v>
      </c>
      <c r="AD73" s="207">
        <f t="shared" si="16"/>
        <v>26</v>
      </c>
      <c r="AE73" s="207">
        <f t="shared" si="16"/>
        <v>27</v>
      </c>
      <c r="AF73" s="207">
        <f t="shared" si="16"/>
        <v>28</v>
      </c>
      <c r="AG73" s="207">
        <f t="shared" si="16"/>
        <v>29</v>
      </c>
      <c r="AH73" s="207">
        <f>AG73+1</f>
        <v>30</v>
      </c>
    </row>
    <row r="74" spans="1:34" hidden="1">
      <c r="A74" s="207" t="s">
        <v>60</v>
      </c>
      <c r="C74" s="497"/>
      <c r="D74" s="222"/>
      <c r="E74" s="222">
        <f>IDC!W36</f>
        <v>113344.92774122291</v>
      </c>
      <c r="F74" s="209">
        <f t="shared" ref="F74:AH74" si="17">E78</f>
        <v>110962.50131239486</v>
      </c>
      <c r="G74" s="209">
        <f t="shared" si="17"/>
        <v>108508.60209070196</v>
      </c>
      <c r="H74" s="209">
        <f t="shared" si="17"/>
        <v>105981.08589235827</v>
      </c>
      <c r="I74" s="209">
        <f t="shared" si="17"/>
        <v>103377.74420806428</v>
      </c>
      <c r="J74" s="209">
        <f>I78</f>
        <v>100696.30227324147</v>
      </c>
      <c r="K74" s="209">
        <f t="shared" si="17"/>
        <v>97934.417080373969</v>
      </c>
      <c r="L74" s="209">
        <f t="shared" si="17"/>
        <v>95089.675331720442</v>
      </c>
      <c r="M74" s="209">
        <f t="shared" si="17"/>
        <v>92159.591330607305</v>
      </c>
      <c r="N74" s="209">
        <f t="shared" si="17"/>
        <v>89141.604809460783</v>
      </c>
      <c r="O74" s="209">
        <f t="shared" si="17"/>
        <v>86033.078692679861</v>
      </c>
      <c r="P74" s="209">
        <f t="shared" si="17"/>
        <v>82831.296792395515</v>
      </c>
      <c r="Q74" s="209">
        <f t="shared" si="17"/>
        <v>79533.461435102639</v>
      </c>
      <c r="R74" s="209">
        <f t="shared" si="17"/>
        <v>76136.691017090969</v>
      </c>
      <c r="S74" s="209">
        <f t="shared" si="17"/>
        <v>72638.017486538956</v>
      </c>
      <c r="T74" s="209">
        <f t="shared" si="17"/>
        <v>69034.383750070381</v>
      </c>
      <c r="U74" s="209">
        <f t="shared" si="17"/>
        <v>65322.641001507749</v>
      </c>
      <c r="V74" s="209">
        <f t="shared" si="17"/>
        <v>61499.545970488238</v>
      </c>
      <c r="W74" s="209">
        <f t="shared" si="17"/>
        <v>57561.758088538139</v>
      </c>
      <c r="X74" s="209">
        <f t="shared" si="17"/>
        <v>53505.836570129541</v>
      </c>
      <c r="Y74" s="209">
        <f t="shared" si="17"/>
        <v>49328.237406168686</v>
      </c>
      <c r="Z74" s="209">
        <f t="shared" si="17"/>
        <v>45025.310267289002</v>
      </c>
      <c r="AA74" s="209">
        <f t="shared" si="17"/>
        <v>40593.295314242932</v>
      </c>
      <c r="AB74" s="209">
        <f t="shared" si="17"/>
        <v>36028.319912605475</v>
      </c>
      <c r="AC74" s="209">
        <f t="shared" si="17"/>
        <v>31326.395248918896</v>
      </c>
      <c r="AD74" s="209">
        <f t="shared" si="17"/>
        <v>26483.41284532172</v>
      </c>
      <c r="AE74" s="209">
        <f t="shared" si="17"/>
        <v>21495.14096961663</v>
      </c>
      <c r="AF74" s="209">
        <f t="shared" si="17"/>
        <v>16357.220937640384</v>
      </c>
      <c r="AG74" s="209">
        <f t="shared" si="17"/>
        <v>11065.163304704853</v>
      </c>
      <c r="AH74" s="209">
        <f t="shared" si="17"/>
        <v>5614.3439427812536</v>
      </c>
    </row>
    <row r="75" spans="1:34" hidden="1">
      <c r="A75" s="207" t="s">
        <v>61</v>
      </c>
      <c r="B75" s="225"/>
      <c r="D75" s="222"/>
      <c r="E75" s="222">
        <f t="shared" ref="E75:AH75" si="18">-IPMT($D$22/2,E73,15*2,$E$74)</f>
        <v>3400.3478322366873</v>
      </c>
      <c r="F75" s="222">
        <f t="shared" si="18"/>
        <v>3328.8750393718451</v>
      </c>
      <c r="G75" s="222">
        <f t="shared" si="18"/>
        <v>3255.2580627210591</v>
      </c>
      <c r="H75" s="222">
        <f t="shared" si="18"/>
        <v>3179.4325767707478</v>
      </c>
      <c r="I75" s="222">
        <f t="shared" si="18"/>
        <v>3101.3323262419281</v>
      </c>
      <c r="J75" s="222">
        <f t="shared" si="18"/>
        <v>3020.8890681972434</v>
      </c>
      <c r="K75" s="222">
        <f t="shared" si="18"/>
        <v>2938.0325124112192</v>
      </c>
      <c r="L75" s="222">
        <f t="shared" si="18"/>
        <v>2852.6902599516134</v>
      </c>
      <c r="M75" s="222">
        <f t="shared" si="18"/>
        <v>2764.7877399182189</v>
      </c>
      <c r="N75" s="222">
        <f t="shared" si="18"/>
        <v>2674.2481442838234</v>
      </c>
      <c r="O75" s="222">
        <f t="shared" si="18"/>
        <v>2580.9923607803958</v>
      </c>
      <c r="P75" s="222">
        <f t="shared" si="18"/>
        <v>2484.9389037718652</v>
      </c>
      <c r="Q75" s="222">
        <f t="shared" si="18"/>
        <v>2386.0038430530794</v>
      </c>
      <c r="R75" s="222">
        <f t="shared" si="18"/>
        <v>2284.1007305127291</v>
      </c>
      <c r="S75" s="222">
        <f t="shared" si="18"/>
        <v>2179.1405245961687</v>
      </c>
      <c r="T75" s="222">
        <f t="shared" si="18"/>
        <v>2071.0315125021111</v>
      </c>
      <c r="U75" s="222">
        <f t="shared" si="18"/>
        <v>1959.6792300452325</v>
      </c>
      <c r="V75" s="222">
        <f t="shared" si="18"/>
        <v>1844.9863791146479</v>
      </c>
      <c r="W75" s="222">
        <f t="shared" si="18"/>
        <v>1726.8527426561438</v>
      </c>
      <c r="X75" s="222">
        <f t="shared" si="18"/>
        <v>1605.1750971038875</v>
      </c>
      <c r="Y75" s="222">
        <f t="shared" si="18"/>
        <v>1479.8471221850605</v>
      </c>
      <c r="Z75" s="222">
        <f t="shared" si="18"/>
        <v>1350.7593080186716</v>
      </c>
      <c r="AA75" s="222">
        <f t="shared" si="18"/>
        <v>1217.7988594272883</v>
      </c>
      <c r="AB75" s="222">
        <f t="shared" si="18"/>
        <v>1080.8495973781635</v>
      </c>
      <c r="AC75" s="222">
        <f t="shared" si="18"/>
        <v>939.79185746756821</v>
      </c>
      <c r="AD75" s="222">
        <f t="shared" si="18"/>
        <v>794.50238535965264</v>
      </c>
      <c r="AE75" s="222">
        <f t="shared" si="18"/>
        <v>644.85422908849785</v>
      </c>
      <c r="AF75" s="222">
        <f t="shared" si="18"/>
        <v>490.71662812921215</v>
      </c>
      <c r="AG75" s="222">
        <f t="shared" si="18"/>
        <v>331.95489914114557</v>
      </c>
      <c r="AH75" s="222">
        <f t="shared" si="18"/>
        <v>168.43031828343808</v>
      </c>
    </row>
    <row r="76" spans="1:34" hidden="1">
      <c r="A76" s="207" t="s">
        <v>62</v>
      </c>
      <c r="B76" s="225"/>
      <c r="D76" s="222"/>
      <c r="E76" s="222">
        <f t="shared" ref="E76:AH76" si="19">-PPMT($D$22/2,E73,15*2,$E$74)</f>
        <v>2382.4264288280574</v>
      </c>
      <c r="F76" s="222">
        <f t="shared" si="19"/>
        <v>2453.8992216928996</v>
      </c>
      <c r="G76" s="222">
        <f t="shared" si="19"/>
        <v>2527.5161983436856</v>
      </c>
      <c r="H76" s="222">
        <f t="shared" si="19"/>
        <v>2603.3416842939969</v>
      </c>
      <c r="I76" s="222">
        <f t="shared" si="19"/>
        <v>2681.4419348228166</v>
      </c>
      <c r="J76" s="222">
        <f t="shared" si="19"/>
        <v>2761.8851928675012</v>
      </c>
      <c r="K76" s="222">
        <f t="shared" si="19"/>
        <v>2844.7417486535255</v>
      </c>
      <c r="L76" s="222">
        <f t="shared" si="19"/>
        <v>2930.0840011131313</v>
      </c>
      <c r="M76" s="222">
        <f t="shared" si="19"/>
        <v>3017.9865211465258</v>
      </c>
      <c r="N76" s="222">
        <f t="shared" si="19"/>
        <v>3108.5261167809213</v>
      </c>
      <c r="O76" s="222">
        <f t="shared" si="19"/>
        <v>3201.7819002843489</v>
      </c>
      <c r="P76" s="222">
        <f t="shared" si="19"/>
        <v>3297.8353572928795</v>
      </c>
      <c r="Q76" s="222">
        <f t="shared" si="19"/>
        <v>3396.7704180116652</v>
      </c>
      <c r="R76" s="222">
        <f t="shared" si="19"/>
        <v>3498.6735305520156</v>
      </c>
      <c r="S76" s="222">
        <f t="shared" si="19"/>
        <v>3603.633736468576</v>
      </c>
      <c r="T76" s="222">
        <f t="shared" si="19"/>
        <v>3711.7427485626336</v>
      </c>
      <c r="U76" s="222">
        <f t="shared" si="19"/>
        <v>3823.0950310195121</v>
      </c>
      <c r="V76" s="222">
        <f t="shared" si="19"/>
        <v>3937.7878819500966</v>
      </c>
      <c r="W76" s="222">
        <f t="shared" si="19"/>
        <v>4055.9215184086006</v>
      </c>
      <c r="X76" s="222">
        <f t="shared" si="19"/>
        <v>4177.5991639608574</v>
      </c>
      <c r="Y76" s="222">
        <f t="shared" si="19"/>
        <v>4302.9271388796842</v>
      </c>
      <c r="Z76" s="222">
        <f t="shared" si="19"/>
        <v>4432.0149530460731</v>
      </c>
      <c r="AA76" s="222">
        <f t="shared" si="19"/>
        <v>4564.9754016374563</v>
      </c>
      <c r="AB76" s="222">
        <f t="shared" si="19"/>
        <v>4701.924663686581</v>
      </c>
      <c r="AC76" s="222">
        <f t="shared" si="19"/>
        <v>4842.982403597176</v>
      </c>
      <c r="AD76" s="222">
        <f t="shared" si="19"/>
        <v>4988.2718757050916</v>
      </c>
      <c r="AE76" s="222">
        <f t="shared" si="19"/>
        <v>5137.9200319762467</v>
      </c>
      <c r="AF76" s="222">
        <f t="shared" si="19"/>
        <v>5292.0576329355326</v>
      </c>
      <c r="AG76" s="222">
        <f t="shared" si="19"/>
        <v>5450.819361923599</v>
      </c>
      <c r="AH76" s="222">
        <f t="shared" si="19"/>
        <v>5614.3439427813064</v>
      </c>
    </row>
    <row r="77" spans="1:34" hidden="1">
      <c r="A77" s="207" t="s">
        <v>63</v>
      </c>
      <c r="B77" s="225"/>
      <c r="D77" s="222"/>
      <c r="E77" s="222">
        <f>SUM(E75:E76)</f>
        <v>5782.7742610647447</v>
      </c>
      <c r="F77" s="222">
        <f t="shared" ref="F77:AH77" si="20">SUM(F75:F76)</f>
        <v>5782.7742610647447</v>
      </c>
      <c r="G77" s="222">
        <f t="shared" si="20"/>
        <v>5782.7742610647447</v>
      </c>
      <c r="H77" s="222">
        <f t="shared" si="20"/>
        <v>5782.7742610647447</v>
      </c>
      <c r="I77" s="222">
        <f t="shared" si="20"/>
        <v>5782.7742610647447</v>
      </c>
      <c r="J77" s="222">
        <f t="shared" si="20"/>
        <v>5782.7742610647447</v>
      </c>
      <c r="K77" s="222">
        <f t="shared" si="20"/>
        <v>5782.7742610647447</v>
      </c>
      <c r="L77" s="222">
        <f t="shared" si="20"/>
        <v>5782.7742610647447</v>
      </c>
      <c r="M77" s="222">
        <f t="shared" si="20"/>
        <v>5782.7742610647447</v>
      </c>
      <c r="N77" s="222">
        <f t="shared" si="20"/>
        <v>5782.7742610647447</v>
      </c>
      <c r="O77" s="222">
        <f t="shared" si="20"/>
        <v>5782.7742610647447</v>
      </c>
      <c r="P77" s="222">
        <f t="shared" si="20"/>
        <v>5782.7742610647447</v>
      </c>
      <c r="Q77" s="222">
        <f t="shared" si="20"/>
        <v>5782.7742610647447</v>
      </c>
      <c r="R77" s="222">
        <f t="shared" si="20"/>
        <v>5782.7742610647447</v>
      </c>
      <c r="S77" s="222">
        <f t="shared" si="20"/>
        <v>5782.7742610647447</v>
      </c>
      <c r="T77" s="222">
        <f t="shared" si="20"/>
        <v>5782.7742610647447</v>
      </c>
      <c r="U77" s="222">
        <f t="shared" si="20"/>
        <v>5782.7742610647447</v>
      </c>
      <c r="V77" s="222">
        <f t="shared" si="20"/>
        <v>5782.7742610647447</v>
      </c>
      <c r="W77" s="222">
        <f t="shared" si="20"/>
        <v>5782.7742610647447</v>
      </c>
      <c r="X77" s="222">
        <f t="shared" si="20"/>
        <v>5782.7742610647447</v>
      </c>
      <c r="Y77" s="222">
        <f t="shared" si="20"/>
        <v>5782.7742610647447</v>
      </c>
      <c r="Z77" s="222">
        <f t="shared" si="20"/>
        <v>5782.7742610647447</v>
      </c>
      <c r="AA77" s="222">
        <f t="shared" si="20"/>
        <v>5782.7742610647447</v>
      </c>
      <c r="AB77" s="222">
        <f t="shared" si="20"/>
        <v>5782.7742610647447</v>
      </c>
      <c r="AC77" s="222">
        <f t="shared" si="20"/>
        <v>5782.7742610647438</v>
      </c>
      <c r="AD77" s="222">
        <f t="shared" si="20"/>
        <v>5782.7742610647438</v>
      </c>
      <c r="AE77" s="222">
        <f t="shared" si="20"/>
        <v>5782.7742610647447</v>
      </c>
      <c r="AF77" s="222">
        <f t="shared" si="20"/>
        <v>5782.7742610647447</v>
      </c>
      <c r="AG77" s="222">
        <f t="shared" si="20"/>
        <v>5782.7742610647447</v>
      </c>
      <c r="AH77" s="222">
        <f t="shared" si="20"/>
        <v>5782.7742610647447</v>
      </c>
    </row>
    <row r="78" spans="1:34" ht="12.6" hidden="1" customHeight="1">
      <c r="A78" s="207" t="s">
        <v>64</v>
      </c>
      <c r="D78" s="209"/>
      <c r="E78" s="209">
        <f t="shared" ref="E78:AG78" si="21">E74-E76</f>
        <v>110962.50131239486</v>
      </c>
      <c r="F78" s="209">
        <f t="shared" si="21"/>
        <v>108508.60209070196</v>
      </c>
      <c r="G78" s="209">
        <f t="shared" si="21"/>
        <v>105981.08589235827</v>
      </c>
      <c r="H78" s="209">
        <f t="shared" si="21"/>
        <v>103377.74420806428</v>
      </c>
      <c r="I78" s="209">
        <f t="shared" si="21"/>
        <v>100696.30227324147</v>
      </c>
      <c r="J78" s="209">
        <f t="shared" si="21"/>
        <v>97934.417080373969</v>
      </c>
      <c r="K78" s="209">
        <f t="shared" si="21"/>
        <v>95089.675331720442</v>
      </c>
      <c r="L78" s="209">
        <f t="shared" si="21"/>
        <v>92159.591330607305</v>
      </c>
      <c r="M78" s="209">
        <f t="shared" si="21"/>
        <v>89141.604809460783</v>
      </c>
      <c r="N78" s="209">
        <f t="shared" si="21"/>
        <v>86033.078692679861</v>
      </c>
      <c r="O78" s="209">
        <f t="shared" si="21"/>
        <v>82831.296792395515</v>
      </c>
      <c r="P78" s="209">
        <f t="shared" si="21"/>
        <v>79533.461435102639</v>
      </c>
      <c r="Q78" s="209">
        <f t="shared" si="21"/>
        <v>76136.691017090969</v>
      </c>
      <c r="R78" s="209">
        <f t="shared" si="21"/>
        <v>72638.017486538956</v>
      </c>
      <c r="S78" s="209">
        <f t="shared" si="21"/>
        <v>69034.383750070381</v>
      </c>
      <c r="T78" s="209">
        <f t="shared" si="21"/>
        <v>65322.641001507749</v>
      </c>
      <c r="U78" s="209">
        <f t="shared" si="21"/>
        <v>61499.545970488238</v>
      </c>
      <c r="V78" s="209">
        <f t="shared" si="21"/>
        <v>57561.758088538139</v>
      </c>
      <c r="W78" s="209">
        <f t="shared" si="21"/>
        <v>53505.836570129541</v>
      </c>
      <c r="X78" s="209">
        <f t="shared" si="21"/>
        <v>49328.237406168686</v>
      </c>
      <c r="Y78" s="209">
        <f t="shared" si="21"/>
        <v>45025.310267289002</v>
      </c>
      <c r="Z78" s="209">
        <f t="shared" si="21"/>
        <v>40593.295314242932</v>
      </c>
      <c r="AA78" s="209">
        <f t="shared" si="21"/>
        <v>36028.319912605475</v>
      </c>
      <c r="AB78" s="209">
        <f t="shared" si="21"/>
        <v>31326.395248918896</v>
      </c>
      <c r="AC78" s="209">
        <f t="shared" si="21"/>
        <v>26483.41284532172</v>
      </c>
      <c r="AD78" s="209">
        <f t="shared" si="21"/>
        <v>21495.14096961663</v>
      </c>
      <c r="AE78" s="209">
        <f t="shared" si="21"/>
        <v>16357.220937640384</v>
      </c>
      <c r="AF78" s="209">
        <f t="shared" si="21"/>
        <v>11065.163304704853</v>
      </c>
      <c r="AG78" s="209">
        <f t="shared" si="21"/>
        <v>5614.3439427812536</v>
      </c>
      <c r="AH78" s="209">
        <f>AH74-AH76</f>
        <v>-5.2750692702829838E-11</v>
      </c>
    </row>
    <row r="79" spans="1:34" ht="12.6" hidden="1" customHeight="1"/>
    <row r="80" spans="1:34" ht="12.6" hidden="1" customHeight="1"/>
    <row r="81" spans="1:19" ht="12.6" hidden="1" customHeight="1">
      <c r="A81" s="294" t="s">
        <v>414</v>
      </c>
      <c r="D81" s="330">
        <f>YEAR(D71)</f>
        <v>2000</v>
      </c>
      <c r="E81" s="330">
        <f>YEAR(E71)</f>
        <v>2001</v>
      </c>
      <c r="F81" s="330">
        <f>E81+1</f>
        <v>2002</v>
      </c>
      <c r="G81" s="330">
        <f t="shared" ref="G81:S81" si="22">F81+1</f>
        <v>2003</v>
      </c>
      <c r="H81" s="330">
        <f t="shared" si="22"/>
        <v>2004</v>
      </c>
      <c r="I81" s="330">
        <f t="shared" si="22"/>
        <v>2005</v>
      </c>
      <c r="J81" s="330">
        <f t="shared" si="22"/>
        <v>2006</v>
      </c>
      <c r="K81" s="330">
        <f t="shared" si="22"/>
        <v>2007</v>
      </c>
      <c r="L81" s="330">
        <f t="shared" si="22"/>
        <v>2008</v>
      </c>
      <c r="M81" s="330">
        <f t="shared" si="22"/>
        <v>2009</v>
      </c>
      <c r="N81" s="330">
        <f t="shared" si="22"/>
        <v>2010</v>
      </c>
      <c r="O81" s="330">
        <f t="shared" si="22"/>
        <v>2011</v>
      </c>
      <c r="P81" s="330">
        <f t="shared" si="22"/>
        <v>2012</v>
      </c>
      <c r="Q81" s="330">
        <f t="shared" si="22"/>
        <v>2013</v>
      </c>
      <c r="R81" s="330">
        <f t="shared" si="22"/>
        <v>2014</v>
      </c>
      <c r="S81" s="330">
        <f t="shared" si="22"/>
        <v>2015</v>
      </c>
    </row>
    <row r="82" spans="1:19" ht="12.6" hidden="1" customHeight="1">
      <c r="A82" s="207" t="s">
        <v>60</v>
      </c>
      <c r="D82" s="209">
        <f>E74</f>
        <v>113344.92774122291</v>
      </c>
      <c r="E82" s="209">
        <f>D86</f>
        <v>111756.64345533754</v>
      </c>
      <c r="F82" s="209">
        <f t="shared" ref="F82:S82" si="23">E86</f>
        <v>106823.59129180617</v>
      </c>
      <c r="G82" s="209">
        <f t="shared" si="23"/>
        <v>101590.11625151573</v>
      </c>
      <c r="H82" s="209">
        <f t="shared" si="23"/>
        <v>96037.922581271618</v>
      </c>
      <c r="I82" s="209">
        <f t="shared" si="23"/>
        <v>90147.600316509634</v>
      </c>
      <c r="J82" s="209">
        <f t="shared" si="23"/>
        <v>83898.557425823645</v>
      </c>
      <c r="K82" s="209">
        <f t="shared" si="23"/>
        <v>77268.947823094873</v>
      </c>
      <c r="L82" s="209">
        <f t="shared" si="23"/>
        <v>70235.594995559921</v>
      </c>
      <c r="M82" s="209">
        <f t="shared" si="23"/>
        <v>62773.910980828085</v>
      </c>
      <c r="N82" s="209">
        <f t="shared" si="23"/>
        <v>54857.810409599086</v>
      </c>
      <c r="O82" s="209">
        <f t="shared" si="23"/>
        <v>46459.61931358224</v>
      </c>
      <c r="P82" s="209">
        <f t="shared" si="23"/>
        <v>37549.978379817971</v>
      </c>
      <c r="Q82" s="209">
        <f t="shared" si="23"/>
        <v>28097.740313187453</v>
      </c>
      <c r="R82" s="209">
        <f t="shared" si="23"/>
        <v>18069.860948299138</v>
      </c>
      <c r="S82" s="209">
        <f t="shared" si="23"/>
        <v>7431.2837300891242</v>
      </c>
    </row>
    <row r="83" spans="1:19" ht="12.6" hidden="1" customHeight="1">
      <c r="A83" s="207" t="s">
        <v>61</v>
      </c>
      <c r="D83" s="222">
        <f>E75*4/6</f>
        <v>2266.8985548244582</v>
      </c>
      <c r="E83" s="222">
        <f>(E75*2/6)+F75+(G75*4/6)</f>
        <v>6632.4963585981131</v>
      </c>
      <c r="F83" s="222">
        <f>(G75*(2/6))+H75+(I75*4/6)</f>
        <v>6332.0734818390529</v>
      </c>
      <c r="G83" s="222">
        <f>(I75*(2/6))+J75+(K75*4/6)</f>
        <v>6013.3548518853659</v>
      </c>
      <c r="H83" s="222">
        <f>(K75*(2/6))+L75+(M75*4/6)</f>
        <v>5675.2262573674989</v>
      </c>
      <c r="I83" s="222">
        <f>(M75*(2/6))+N75+(O75*4/6)</f>
        <v>5316.5056314434933</v>
      </c>
      <c r="J83" s="222">
        <f>(O75*(2/6))+P75+(Q75*4/6)</f>
        <v>4935.9389194007172</v>
      </c>
      <c r="K83" s="222">
        <f>(Q75*(2/6))+R75+(S75*4/6)</f>
        <v>4532.1956945945349</v>
      </c>
      <c r="L83" s="222">
        <f>(S75*(2/6))+T75+(U75*4/6)</f>
        <v>4103.8645073976559</v>
      </c>
      <c r="M83" s="222">
        <f>(U75*(2/6))+V75+(W75*4/6)</f>
        <v>3649.4479509004877</v>
      </c>
      <c r="N83" s="222">
        <f>(W75*(2/6))+X75+(Y75*4/6)</f>
        <v>3167.3574261126423</v>
      </c>
      <c r="O83" s="222">
        <f>(Y75*(2/6))+Z75+(AA75*4/6)</f>
        <v>2655.9075883652172</v>
      </c>
      <c r="P83" s="222">
        <f>(AA75*(2/6))+AB75+(AC75*4/6)</f>
        <v>2113.3104554989718</v>
      </c>
      <c r="Q83" s="222">
        <f>(AC75*(2/6))+AD75+(AE75*4/6)</f>
        <v>1537.6691572411737</v>
      </c>
      <c r="R83" s="222">
        <f>(AE75*(2/6))+AF75+(AG75*4/6)</f>
        <v>926.97130391947508</v>
      </c>
      <c r="S83" s="222">
        <f>(AG75*(2/6))+AH75+(AI75*4/6)</f>
        <v>279.08195133048662</v>
      </c>
    </row>
    <row r="84" spans="1:19" ht="12.6" hidden="1" customHeight="1">
      <c r="A84" s="207" t="s">
        <v>62</v>
      </c>
      <c r="D84" s="222">
        <f>E76*4/6</f>
        <v>1588.2842858853717</v>
      </c>
      <c r="E84" s="222">
        <f>(E76*2/6)+F76+(G76*4/6)</f>
        <v>4933.0521635313762</v>
      </c>
      <c r="F84" s="222">
        <f>(G76*(2/6))+H76+(I76*4/6)</f>
        <v>5233.4750402904365</v>
      </c>
      <c r="G84" s="222">
        <f>(I76*(2/6))+J76+(K76*4/6)</f>
        <v>5552.1936702441235</v>
      </c>
      <c r="H84" s="222">
        <f>(K76*(2/6))+L76+(M76*4/6)</f>
        <v>5890.3222647619905</v>
      </c>
      <c r="I84" s="222">
        <f>(M76*(2/6))+N76+(O76*4/6)</f>
        <v>6249.0428906859961</v>
      </c>
      <c r="J84" s="222">
        <f>(O76*(2/6))+P76+(Q76*4/6)</f>
        <v>6629.6096027287731</v>
      </c>
      <c r="K84" s="222">
        <f>(Q76*(2/6))+R76+(S76*4/6)</f>
        <v>7033.3528275349545</v>
      </c>
      <c r="L84" s="222">
        <f>(S76*(2/6))+T76+(U76*4/6)</f>
        <v>7461.6840147318344</v>
      </c>
      <c r="M84" s="222">
        <f>(U76*(2/6))+V76+(W76*4/6)</f>
        <v>7916.1005712290007</v>
      </c>
      <c r="N84" s="222">
        <f>(W76*(2/6))+X76+(Y76*4/6)</f>
        <v>8398.1910960168461</v>
      </c>
      <c r="O84" s="222">
        <f>(Y76*(2/6))+Z76+(AA76*4/6)</f>
        <v>8909.6409337642726</v>
      </c>
      <c r="P84" s="222">
        <f>(AA76*(2/6))+AB76+(AC76*4/6)</f>
        <v>9452.238066630518</v>
      </c>
      <c r="Q84" s="222">
        <f>(AC76*(2/6))+AD76+(AE76*4/6)</f>
        <v>10027.879364888315</v>
      </c>
      <c r="R84" s="222">
        <f>(AE76*(2/6))+AF76+(AG76*4/6)</f>
        <v>10638.577218210014</v>
      </c>
      <c r="S84" s="222">
        <f>(AG76*(2/6))+AH76+(AI76*4/6)</f>
        <v>7431.2837300891724</v>
      </c>
    </row>
    <row r="85" spans="1:19" ht="12.6" hidden="1" customHeight="1">
      <c r="A85" s="207" t="s">
        <v>63</v>
      </c>
      <c r="D85" s="222">
        <f>E77*4/6</f>
        <v>3855.1828407098296</v>
      </c>
      <c r="E85" s="222">
        <f>(E77*2/6)+F77+(G77*4/6)</f>
        <v>11565.548522129489</v>
      </c>
      <c r="F85" s="222">
        <f>(G77*(2/6))+H77+(I77*4/6)</f>
        <v>11565.548522129489</v>
      </c>
      <c r="G85" s="222">
        <f>(I77*(2/6))+J77+(K77*4/6)</f>
        <v>11565.548522129489</v>
      </c>
      <c r="H85" s="222">
        <f>(K77*(2/6))+L77+(M77*4/6)</f>
        <v>11565.548522129489</v>
      </c>
      <c r="I85" s="222">
        <f>(M77*(2/6))+N77+(O77*4/6)</f>
        <v>11565.548522129489</v>
      </c>
      <c r="J85" s="222">
        <f>(O77*(2/6))+P77+(Q77*4/6)</f>
        <v>11565.548522129489</v>
      </c>
      <c r="K85" s="222">
        <f>(Q77*(2/6))+R77+(S77*4/6)</f>
        <v>11565.548522129489</v>
      </c>
      <c r="L85" s="222">
        <f>(S77*(2/6))+T77+(U77*4/6)</f>
        <v>11565.548522129489</v>
      </c>
      <c r="M85" s="222">
        <f>(U77*(2/6))+V77+(W77*4/6)</f>
        <v>11565.548522129489</v>
      </c>
      <c r="N85" s="222">
        <f>(W77*(2/6))+X77+(Y77*4/6)</f>
        <v>11565.548522129489</v>
      </c>
      <c r="O85" s="222">
        <f>(Y77*(2/6))+Z77+(AA77*4/6)</f>
        <v>11565.548522129489</v>
      </c>
      <c r="P85" s="222">
        <f>(AA77*(2/6))+AB77+(AC77*4/6)</f>
        <v>11565.548522129488</v>
      </c>
      <c r="Q85" s="222">
        <f>(AC77*(2/6))+AD77+(AE77*4/6)</f>
        <v>11565.548522129488</v>
      </c>
      <c r="R85" s="222">
        <f>(AE77*(2/6))+AF77+(AG77*4/6)</f>
        <v>11565.548522129489</v>
      </c>
      <c r="S85" s="222">
        <f>(AG77*(2/6))+AH77+(AI77*4/6)</f>
        <v>7710.3656814196593</v>
      </c>
    </row>
    <row r="86" spans="1:19" ht="12.6" hidden="1" customHeight="1">
      <c r="A86" s="207" t="s">
        <v>64</v>
      </c>
      <c r="D86" s="222">
        <f>D82-D84</f>
        <v>111756.64345533754</v>
      </c>
      <c r="E86" s="222">
        <f>E82-E84</f>
        <v>106823.59129180617</v>
      </c>
      <c r="F86" s="222">
        <f t="shared" ref="F86:S86" si="24">F82-F84</f>
        <v>101590.11625151573</v>
      </c>
      <c r="G86" s="222">
        <f t="shared" si="24"/>
        <v>96037.922581271618</v>
      </c>
      <c r="H86" s="222">
        <f t="shared" si="24"/>
        <v>90147.600316509634</v>
      </c>
      <c r="I86" s="222">
        <f t="shared" si="24"/>
        <v>83898.557425823645</v>
      </c>
      <c r="J86" s="222">
        <f t="shared" si="24"/>
        <v>77268.947823094873</v>
      </c>
      <c r="K86" s="222">
        <f t="shared" si="24"/>
        <v>70235.594995559921</v>
      </c>
      <c r="L86" s="222">
        <f t="shared" si="24"/>
        <v>62773.910980828085</v>
      </c>
      <c r="M86" s="222">
        <f t="shared" si="24"/>
        <v>54857.810409599086</v>
      </c>
      <c r="N86" s="222">
        <f t="shared" si="24"/>
        <v>46459.61931358224</v>
      </c>
      <c r="O86" s="222">
        <f t="shared" si="24"/>
        <v>37549.978379817971</v>
      </c>
      <c r="P86" s="222">
        <f t="shared" si="24"/>
        <v>28097.740313187453</v>
      </c>
      <c r="Q86" s="222">
        <f t="shared" si="24"/>
        <v>18069.860948299138</v>
      </c>
      <c r="R86" s="222">
        <f t="shared" si="24"/>
        <v>7431.2837300891242</v>
      </c>
      <c r="S86" s="222">
        <f t="shared" si="24"/>
        <v>-4.8203219193965197E-11</v>
      </c>
    </row>
    <row r="87" spans="1:19" ht="12.6" hidden="1" customHeight="1">
      <c r="D87" s="222"/>
      <c r="E87" s="222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</row>
    <row r="88" spans="1:19" ht="12.6" hidden="1" customHeight="1">
      <c r="D88" s="222"/>
      <c r="E88" s="222"/>
      <c r="F88" s="222"/>
      <c r="G88" s="222"/>
      <c r="H88" s="222"/>
      <c r="I88" s="222"/>
      <c r="J88" s="222"/>
      <c r="K88" s="222"/>
      <c r="L88" s="222"/>
      <c r="M88" s="222"/>
      <c r="N88" s="222"/>
      <c r="O88" s="222"/>
      <c r="P88" s="222"/>
      <c r="Q88" s="222"/>
      <c r="R88" s="222"/>
      <c r="S88" s="222"/>
    </row>
    <row r="89" spans="1:19" ht="12.6" hidden="1" customHeight="1">
      <c r="A89" s="294" t="s">
        <v>416</v>
      </c>
      <c r="D89" s="330">
        <f>D5</f>
        <v>2000</v>
      </c>
      <c r="E89" s="330">
        <f t="shared" ref="E89:S89" si="25">E5</f>
        <v>2001</v>
      </c>
      <c r="F89" s="330">
        <f t="shared" si="25"/>
        <v>2002</v>
      </c>
      <c r="G89" s="330">
        <f t="shared" si="25"/>
        <v>2003</v>
      </c>
      <c r="H89" s="330">
        <f t="shared" si="25"/>
        <v>2004</v>
      </c>
      <c r="I89" s="330">
        <f t="shared" si="25"/>
        <v>2005</v>
      </c>
      <c r="J89" s="330">
        <f t="shared" si="25"/>
        <v>2006</v>
      </c>
      <c r="K89" s="330">
        <f t="shared" si="25"/>
        <v>2007</v>
      </c>
      <c r="L89" s="330">
        <f t="shared" si="25"/>
        <v>2008</v>
      </c>
      <c r="M89" s="330">
        <f t="shared" si="25"/>
        <v>2009</v>
      </c>
      <c r="N89" s="330">
        <f t="shared" si="25"/>
        <v>2010</v>
      </c>
      <c r="O89" s="330">
        <f t="shared" si="25"/>
        <v>2011</v>
      </c>
      <c r="P89" s="330">
        <f t="shared" si="25"/>
        <v>2012</v>
      </c>
      <c r="Q89" s="330">
        <f t="shared" si="25"/>
        <v>2013</v>
      </c>
      <c r="R89" s="330">
        <f t="shared" si="25"/>
        <v>2014</v>
      </c>
      <c r="S89" s="330">
        <f t="shared" si="25"/>
        <v>2015</v>
      </c>
    </row>
    <row r="90" spans="1:19" ht="12.6" hidden="1" customHeight="1">
      <c r="A90" s="207" t="s">
        <v>60</v>
      </c>
      <c r="B90" s="225"/>
      <c r="D90" s="222">
        <f>E74</f>
        <v>113344.92774122291</v>
      </c>
      <c r="E90" s="222">
        <f>IF(E180&gt;'Project Assumptions'!$I$42+1,0,D94)</f>
        <v>110962.50131239486</v>
      </c>
      <c r="F90" s="222">
        <f>IF(F180&gt;'Project Assumptions'!$I$42+1,0,E94)</f>
        <v>105981.08589235827</v>
      </c>
      <c r="G90" s="222">
        <f>IF(G180&gt;'Project Assumptions'!$I$42+1,0,F94)</f>
        <v>100696.30227324145</v>
      </c>
      <c r="H90" s="222">
        <f>IF(H180&gt;'Project Assumptions'!$I$42+1,0,G94)</f>
        <v>95089.675331720427</v>
      </c>
      <c r="I90" s="222">
        <f>IF(I180&gt;'Project Assumptions'!$I$42+1,0,H94)</f>
        <v>89141.604809460769</v>
      </c>
      <c r="J90" s="222">
        <f>IF(J180&gt;'Project Assumptions'!$I$42+1,0,I94)</f>
        <v>82831.2967923955</v>
      </c>
      <c r="K90" s="222">
        <f>IF(K180&gt;'Project Assumptions'!$I$42+1,0,J94)</f>
        <v>76136.691017090954</v>
      </c>
      <c r="L90" s="222">
        <f>IF(L180&gt;'Project Assumptions'!$I$42+1,0,K94)</f>
        <v>69034.383750070367</v>
      </c>
      <c r="M90" s="222">
        <f>IF(M180&gt;'Project Assumptions'!$I$42+1,0,L94)</f>
        <v>61499.545970488223</v>
      </c>
      <c r="N90" s="222">
        <f>IF(N180&gt;'Project Assumptions'!$I$42+1,0,M94)</f>
        <v>53505.836570129526</v>
      </c>
      <c r="O90" s="222">
        <f>IF(O180&gt;'Project Assumptions'!$I$42+1,0,N94)</f>
        <v>45025.31026728898</v>
      </c>
      <c r="P90" s="222">
        <f>IF(P180&gt;'Project Assumptions'!$I$42+1,0,O94)</f>
        <v>36028.319912605453</v>
      </c>
      <c r="Q90" s="222">
        <f>IF(Q180&gt;'Project Assumptions'!$I$42+1,0,P94)</f>
        <v>26483.412845321698</v>
      </c>
      <c r="R90" s="222">
        <f>IF(R180&gt;'Project Assumptions'!$I$42+1,0,Q94)</f>
        <v>16357.220937640359</v>
      </c>
      <c r="S90" s="222">
        <f>IF(S180&gt;'Project Assumptions'!$I$42+1,0,R94)</f>
        <v>5614.3439427812264</v>
      </c>
    </row>
    <row r="91" spans="1:19" ht="12.6" hidden="1" customHeight="1">
      <c r="A91" s="207" t="s">
        <v>61</v>
      </c>
      <c r="B91" s="226"/>
      <c r="C91" s="209"/>
      <c r="D91" s="222">
        <f>SUMIF($D$72:$AH$72,"=2000",$D75:$AH75)</f>
        <v>3400.3478322366873</v>
      </c>
      <c r="E91" s="222">
        <f>SUMIF($D$72:$AH$72,"=2001",$D75:$AH75)</f>
        <v>6584.1331020929047</v>
      </c>
      <c r="F91" s="222">
        <f>SUMIF($D$72:$AH$72,"=2002",$D75:$AH75)</f>
        <v>6280.7649030126759</v>
      </c>
      <c r="G91" s="222">
        <f>SUMIF($D$72:$AH$72,"=2003",$D75:$AH75)</f>
        <v>5958.921580608463</v>
      </c>
      <c r="H91" s="222">
        <f>SUMIF($D$72:$AH$72,"=2004",$D75:$AH75)</f>
        <v>5617.4779998698323</v>
      </c>
      <c r="I91" s="222">
        <f>SUMIF($D$72:$AH$72,"=2005",$D75:$AH75)</f>
        <v>5255.2405050642192</v>
      </c>
      <c r="J91" s="222">
        <f>SUMIF($D$72:$AH$72,"=2006",$D75:$AH75)</f>
        <v>4870.9427468249451</v>
      </c>
      <c r="K91" s="222">
        <f>SUMIF($D$72:$AH$72,"=2007",$D75:$AH75)</f>
        <v>4463.2412551088983</v>
      </c>
      <c r="L91" s="222">
        <f>SUMIF($D$72:$AH$72,"=2008",$D75:$AH75)</f>
        <v>4030.7107425473437</v>
      </c>
      <c r="M91" s="222">
        <f>SUMIF($D$72:$AH$72,"=2009",$D75:$AH75)</f>
        <v>3571.8391217707917</v>
      </c>
      <c r="N91" s="222">
        <f>SUMIF($D$72:$AH$72,"=2010",$D75:$AH75)</f>
        <v>3085.0222192889478</v>
      </c>
      <c r="O91" s="222">
        <f>SUMIF($D$72:$AH$72,"=2011",$D75:$AH75)</f>
        <v>2568.55816744596</v>
      </c>
      <c r="P91" s="222">
        <f>SUMIF($D$72:$AH$72,"=2012",$D75:$AH75)</f>
        <v>2020.6414548457317</v>
      </c>
      <c r="Q91" s="222">
        <f>SUMIF($D$72:$AH$72,"=2013",$D75:$AH75)</f>
        <v>1439.3566144481506</v>
      </c>
      <c r="R91" s="222">
        <f>SUMIF($D$72:$AH$72,"=2014",$D75:$AH75)</f>
        <v>822.67152727035773</v>
      </c>
      <c r="S91" s="222">
        <f>SUMIF($D$72:$AH$72,"=2015",$D75:$AH75)</f>
        <v>168.43031828343808</v>
      </c>
    </row>
    <row r="92" spans="1:19" ht="12.6" hidden="1" customHeight="1">
      <c r="A92" s="207" t="s">
        <v>62</v>
      </c>
      <c r="C92" s="209"/>
      <c r="D92" s="222">
        <f>SUMIF($D$72:$AH$72,"=2000",$D76:$AH76)</f>
        <v>2382.4264288280574</v>
      </c>
      <c r="E92" s="222">
        <f>SUMIF($D$72:$AH$72,"=2001",$D76:$AH76)</f>
        <v>4981.4154200365847</v>
      </c>
      <c r="F92" s="222">
        <f>SUMIF($D$72:$AH$72,"=2002",$D76:$AH76)</f>
        <v>5284.7836191168135</v>
      </c>
      <c r="G92" s="222">
        <f>SUMIF($D$72:$AH$72,"=2003",$D76:$AH76)</f>
        <v>5606.6269415210263</v>
      </c>
      <c r="H92" s="222">
        <f>SUMIF($D$72:$AH$72,"=2004",$D76:$AH76)</f>
        <v>5948.0705222596571</v>
      </c>
      <c r="I92" s="222">
        <f>SUMIF($D$72:$AH$72,"=2005",$D76:$AH76)</f>
        <v>6310.3080170652702</v>
      </c>
      <c r="J92" s="222">
        <f>SUMIF($D$72:$AH$72,"=2006",$D76:$AH76)</f>
        <v>6694.6057753045443</v>
      </c>
      <c r="K92" s="222">
        <f>SUMIF($D$72:$AH$72,"=2007",$D76:$AH76)</f>
        <v>7102.3072670205911</v>
      </c>
      <c r="L92" s="222">
        <f>SUMIF($D$72:$AH$72,"=2008",$D76:$AH76)</f>
        <v>7534.8377795821452</v>
      </c>
      <c r="M92" s="222">
        <f>SUMIF($D$72:$AH$72,"=2009",$D76:$AH76)</f>
        <v>7993.7094003586972</v>
      </c>
      <c r="N92" s="222">
        <f>SUMIF($D$72:$AH$72,"=2010",$D76:$AH76)</f>
        <v>8480.5263028405425</v>
      </c>
      <c r="O92" s="222">
        <f>SUMIF($D$72:$AH$72,"=2011",$D76:$AH76)</f>
        <v>8996.9903546835303</v>
      </c>
      <c r="P92" s="222">
        <f>SUMIF($D$72:$AH$72,"=2012",$D76:$AH76)</f>
        <v>9544.907067283757</v>
      </c>
      <c r="Q92" s="222">
        <f>SUMIF($D$72:$AH$72,"=2013",$D76:$AH76)</f>
        <v>10126.191907681339</v>
      </c>
      <c r="R92" s="222">
        <f>SUMIF($D$72:$AH$72,"=2014",$D76:$AH76)</f>
        <v>10742.876994859133</v>
      </c>
      <c r="S92" s="222">
        <f>SUMIF($D$72:$AH$72,"=2015",$D76:$AH76)</f>
        <v>5614.3439427813064</v>
      </c>
    </row>
    <row r="93" spans="1:19" ht="12.6" hidden="1" customHeight="1">
      <c r="A93" s="207" t="s">
        <v>63</v>
      </c>
      <c r="C93" s="209"/>
      <c r="D93" s="222">
        <f>SUMIF($D$72:$AH$72,"=2000",$D77:$AH77)</f>
        <v>5782.7742610647447</v>
      </c>
      <c r="E93" s="222">
        <f>SUMIF($D$72:$AH$72,"=2001",$D77:$AH77)</f>
        <v>11565.548522129489</v>
      </c>
      <c r="F93" s="222">
        <f>SUMIF($D$72:$AH$72,"=2002",$D77:$AH77)</f>
        <v>11565.548522129489</v>
      </c>
      <c r="G93" s="222">
        <f>SUMIF($D$72:$AH$72,"=2003",$D77:$AH77)</f>
        <v>11565.548522129489</v>
      </c>
      <c r="H93" s="222">
        <f>SUMIF($D$72:$AH$72,"=2004",$D77:$AH77)</f>
        <v>11565.548522129489</v>
      </c>
      <c r="I93" s="222">
        <f>SUMIF($D$72:$AH$72,"=2005",$D77:$AH77)</f>
        <v>11565.548522129489</v>
      </c>
      <c r="J93" s="222">
        <f>SUMIF($D$72:$AH$72,"=2006",$D77:$AH77)</f>
        <v>11565.548522129489</v>
      </c>
      <c r="K93" s="222">
        <f>SUMIF($D$72:$AH$72,"=2007",$D77:$AH77)</f>
        <v>11565.548522129489</v>
      </c>
      <c r="L93" s="222">
        <f>SUMIF($D$72:$AH$72,"=2008",$D77:$AH77)</f>
        <v>11565.548522129489</v>
      </c>
      <c r="M93" s="222">
        <f>SUMIF($D$72:$AH$72,"=2009",$D77:$AH77)</f>
        <v>11565.548522129489</v>
      </c>
      <c r="N93" s="222">
        <f>SUMIF($D$72:$AH$72,"=2010",$D77:$AH77)</f>
        <v>11565.548522129489</v>
      </c>
      <c r="O93" s="222">
        <f>SUMIF($D$72:$AH$72,"=2011",$D77:$AH77)</f>
        <v>11565.548522129489</v>
      </c>
      <c r="P93" s="222">
        <f>SUMIF($D$72:$AH$72,"=2012",$D77:$AH77)</f>
        <v>11565.548522129488</v>
      </c>
      <c r="Q93" s="222">
        <f>SUMIF($D$72:$AH$72,"=2013",$D77:$AH77)</f>
        <v>11565.548522129488</v>
      </c>
      <c r="R93" s="222">
        <f>SUMIF($D$72:$AH$72,"=2014",$D77:$AH77)</f>
        <v>11565.548522129489</v>
      </c>
      <c r="S93" s="222">
        <f>SUMIF($D$72:$AH$72,"=2015",$D77:$AH77)</f>
        <v>5782.7742610647447</v>
      </c>
    </row>
    <row r="94" spans="1:19" ht="12.6" hidden="1" customHeight="1">
      <c r="A94" s="207" t="s">
        <v>64</v>
      </c>
      <c r="D94" s="222">
        <f>D90-D92</f>
        <v>110962.50131239486</v>
      </c>
      <c r="E94" s="222">
        <f t="shared" ref="E94:S94" si="26">E90-E92</f>
        <v>105981.08589235827</v>
      </c>
      <c r="F94" s="222">
        <f t="shared" si="26"/>
        <v>100696.30227324145</v>
      </c>
      <c r="G94" s="222">
        <f t="shared" si="26"/>
        <v>95089.675331720427</v>
      </c>
      <c r="H94" s="222">
        <f t="shared" si="26"/>
        <v>89141.604809460769</v>
      </c>
      <c r="I94" s="222">
        <f t="shared" si="26"/>
        <v>82831.2967923955</v>
      </c>
      <c r="J94" s="222">
        <f t="shared" si="26"/>
        <v>76136.691017090954</v>
      </c>
      <c r="K94" s="222">
        <f t="shared" si="26"/>
        <v>69034.383750070367</v>
      </c>
      <c r="L94" s="222">
        <f t="shared" si="26"/>
        <v>61499.545970488223</v>
      </c>
      <c r="M94" s="222">
        <f t="shared" si="26"/>
        <v>53505.836570129526</v>
      </c>
      <c r="N94" s="222">
        <f t="shared" si="26"/>
        <v>45025.31026728898</v>
      </c>
      <c r="O94" s="222">
        <f t="shared" si="26"/>
        <v>36028.319912605453</v>
      </c>
      <c r="P94" s="222">
        <f t="shared" si="26"/>
        <v>26483.412845321698</v>
      </c>
      <c r="Q94" s="222">
        <f t="shared" si="26"/>
        <v>16357.220937640359</v>
      </c>
      <c r="R94" s="222">
        <f t="shared" si="26"/>
        <v>5614.3439427812264</v>
      </c>
      <c r="S94" s="222">
        <f t="shared" si="26"/>
        <v>-8.0035533756017685E-11</v>
      </c>
    </row>
    <row r="95" spans="1:19" ht="12.6" hidden="1" customHeight="1">
      <c r="D95" s="222"/>
      <c r="E95" s="222"/>
      <c r="F95" s="222"/>
      <c r="G95" s="222"/>
      <c r="H95" s="222"/>
      <c r="I95" s="222"/>
      <c r="J95" s="222"/>
      <c r="K95" s="222"/>
      <c r="L95" s="222"/>
      <c r="M95" s="222"/>
      <c r="N95" s="222"/>
      <c r="O95" s="222"/>
      <c r="P95" s="222"/>
      <c r="Q95" s="222"/>
      <c r="R95" s="222"/>
      <c r="S95" s="222"/>
    </row>
    <row r="96" spans="1:19" ht="12.6" hidden="1" customHeight="1">
      <c r="A96" s="207" t="s">
        <v>415</v>
      </c>
      <c r="B96" s="496"/>
      <c r="D96" s="487">
        <f>('Book Income Statement'!C40+(2/'Book Income Statement'!D5*'Book Income Statement'!D40))/D85</f>
        <v>2.100352517956261</v>
      </c>
      <c r="E96" s="487">
        <f>(5/6*'Book Income Statement'!D40+1/6*'Book Income Statement'!E40)/E85</f>
        <v>1.0304051787309807</v>
      </c>
      <c r="F96" s="487">
        <f>(5/6*'Book Income Statement'!E40+1/6*'Book Income Statement'!F40)/F85</f>
        <v>1.0305248485277645</v>
      </c>
      <c r="G96" s="487">
        <f>(5/6*'Book Income Statement'!F40+1/6*'Book Income Statement'!G40)/G85</f>
        <v>1.0307167922510192</v>
      </c>
      <c r="H96" s="487">
        <f>(5/6*'Book Income Statement'!G40+1/6*'Book Income Statement'!H40)/H85</f>
        <v>1.0308505313870489</v>
      </c>
      <c r="I96" s="487">
        <f>(5/6*'Book Income Statement'!H40+1/6*'Book Income Statement'!I40)/I85</f>
        <v>1.0310404986095745</v>
      </c>
      <c r="J96" s="487">
        <f>(5/6*'Book Income Statement'!I40+1/6*'Book Income Statement'!J40)/J85</f>
        <v>1.0310664212854495</v>
      </c>
      <c r="K96" s="487">
        <f>(5/6*'Book Income Statement'!J40+1/6*'Book Income Statement'!K40)/K85</f>
        <v>1.0310753922822085</v>
      </c>
      <c r="L96" s="487">
        <f>(5/6*'Book Income Statement'!K40+1/6*'Book Income Statement'!L40)/L85</f>
        <v>1.0311573621302557</v>
      </c>
      <c r="M96" s="487">
        <f>(5/6*'Book Income Statement'!L40+1/6*'Book Income Statement'!M40)/M85</f>
        <v>1.0311655395876282</v>
      </c>
      <c r="N96" s="487">
        <f>(5/6*'Book Income Statement'!M40+1/6*'Book Income Statement'!N40)/N85</f>
        <v>1.0311735540496139</v>
      </c>
      <c r="O96" s="487">
        <f>(5/6*'Book Income Statement'!N40+1/6*'Book Income Statement'!O40)/O85</f>
        <v>1.0311570746884304</v>
      </c>
      <c r="P96" s="487">
        <f>(5/6*'Book Income Statement'!O40+1/6*'Book Income Statement'!P40)/P85</f>
        <v>1.0311897372371086</v>
      </c>
      <c r="Q96" s="487">
        <f>(5/6*'Book Income Statement'!P40+1/6*'Book Income Statement'!Q40)/Q85</f>
        <v>1.031222726492224</v>
      </c>
      <c r="R96" s="487">
        <f>(5/6*'Book Income Statement'!Q40+1/6*'Book Income Statement'!R40)/R85</f>
        <v>1.118152517518888</v>
      </c>
      <c r="S96" s="487">
        <f>(5/6*'Book Income Statement'!R40+1/6*'Book Income Statement'!S40)/S85</f>
        <v>1.9410051533982091</v>
      </c>
    </row>
    <row r="97" spans="1:34" ht="12.6" hidden="1" customHeight="1">
      <c r="D97" s="222"/>
      <c r="E97" s="222"/>
      <c r="F97" s="222"/>
      <c r="G97" s="222"/>
      <c r="H97" s="222"/>
      <c r="I97" s="222"/>
      <c r="J97" s="222"/>
      <c r="K97" s="222"/>
      <c r="L97" s="222"/>
      <c r="M97" s="222"/>
      <c r="N97" s="222"/>
      <c r="O97" s="222"/>
      <c r="P97" s="222"/>
      <c r="Q97" s="222"/>
      <c r="R97" s="222"/>
      <c r="S97" s="222"/>
    </row>
    <row r="98" spans="1:34" ht="12.6" hidden="1" customHeight="1">
      <c r="D98" s="222"/>
      <c r="E98" s="222"/>
      <c r="F98" s="222"/>
      <c r="G98" s="222"/>
      <c r="H98" s="222"/>
      <c r="I98" s="222"/>
      <c r="J98" s="222"/>
      <c r="K98" s="222"/>
      <c r="L98" s="222"/>
      <c r="M98" s="222"/>
      <c r="N98" s="222"/>
      <c r="O98" s="222"/>
      <c r="P98" s="222"/>
      <c r="Q98" s="222"/>
      <c r="R98" s="222"/>
      <c r="S98" s="222"/>
    </row>
    <row r="99" spans="1:34" ht="12.6" hidden="1" customHeight="1">
      <c r="D99" s="207">
        <v>2000</v>
      </c>
      <c r="E99" s="207">
        <v>2000</v>
      </c>
      <c r="F99" s="207">
        <v>2001</v>
      </c>
      <c r="G99" s="207">
        <v>2001</v>
      </c>
      <c r="H99" s="207">
        <v>2002</v>
      </c>
      <c r="I99" s="207">
        <f t="shared" ref="I99:AH99" si="27">+IF(H99-E99=1,H99+1,H99)</f>
        <v>2002</v>
      </c>
      <c r="J99" s="207">
        <f>+IF(I99-F99=1,I99+1,I99)</f>
        <v>2003</v>
      </c>
      <c r="K99" s="207">
        <f>+IF(J99-G99=1,J99+1,J99)</f>
        <v>2003</v>
      </c>
      <c r="L99" s="207">
        <f>+IF(K99-H99=1,K99+1,K99)</f>
        <v>2004</v>
      </c>
      <c r="M99" s="207">
        <f>+IF(L99-I99=1,L99+1,L99)</f>
        <v>2004</v>
      </c>
      <c r="N99" s="207">
        <f t="shared" si="27"/>
        <v>2005</v>
      </c>
      <c r="O99" s="207">
        <f t="shared" si="27"/>
        <v>2005</v>
      </c>
      <c r="P99" s="207">
        <f t="shared" si="27"/>
        <v>2006</v>
      </c>
      <c r="Q99" s="207">
        <f t="shared" si="27"/>
        <v>2006</v>
      </c>
      <c r="R99" s="207">
        <f t="shared" si="27"/>
        <v>2007</v>
      </c>
      <c r="S99" s="207">
        <f t="shared" si="27"/>
        <v>2007</v>
      </c>
      <c r="T99" s="207">
        <f t="shared" si="27"/>
        <v>2008</v>
      </c>
      <c r="U99" s="207">
        <f t="shared" si="27"/>
        <v>2008</v>
      </c>
      <c r="V99" s="207">
        <f t="shared" si="27"/>
        <v>2009</v>
      </c>
      <c r="W99" s="207">
        <f t="shared" si="27"/>
        <v>2009</v>
      </c>
      <c r="X99" s="207">
        <f t="shared" si="27"/>
        <v>2010</v>
      </c>
      <c r="Y99" s="207">
        <f t="shared" si="27"/>
        <v>2010</v>
      </c>
      <c r="Z99" s="207">
        <f t="shared" si="27"/>
        <v>2011</v>
      </c>
      <c r="AA99" s="207">
        <f t="shared" si="27"/>
        <v>2011</v>
      </c>
      <c r="AB99" s="207">
        <f t="shared" si="27"/>
        <v>2012</v>
      </c>
      <c r="AC99" s="207">
        <f t="shared" si="27"/>
        <v>2012</v>
      </c>
      <c r="AD99" s="207">
        <f t="shared" si="27"/>
        <v>2013</v>
      </c>
      <c r="AE99" s="207">
        <f t="shared" si="27"/>
        <v>2013</v>
      </c>
      <c r="AF99" s="207">
        <f t="shared" si="27"/>
        <v>2014</v>
      </c>
      <c r="AG99" s="207">
        <f t="shared" si="27"/>
        <v>2014</v>
      </c>
      <c r="AH99" s="207">
        <f t="shared" si="27"/>
        <v>2015</v>
      </c>
    </row>
    <row r="100" spans="1:34" ht="12.6" hidden="1" customHeight="1">
      <c r="A100" s="294" t="s">
        <v>189</v>
      </c>
      <c r="E100" s="207">
        <v>1</v>
      </c>
      <c r="F100" s="207">
        <f t="shared" ref="F100:AH100" si="28">E100+1</f>
        <v>2</v>
      </c>
      <c r="G100" s="207">
        <f t="shared" si="28"/>
        <v>3</v>
      </c>
      <c r="H100" s="207">
        <f t="shared" si="28"/>
        <v>4</v>
      </c>
      <c r="I100" s="207">
        <f t="shared" si="28"/>
        <v>5</v>
      </c>
      <c r="J100" s="207">
        <f>I100+1</f>
        <v>6</v>
      </c>
      <c r="K100" s="207">
        <f t="shared" si="28"/>
        <v>7</v>
      </c>
      <c r="L100" s="207">
        <f t="shared" si="28"/>
        <v>8</v>
      </c>
      <c r="M100" s="207">
        <f t="shared" si="28"/>
        <v>9</v>
      </c>
      <c r="N100" s="207">
        <f t="shared" si="28"/>
        <v>10</v>
      </c>
      <c r="O100" s="207">
        <f t="shared" si="28"/>
        <v>11</v>
      </c>
      <c r="P100" s="207">
        <f t="shared" si="28"/>
        <v>12</v>
      </c>
      <c r="Q100" s="207">
        <f t="shared" si="28"/>
        <v>13</v>
      </c>
      <c r="R100" s="207">
        <f t="shared" si="28"/>
        <v>14</v>
      </c>
      <c r="S100" s="207">
        <f t="shared" si="28"/>
        <v>15</v>
      </c>
      <c r="T100" s="207">
        <f t="shared" si="28"/>
        <v>16</v>
      </c>
      <c r="U100" s="207">
        <f t="shared" si="28"/>
        <v>17</v>
      </c>
      <c r="V100" s="207">
        <f t="shared" si="28"/>
        <v>18</v>
      </c>
      <c r="W100" s="207">
        <f t="shared" si="28"/>
        <v>19</v>
      </c>
      <c r="X100" s="207">
        <f t="shared" si="28"/>
        <v>20</v>
      </c>
      <c r="Y100" s="207">
        <f t="shared" si="28"/>
        <v>21</v>
      </c>
      <c r="Z100" s="207">
        <f t="shared" si="28"/>
        <v>22</v>
      </c>
      <c r="AA100" s="207">
        <f t="shared" si="28"/>
        <v>23</v>
      </c>
      <c r="AB100" s="207">
        <f t="shared" si="28"/>
        <v>24</v>
      </c>
      <c r="AC100" s="207">
        <f t="shared" si="28"/>
        <v>25</v>
      </c>
      <c r="AD100" s="207">
        <f t="shared" si="28"/>
        <v>26</v>
      </c>
      <c r="AE100" s="207">
        <f t="shared" si="28"/>
        <v>27</v>
      </c>
      <c r="AF100" s="207">
        <f t="shared" si="28"/>
        <v>28</v>
      </c>
      <c r="AG100" s="207">
        <f t="shared" si="28"/>
        <v>29</v>
      </c>
      <c r="AH100" s="207">
        <f t="shared" si="28"/>
        <v>30</v>
      </c>
    </row>
    <row r="101" spans="1:34" ht="12.6" hidden="1" customHeight="1">
      <c r="A101" s="207" t="s">
        <v>60</v>
      </c>
      <c r="D101" s="222"/>
      <c r="E101" s="222">
        <f>'Project Assumptions'!$C$49*'Project Assumptions'!$I$38</f>
        <v>113158.55552626247</v>
      </c>
      <c r="F101" s="209">
        <f t="shared" ref="F101:AH101" si="29">E105</f>
        <v>109386.60367538706</v>
      </c>
      <c r="G101" s="209">
        <f t="shared" si="29"/>
        <v>105614.65182451165</v>
      </c>
      <c r="H101" s="209">
        <f t="shared" si="29"/>
        <v>101842.69997363623</v>
      </c>
      <c r="I101" s="209">
        <f t="shared" si="29"/>
        <v>98070.748122760822</v>
      </c>
      <c r="J101" s="209">
        <f>I105</f>
        <v>94298.796271885411</v>
      </c>
      <c r="K101" s="209">
        <f t="shared" si="29"/>
        <v>90526.844421009999</v>
      </c>
      <c r="L101" s="209">
        <f t="shared" si="29"/>
        <v>86754.892570134587</v>
      </c>
      <c r="M101" s="209">
        <f t="shared" si="29"/>
        <v>82982.940719259175</v>
      </c>
      <c r="N101" s="209">
        <f t="shared" si="29"/>
        <v>79210.988868383763</v>
      </c>
      <c r="O101" s="209">
        <f t="shared" si="29"/>
        <v>75439.037017508352</v>
      </c>
      <c r="P101" s="209">
        <f t="shared" si="29"/>
        <v>71667.08516663294</v>
      </c>
      <c r="Q101" s="209">
        <f t="shared" si="29"/>
        <v>67895.133315757528</v>
      </c>
      <c r="R101" s="209">
        <f t="shared" si="29"/>
        <v>64123.181464882109</v>
      </c>
      <c r="S101" s="209">
        <f t="shared" si="29"/>
        <v>60351.22961400669</v>
      </c>
      <c r="T101" s="209">
        <f t="shared" si="29"/>
        <v>56579.277763131271</v>
      </c>
      <c r="U101" s="209">
        <f t="shared" si="29"/>
        <v>52807.325912255852</v>
      </c>
      <c r="V101" s="209">
        <f t="shared" si="29"/>
        <v>49035.374061380433</v>
      </c>
      <c r="W101" s="209">
        <f t="shared" si="29"/>
        <v>45263.422210505014</v>
      </c>
      <c r="X101" s="209">
        <f t="shared" si="29"/>
        <v>41491.470359629595</v>
      </c>
      <c r="Y101" s="209">
        <f t="shared" si="29"/>
        <v>37719.518508754176</v>
      </c>
      <c r="Z101" s="209">
        <f t="shared" si="29"/>
        <v>33947.566657878757</v>
      </c>
      <c r="AA101" s="209">
        <f t="shared" si="29"/>
        <v>30175.614807003341</v>
      </c>
      <c r="AB101" s="209">
        <f t="shared" si="29"/>
        <v>26403.662956127926</v>
      </c>
      <c r="AC101" s="209">
        <f t="shared" si="29"/>
        <v>22631.711105252511</v>
      </c>
      <c r="AD101" s="209">
        <f t="shared" si="29"/>
        <v>18859.759254377095</v>
      </c>
      <c r="AE101" s="209">
        <f t="shared" si="29"/>
        <v>15087.80740350168</v>
      </c>
      <c r="AF101" s="209">
        <f t="shared" si="29"/>
        <v>11315.855552626264</v>
      </c>
      <c r="AG101" s="209">
        <f t="shared" si="29"/>
        <v>7543.903701750849</v>
      </c>
      <c r="AH101" s="209">
        <f t="shared" si="29"/>
        <v>3771.9518508754331</v>
      </c>
    </row>
    <row r="102" spans="1:34" ht="12.6" hidden="1" customHeight="1">
      <c r="A102" s="207" t="s">
        <v>61</v>
      </c>
      <c r="D102" s="222"/>
      <c r="E102" s="209">
        <f t="shared" ref="E102:AH102" si="30">E101*($D$22/2)</f>
        <v>3394.7566657878738</v>
      </c>
      <c r="F102" s="209">
        <f t="shared" si="30"/>
        <v>3281.5981102616115</v>
      </c>
      <c r="G102" s="209">
        <f t="shared" si="30"/>
        <v>3168.4395547353492</v>
      </c>
      <c r="H102" s="209">
        <f t="shared" si="30"/>
        <v>3055.280999209087</v>
      </c>
      <c r="I102" s="209">
        <f t="shared" si="30"/>
        <v>2942.1224436828247</v>
      </c>
      <c r="J102" s="209">
        <f t="shared" si="30"/>
        <v>2828.963888156562</v>
      </c>
      <c r="K102" s="209">
        <f t="shared" si="30"/>
        <v>2715.8053326302997</v>
      </c>
      <c r="L102" s="209">
        <f t="shared" si="30"/>
        <v>2602.6467771040375</v>
      </c>
      <c r="M102" s="209">
        <f t="shared" si="30"/>
        <v>2489.4882215777752</v>
      </c>
      <c r="N102" s="209">
        <f t="shared" si="30"/>
        <v>2376.329666051513</v>
      </c>
      <c r="O102" s="209">
        <f t="shared" si="30"/>
        <v>2263.1711105252502</v>
      </c>
      <c r="P102" s="209">
        <f t="shared" si="30"/>
        <v>2150.012554998988</v>
      </c>
      <c r="Q102" s="209">
        <f t="shared" si="30"/>
        <v>2036.8539994727257</v>
      </c>
      <c r="R102" s="209">
        <f t="shared" si="30"/>
        <v>1923.6954439464632</v>
      </c>
      <c r="S102" s="209">
        <f t="shared" si="30"/>
        <v>1810.5368884202007</v>
      </c>
      <c r="T102" s="209">
        <f t="shared" si="30"/>
        <v>1697.378332893938</v>
      </c>
      <c r="U102" s="209">
        <f t="shared" si="30"/>
        <v>1584.2197773676755</v>
      </c>
      <c r="V102" s="209">
        <f t="shared" si="30"/>
        <v>1471.061221841413</v>
      </c>
      <c r="W102" s="209">
        <f t="shared" si="30"/>
        <v>1357.9026663151503</v>
      </c>
      <c r="X102" s="209">
        <f t="shared" si="30"/>
        <v>1244.7441107888878</v>
      </c>
      <c r="Y102" s="209">
        <f t="shared" si="30"/>
        <v>1131.5855552626251</v>
      </c>
      <c r="Z102" s="209">
        <f t="shared" si="30"/>
        <v>1018.4269997363626</v>
      </c>
      <c r="AA102" s="209">
        <f t="shared" si="30"/>
        <v>905.26844421010026</v>
      </c>
      <c r="AB102" s="209">
        <f t="shared" si="30"/>
        <v>792.10988868383777</v>
      </c>
      <c r="AC102" s="209">
        <f t="shared" si="30"/>
        <v>678.95133315757528</v>
      </c>
      <c r="AD102" s="209">
        <f t="shared" si="30"/>
        <v>565.79277763131279</v>
      </c>
      <c r="AE102" s="209">
        <f t="shared" si="30"/>
        <v>452.63422210505036</v>
      </c>
      <c r="AF102" s="209">
        <f t="shared" si="30"/>
        <v>339.47566657878792</v>
      </c>
      <c r="AG102" s="209">
        <f t="shared" si="30"/>
        <v>226.31711105252546</v>
      </c>
      <c r="AH102" s="209">
        <f t="shared" si="30"/>
        <v>113.15855552626299</v>
      </c>
    </row>
    <row r="103" spans="1:34" ht="12.6" hidden="1" customHeight="1">
      <c r="A103" s="207" t="s">
        <v>62</v>
      </c>
      <c r="D103" s="222"/>
      <c r="E103" s="209">
        <f>$E$101/('Project Assumptions'!$I$42*2)</f>
        <v>3771.9518508754159</v>
      </c>
      <c r="F103" s="209">
        <f>$E$101/('Project Assumptions'!$I$42*2)</f>
        <v>3771.9518508754159</v>
      </c>
      <c r="G103" s="209">
        <f>$E$101/('Project Assumptions'!$I$42*2)</f>
        <v>3771.9518508754159</v>
      </c>
      <c r="H103" s="209">
        <f>$E$101/('Project Assumptions'!$I$42*2)</f>
        <v>3771.9518508754159</v>
      </c>
      <c r="I103" s="209">
        <f>$E$101/('Project Assumptions'!$I$42*2)</f>
        <v>3771.9518508754159</v>
      </c>
      <c r="J103" s="209">
        <f>$E$101/('Project Assumptions'!$I$42*2)</f>
        <v>3771.9518508754159</v>
      </c>
      <c r="K103" s="209">
        <f>$E$101/('Project Assumptions'!$I$42*2)</f>
        <v>3771.9518508754159</v>
      </c>
      <c r="L103" s="209">
        <f>$E$101/('Project Assumptions'!$I$42*2)</f>
        <v>3771.9518508754159</v>
      </c>
      <c r="M103" s="209">
        <f>$E$101/('Project Assumptions'!$I$42*2)</f>
        <v>3771.9518508754159</v>
      </c>
      <c r="N103" s="209">
        <f>$E$101/('Project Assumptions'!$I$42*2)</f>
        <v>3771.9518508754159</v>
      </c>
      <c r="O103" s="209">
        <f>$E$101/('Project Assumptions'!$I$42*2)</f>
        <v>3771.9518508754159</v>
      </c>
      <c r="P103" s="209">
        <f>$E$101/('Project Assumptions'!$I$42*2)</f>
        <v>3771.9518508754159</v>
      </c>
      <c r="Q103" s="209">
        <f>$E$101/('Project Assumptions'!$I$42*2)</f>
        <v>3771.9518508754159</v>
      </c>
      <c r="R103" s="209">
        <f>$E$101/('Project Assumptions'!$I$42*2)</f>
        <v>3771.9518508754159</v>
      </c>
      <c r="S103" s="209">
        <f>$E$101/('Project Assumptions'!$I$42*2)</f>
        <v>3771.9518508754159</v>
      </c>
      <c r="T103" s="209">
        <f>$E$101/('Project Assumptions'!$I$42*2)</f>
        <v>3771.9518508754159</v>
      </c>
      <c r="U103" s="209">
        <f>$E$101/('Project Assumptions'!$I$42*2)</f>
        <v>3771.9518508754159</v>
      </c>
      <c r="V103" s="209">
        <f>$E$101/('Project Assumptions'!$I$42*2)</f>
        <v>3771.9518508754159</v>
      </c>
      <c r="W103" s="209">
        <f>$E$101/('Project Assumptions'!$I$42*2)</f>
        <v>3771.9518508754159</v>
      </c>
      <c r="X103" s="209">
        <f>$E$101/('Project Assumptions'!$I$42*2)</f>
        <v>3771.9518508754159</v>
      </c>
      <c r="Y103" s="209">
        <f>$E$101/('Project Assumptions'!$I$42*2)</f>
        <v>3771.9518508754159</v>
      </c>
      <c r="Z103" s="209">
        <f>$E$101/('Project Assumptions'!$I$42*2)</f>
        <v>3771.9518508754159</v>
      </c>
      <c r="AA103" s="209">
        <f>$E$101/('Project Assumptions'!$I$42*2)</f>
        <v>3771.9518508754159</v>
      </c>
      <c r="AB103" s="209">
        <f>$E$101/('Project Assumptions'!$I$42*2)</f>
        <v>3771.9518508754159</v>
      </c>
      <c r="AC103" s="209">
        <f>$E$101/('Project Assumptions'!$I$42*2)</f>
        <v>3771.9518508754159</v>
      </c>
      <c r="AD103" s="209">
        <f>$E$101/('Project Assumptions'!$I$42*2)</f>
        <v>3771.9518508754159</v>
      </c>
      <c r="AE103" s="209">
        <f>$E$101/('Project Assumptions'!$I$42*2)</f>
        <v>3771.9518508754159</v>
      </c>
      <c r="AF103" s="209">
        <f>$E$101/('Project Assumptions'!$I$42*2)</f>
        <v>3771.9518508754159</v>
      </c>
      <c r="AG103" s="209">
        <f>$E$101/('Project Assumptions'!$I$42*2)</f>
        <v>3771.9518508754159</v>
      </c>
      <c r="AH103" s="209">
        <f>$E$101/('Project Assumptions'!$I$42*2)</f>
        <v>3771.9518508754159</v>
      </c>
    </row>
    <row r="104" spans="1:34" ht="12.6" hidden="1" customHeight="1">
      <c r="A104" s="207" t="s">
        <v>63</v>
      </c>
      <c r="D104" s="222"/>
      <c r="E104" s="209">
        <f t="shared" ref="E104:AH104" si="31">SUM(E102:E103)</f>
        <v>7166.7085166632896</v>
      </c>
      <c r="F104" s="209">
        <f t="shared" si="31"/>
        <v>7053.5499611370269</v>
      </c>
      <c r="G104" s="209">
        <f t="shared" si="31"/>
        <v>6940.3914056107651</v>
      </c>
      <c r="H104" s="209">
        <f t="shared" si="31"/>
        <v>6827.2328500845033</v>
      </c>
      <c r="I104" s="209">
        <f t="shared" si="31"/>
        <v>6714.0742945582406</v>
      </c>
      <c r="J104" s="209">
        <f t="shared" si="31"/>
        <v>6600.9157390319779</v>
      </c>
      <c r="K104" s="209">
        <f t="shared" si="31"/>
        <v>6487.7571835057151</v>
      </c>
      <c r="L104" s="209">
        <f t="shared" si="31"/>
        <v>6374.5986279794533</v>
      </c>
      <c r="M104" s="209">
        <f t="shared" si="31"/>
        <v>6261.4400724531915</v>
      </c>
      <c r="N104" s="209">
        <f t="shared" si="31"/>
        <v>6148.2815169269288</v>
      </c>
      <c r="O104" s="209">
        <f t="shared" si="31"/>
        <v>6035.1229614006661</v>
      </c>
      <c r="P104" s="209">
        <f t="shared" si="31"/>
        <v>5921.9644058744034</v>
      </c>
      <c r="Q104" s="209">
        <f t="shared" si="31"/>
        <v>5808.8058503481416</v>
      </c>
      <c r="R104" s="209">
        <f t="shared" si="31"/>
        <v>5695.6472948218789</v>
      </c>
      <c r="S104" s="209">
        <f t="shared" si="31"/>
        <v>5582.4887392956171</v>
      </c>
      <c r="T104" s="209">
        <f t="shared" si="31"/>
        <v>5469.3301837693543</v>
      </c>
      <c r="U104" s="209">
        <f t="shared" si="31"/>
        <v>5356.1716282430916</v>
      </c>
      <c r="V104" s="209">
        <f t="shared" si="31"/>
        <v>5243.0130727168289</v>
      </c>
      <c r="W104" s="209">
        <f t="shared" si="31"/>
        <v>5129.8545171905662</v>
      </c>
      <c r="X104" s="209">
        <f t="shared" si="31"/>
        <v>5016.6959616643035</v>
      </c>
      <c r="Y104" s="209">
        <f t="shared" si="31"/>
        <v>4903.5374061380408</v>
      </c>
      <c r="Z104" s="209">
        <f t="shared" si="31"/>
        <v>4790.378850611778</v>
      </c>
      <c r="AA104" s="209">
        <f t="shared" si="31"/>
        <v>4677.2202950855162</v>
      </c>
      <c r="AB104" s="209">
        <f t="shared" si="31"/>
        <v>4564.0617395592535</v>
      </c>
      <c r="AC104" s="209">
        <f t="shared" si="31"/>
        <v>4450.9031840329908</v>
      </c>
      <c r="AD104" s="209">
        <f t="shared" si="31"/>
        <v>4337.744628506729</v>
      </c>
      <c r="AE104" s="209">
        <f t="shared" si="31"/>
        <v>4224.5860729804663</v>
      </c>
      <c r="AF104" s="209">
        <f t="shared" si="31"/>
        <v>4111.4275174542036</v>
      </c>
      <c r="AG104" s="209">
        <f t="shared" si="31"/>
        <v>3998.2689619279413</v>
      </c>
      <c r="AH104" s="209">
        <f t="shared" si="31"/>
        <v>3885.110406401679</v>
      </c>
    </row>
    <row r="105" spans="1:34" ht="12.6" hidden="1" customHeight="1">
      <c r="A105" s="207" t="s">
        <v>64</v>
      </c>
      <c r="D105" s="209"/>
      <c r="E105" s="209">
        <f t="shared" ref="E105:AG105" si="32">E101-E103</f>
        <v>109386.60367538706</v>
      </c>
      <c r="F105" s="209">
        <f t="shared" si="32"/>
        <v>105614.65182451165</v>
      </c>
      <c r="G105" s="209">
        <f t="shared" si="32"/>
        <v>101842.69997363623</v>
      </c>
      <c r="H105" s="209">
        <f t="shared" si="32"/>
        <v>98070.748122760822</v>
      </c>
      <c r="I105" s="209">
        <f t="shared" si="32"/>
        <v>94298.796271885411</v>
      </c>
      <c r="J105" s="209">
        <f t="shared" si="32"/>
        <v>90526.844421009999</v>
      </c>
      <c r="K105" s="209">
        <f t="shared" si="32"/>
        <v>86754.892570134587</v>
      </c>
      <c r="L105" s="209">
        <f t="shared" si="32"/>
        <v>82982.940719259175</v>
      </c>
      <c r="M105" s="209">
        <f t="shared" si="32"/>
        <v>79210.988868383763</v>
      </c>
      <c r="N105" s="209">
        <f t="shared" si="32"/>
        <v>75439.037017508352</v>
      </c>
      <c r="O105" s="209">
        <f t="shared" si="32"/>
        <v>71667.08516663294</v>
      </c>
      <c r="P105" s="209">
        <f t="shared" si="32"/>
        <v>67895.133315757528</v>
      </c>
      <c r="Q105" s="209">
        <f t="shared" si="32"/>
        <v>64123.181464882109</v>
      </c>
      <c r="R105" s="209">
        <f t="shared" si="32"/>
        <v>60351.22961400669</v>
      </c>
      <c r="S105" s="209">
        <f t="shared" si="32"/>
        <v>56579.277763131271</v>
      </c>
      <c r="T105" s="209">
        <f t="shared" si="32"/>
        <v>52807.325912255852</v>
      </c>
      <c r="U105" s="209">
        <f t="shared" si="32"/>
        <v>49035.374061380433</v>
      </c>
      <c r="V105" s="209">
        <f t="shared" si="32"/>
        <v>45263.422210505014</v>
      </c>
      <c r="W105" s="209">
        <f t="shared" si="32"/>
        <v>41491.470359629595</v>
      </c>
      <c r="X105" s="209">
        <f t="shared" si="32"/>
        <v>37719.518508754176</v>
      </c>
      <c r="Y105" s="209">
        <f t="shared" si="32"/>
        <v>33947.566657878757</v>
      </c>
      <c r="Z105" s="209">
        <f t="shared" si="32"/>
        <v>30175.614807003341</v>
      </c>
      <c r="AA105" s="209">
        <f t="shared" si="32"/>
        <v>26403.662956127926</v>
      </c>
      <c r="AB105" s="209">
        <f t="shared" si="32"/>
        <v>22631.711105252511</v>
      </c>
      <c r="AC105" s="209">
        <f t="shared" si="32"/>
        <v>18859.759254377095</v>
      </c>
      <c r="AD105" s="209">
        <f t="shared" si="32"/>
        <v>15087.80740350168</v>
      </c>
      <c r="AE105" s="209">
        <f t="shared" si="32"/>
        <v>11315.855552626264</v>
      </c>
      <c r="AF105" s="209">
        <f t="shared" si="32"/>
        <v>7543.903701750849</v>
      </c>
      <c r="AG105" s="209">
        <f t="shared" si="32"/>
        <v>3771.9518508754331</v>
      </c>
      <c r="AH105" s="209">
        <f>AH101-AH103</f>
        <v>1.7280399333685637E-11</v>
      </c>
    </row>
    <row r="106" spans="1:34" ht="12.6" hidden="1" customHeight="1"/>
    <row r="107" spans="1:34" ht="12.6" hidden="1" customHeight="1"/>
    <row r="108" spans="1:34" s="212" customFormat="1" ht="12.6" hidden="1" customHeight="1">
      <c r="A108" s="329"/>
      <c r="C108" s="352"/>
      <c r="D108" s="352"/>
      <c r="E108" s="352"/>
      <c r="F108" s="352"/>
      <c r="G108" s="352"/>
      <c r="H108" s="352"/>
      <c r="I108" s="352"/>
      <c r="J108" s="352"/>
      <c r="K108" s="352"/>
      <c r="L108" s="352"/>
      <c r="M108" s="352"/>
      <c r="N108" s="352"/>
      <c r="O108" s="352"/>
      <c r="P108" s="352"/>
      <c r="Q108" s="352"/>
      <c r="R108" s="352"/>
      <c r="S108" s="352"/>
      <c r="T108" s="352"/>
      <c r="U108" s="352"/>
      <c r="V108" s="352"/>
      <c r="W108" s="352"/>
      <c r="X108" s="352"/>
      <c r="Y108" s="352"/>
      <c r="Z108" s="352"/>
      <c r="AA108" s="352"/>
      <c r="AB108" s="352"/>
    </row>
    <row r="109" spans="1:34" s="212" customFormat="1" ht="12.6" hidden="1" customHeight="1">
      <c r="A109" s="329"/>
      <c r="B109" s="376"/>
      <c r="C109" s="352"/>
      <c r="D109" s="207">
        <v>2000</v>
      </c>
      <c r="E109" s="207">
        <v>2000</v>
      </c>
      <c r="F109" s="207">
        <v>2001</v>
      </c>
      <c r="G109" s="207">
        <v>2001</v>
      </c>
      <c r="H109" s="207">
        <v>2002</v>
      </c>
      <c r="I109" s="207">
        <f t="shared" ref="I109:AH109" si="33">+IF(H109-E109=1,H109+1,H109)</f>
        <v>2002</v>
      </c>
      <c r="J109" s="207">
        <f t="shared" si="33"/>
        <v>2003</v>
      </c>
      <c r="K109" s="207">
        <f t="shared" si="33"/>
        <v>2003</v>
      </c>
      <c r="L109" s="207">
        <f t="shared" si="33"/>
        <v>2004</v>
      </c>
      <c r="M109" s="207">
        <f t="shared" si="33"/>
        <v>2004</v>
      </c>
      <c r="N109" s="207">
        <f t="shared" si="33"/>
        <v>2005</v>
      </c>
      <c r="O109" s="207">
        <f t="shared" si="33"/>
        <v>2005</v>
      </c>
      <c r="P109" s="207">
        <f t="shared" si="33"/>
        <v>2006</v>
      </c>
      <c r="Q109" s="207">
        <f t="shared" si="33"/>
        <v>2006</v>
      </c>
      <c r="R109" s="207">
        <f t="shared" si="33"/>
        <v>2007</v>
      </c>
      <c r="S109" s="207">
        <f t="shared" si="33"/>
        <v>2007</v>
      </c>
      <c r="T109" s="207">
        <f t="shared" si="33"/>
        <v>2008</v>
      </c>
      <c r="U109" s="207">
        <f t="shared" si="33"/>
        <v>2008</v>
      </c>
      <c r="V109" s="207">
        <f t="shared" si="33"/>
        <v>2009</v>
      </c>
      <c r="W109" s="207">
        <f t="shared" si="33"/>
        <v>2009</v>
      </c>
      <c r="X109" s="207">
        <f t="shared" si="33"/>
        <v>2010</v>
      </c>
      <c r="Y109" s="207">
        <f t="shared" si="33"/>
        <v>2010</v>
      </c>
      <c r="Z109" s="207">
        <f t="shared" si="33"/>
        <v>2011</v>
      </c>
      <c r="AA109" s="207">
        <f t="shared" si="33"/>
        <v>2011</v>
      </c>
      <c r="AB109" s="207">
        <f t="shared" si="33"/>
        <v>2012</v>
      </c>
      <c r="AC109" s="207">
        <f t="shared" si="33"/>
        <v>2012</v>
      </c>
      <c r="AD109" s="207">
        <f t="shared" si="33"/>
        <v>2013</v>
      </c>
      <c r="AE109" s="207">
        <f t="shared" si="33"/>
        <v>2013</v>
      </c>
      <c r="AF109" s="207">
        <f t="shared" si="33"/>
        <v>2014</v>
      </c>
      <c r="AG109" s="207">
        <f t="shared" si="33"/>
        <v>2014</v>
      </c>
      <c r="AH109" s="207">
        <f t="shared" si="33"/>
        <v>2015</v>
      </c>
    </row>
    <row r="110" spans="1:34" ht="12.6" hidden="1" customHeight="1">
      <c r="A110" s="294" t="s">
        <v>193</v>
      </c>
      <c r="E110" s="207">
        <v>1</v>
      </c>
      <c r="F110" s="207">
        <f>E110+1</f>
        <v>2</v>
      </c>
      <c r="G110" s="207">
        <f t="shared" ref="G110:AG110" si="34">F110+1</f>
        <v>3</v>
      </c>
      <c r="H110" s="207">
        <f t="shared" si="34"/>
        <v>4</v>
      </c>
      <c r="I110" s="207">
        <f t="shared" si="34"/>
        <v>5</v>
      </c>
      <c r="J110" s="207">
        <f t="shared" si="34"/>
        <v>6</v>
      </c>
      <c r="K110" s="207">
        <f>J110+1</f>
        <v>7</v>
      </c>
      <c r="L110" s="207">
        <f t="shared" si="34"/>
        <v>8</v>
      </c>
      <c r="M110" s="207">
        <f t="shared" si="34"/>
        <v>9</v>
      </c>
      <c r="N110" s="207">
        <f t="shared" si="34"/>
        <v>10</v>
      </c>
      <c r="O110" s="207">
        <f t="shared" si="34"/>
        <v>11</v>
      </c>
      <c r="P110" s="207">
        <f t="shared" si="34"/>
        <v>12</v>
      </c>
      <c r="Q110" s="207">
        <f t="shared" si="34"/>
        <v>13</v>
      </c>
      <c r="R110" s="207">
        <f t="shared" si="34"/>
        <v>14</v>
      </c>
      <c r="S110" s="207">
        <f t="shared" si="34"/>
        <v>15</v>
      </c>
      <c r="T110" s="207">
        <f t="shared" si="34"/>
        <v>16</v>
      </c>
      <c r="U110" s="207">
        <f t="shared" si="34"/>
        <v>17</v>
      </c>
      <c r="V110" s="207">
        <f t="shared" si="34"/>
        <v>18</v>
      </c>
      <c r="W110" s="207">
        <f t="shared" si="34"/>
        <v>19</v>
      </c>
      <c r="X110" s="207">
        <f t="shared" si="34"/>
        <v>20</v>
      </c>
      <c r="Y110" s="207">
        <f t="shared" si="34"/>
        <v>21</v>
      </c>
      <c r="Z110" s="207">
        <f t="shared" si="34"/>
        <v>22</v>
      </c>
      <c r="AA110" s="207">
        <f t="shared" si="34"/>
        <v>23</v>
      </c>
      <c r="AB110" s="207">
        <f t="shared" si="34"/>
        <v>24</v>
      </c>
      <c r="AC110" s="207">
        <f t="shared" si="34"/>
        <v>25</v>
      </c>
      <c r="AD110" s="207">
        <f t="shared" si="34"/>
        <v>26</v>
      </c>
      <c r="AE110" s="207">
        <f t="shared" si="34"/>
        <v>27</v>
      </c>
      <c r="AF110" s="207">
        <f t="shared" si="34"/>
        <v>28</v>
      </c>
      <c r="AG110" s="207">
        <f t="shared" si="34"/>
        <v>29</v>
      </c>
      <c r="AH110" s="207">
        <f>AG110+1</f>
        <v>30</v>
      </c>
    </row>
    <row r="111" spans="1:34" ht="12.6" hidden="1" customHeight="1">
      <c r="A111" s="207" t="s">
        <v>60</v>
      </c>
      <c r="B111" s="207">
        <f>(1.1*B121)+(1*B129)</f>
        <v>1.0669999999999999</v>
      </c>
      <c r="E111" s="222">
        <f>E121+E129</f>
        <v>113158.55552626247</v>
      </c>
      <c r="F111" s="222">
        <f t="shared" ref="F111:AG115" si="35">F121+F129</f>
        <v>109182.28961679796</v>
      </c>
      <c r="G111" s="222">
        <f t="shared" si="35"/>
        <v>106541.92332118517</v>
      </c>
      <c r="H111" s="222">
        <f t="shared" si="35"/>
        <v>103823.20695839082</v>
      </c>
      <c r="I111" s="222">
        <f t="shared" si="35"/>
        <v>101026.14052841489</v>
      </c>
      <c r="J111" s="222">
        <f t="shared" si="35"/>
        <v>98150.724031257399</v>
      </c>
      <c r="K111" s="222">
        <f t="shared" si="35"/>
        <v>95196.957466918349</v>
      </c>
      <c r="L111" s="222">
        <f t="shared" si="35"/>
        <v>92164.840835397728</v>
      </c>
      <c r="M111" s="222">
        <f t="shared" si="35"/>
        <v>89054.374136695536</v>
      </c>
      <c r="N111" s="222">
        <f t="shared" si="35"/>
        <v>85865.557370811774</v>
      </c>
      <c r="O111" s="222">
        <f t="shared" si="35"/>
        <v>82598.390537746454</v>
      </c>
      <c r="P111" s="222">
        <f t="shared" si="35"/>
        <v>79252.873637499564</v>
      </c>
      <c r="Q111" s="222">
        <f t="shared" si="35"/>
        <v>75829.006670071103</v>
      </c>
      <c r="R111" s="222">
        <f t="shared" si="35"/>
        <v>72326.789635461086</v>
      </c>
      <c r="S111" s="222">
        <f t="shared" si="35"/>
        <v>68746.222533669497</v>
      </c>
      <c r="T111" s="222">
        <f t="shared" si="35"/>
        <v>65087.305364696345</v>
      </c>
      <c r="U111" s="222">
        <f t="shared" si="35"/>
        <v>61350.038128541622</v>
      </c>
      <c r="V111" s="222">
        <f t="shared" si="35"/>
        <v>57534.420825205336</v>
      </c>
      <c r="W111" s="222">
        <f t="shared" si="35"/>
        <v>53640.453454687478</v>
      </c>
      <c r="X111" s="222">
        <f t="shared" si="35"/>
        <v>49668.136016988057</v>
      </c>
      <c r="Y111" s="222">
        <f t="shared" si="35"/>
        <v>45617.468512107072</v>
      </c>
      <c r="Z111" s="222">
        <f t="shared" si="35"/>
        <v>41488.450940044524</v>
      </c>
      <c r="AA111" s="222">
        <f t="shared" si="35"/>
        <v>37281.083300800405</v>
      </c>
      <c r="AB111" s="222">
        <f t="shared" si="35"/>
        <v>32995.365594374722</v>
      </c>
      <c r="AC111" s="222">
        <f t="shared" si="35"/>
        <v>28631.297820767471</v>
      </c>
      <c r="AD111" s="222">
        <f t="shared" si="35"/>
        <v>24188.879979978654</v>
      </c>
      <c r="AE111" s="222">
        <f t="shared" si="35"/>
        <v>19668.112072008273</v>
      </c>
      <c r="AF111" s="222">
        <f t="shared" si="35"/>
        <v>15068.994096856324</v>
      </c>
      <c r="AG111" s="222">
        <f t="shared" si="35"/>
        <v>10391.526054522808</v>
      </c>
      <c r="AH111" s="222">
        <f>AH121+AH129</f>
        <v>5635.7079450077281</v>
      </c>
    </row>
    <row r="112" spans="1:34" ht="12.6" hidden="1" customHeight="1">
      <c r="A112" s="207" t="s">
        <v>61</v>
      </c>
      <c r="E112" s="222">
        <f>E122+E130</f>
        <v>3400.3478322366873</v>
      </c>
      <c r="F112" s="222">
        <f t="shared" ref="F112:T112" si="36">F122+F130</f>
        <v>2322.4840174134706</v>
      </c>
      <c r="G112" s="222">
        <f t="shared" si="36"/>
        <v>2331.8149347812291</v>
      </c>
      <c r="H112" s="222">
        <f t="shared" si="36"/>
        <v>2337.4782123467053</v>
      </c>
      <c r="I112" s="222">
        <f t="shared" si="36"/>
        <v>2339.3314844751294</v>
      </c>
      <c r="J112" s="222">
        <f t="shared" si="36"/>
        <v>2337.2159746761326</v>
      </c>
      <c r="K112" s="222">
        <f t="shared" si="36"/>
        <v>2330.9555171610873</v>
      </c>
      <c r="L112" s="222">
        <f t="shared" si="36"/>
        <v>2320.3554602465065</v>
      </c>
      <c r="M112" s="222">
        <f t="shared" si="36"/>
        <v>2305.2014420573182</v>
      </c>
      <c r="N112" s="222">
        <f t="shared" si="36"/>
        <v>2285.258027771552</v>
      </c>
      <c r="O112" s="222">
        <f t="shared" si="36"/>
        <v>2260.2671963149483</v>
      </c>
      <c r="P112" s="222">
        <f t="shared" si="36"/>
        <v>2229.9466629437197</v>
      </c>
      <c r="Q112" s="222">
        <f t="shared" si="36"/>
        <v>2193.9880225283282</v>
      </c>
      <c r="R112" s="222">
        <f t="shared" si="36"/>
        <v>2152.054696550284</v>
      </c>
      <c r="S112" s="222">
        <f t="shared" si="36"/>
        <v>2103.7796648249164</v>
      </c>
      <c r="T112" s="222">
        <f t="shared" si="36"/>
        <v>2048.7629607402605</v>
      </c>
      <c r="U112" s="222">
        <f t="shared" si="35"/>
        <v>1986.568906327027</v>
      </c>
      <c r="V112" s="222">
        <f t="shared" si="35"/>
        <v>1916.7230607145668</v>
      </c>
      <c r="W112" s="222">
        <f t="shared" si="35"/>
        <v>1838.7088524463245</v>
      </c>
      <c r="X112" s="222">
        <f t="shared" si="35"/>
        <v>1751.9638626843969</v>
      </c>
      <c r="Y112" s="222">
        <f t="shared" si="35"/>
        <v>1655.8757224796666</v>
      </c>
      <c r="Z112" s="222">
        <f t="shared" si="35"/>
        <v>1549.7775829688205</v>
      </c>
      <c r="AA112" s="222">
        <f t="shared" si="35"/>
        <v>1432.9431125230258</v>
      </c>
      <c r="AB112" s="222">
        <f t="shared" si="35"/>
        <v>1304.5809694466327</v>
      </c>
      <c r="AC112" s="222">
        <f t="shared" si="35"/>
        <v>1163.8286927321503</v>
      </c>
      <c r="AD112" s="222">
        <f t="shared" si="35"/>
        <v>1009.7459465318838</v>
      </c>
      <c r="AE112" s="222">
        <f t="shared" si="35"/>
        <v>841.30704630834975</v>
      </c>
      <c r="AF112" s="222">
        <f t="shared" si="35"/>
        <v>657.39268596244972</v>
      </c>
      <c r="AG112" s="222">
        <f t="shared" si="35"/>
        <v>456.78077548164055</v>
      </c>
      <c r="AH112" s="222">
        <f>AH122+AH130</f>
        <v>238.13628765486047</v>
      </c>
    </row>
    <row r="113" spans="1:34" ht="12.6" hidden="1" customHeight="1">
      <c r="A113" s="207" t="s">
        <v>62</v>
      </c>
      <c r="E113" s="222">
        <f>E123+E131</f>
        <v>3977.265909464501</v>
      </c>
      <c r="F113" s="222">
        <f t="shared" si="35"/>
        <v>2642.366295612791</v>
      </c>
      <c r="G113" s="222">
        <f t="shared" si="35"/>
        <v>2721.7163627943573</v>
      </c>
      <c r="H113" s="222">
        <f t="shared" si="35"/>
        <v>2801.0664299759237</v>
      </c>
      <c r="I113" s="222">
        <f t="shared" si="35"/>
        <v>2880.4164971574905</v>
      </c>
      <c r="J113" s="222">
        <f t="shared" si="35"/>
        <v>2959.7665643390569</v>
      </c>
      <c r="K113" s="222">
        <f t="shared" si="35"/>
        <v>3039.1166315206233</v>
      </c>
      <c r="L113" s="222">
        <f t="shared" si="35"/>
        <v>3118.4666987021897</v>
      </c>
      <c r="M113" s="222">
        <f t="shared" si="35"/>
        <v>3197.8167658837565</v>
      </c>
      <c r="N113" s="222">
        <f t="shared" si="35"/>
        <v>3277.1668330653229</v>
      </c>
      <c r="O113" s="222">
        <f t="shared" si="35"/>
        <v>3356.5169002468892</v>
      </c>
      <c r="P113" s="222">
        <f t="shared" si="35"/>
        <v>3435.8669674284556</v>
      </c>
      <c r="Q113" s="222">
        <f t="shared" si="35"/>
        <v>3515.2170346100224</v>
      </c>
      <c r="R113" s="222">
        <f t="shared" si="35"/>
        <v>3594.5671017915888</v>
      </c>
      <c r="S113" s="222">
        <f t="shared" si="35"/>
        <v>3673.9171689731552</v>
      </c>
      <c r="T113" s="222">
        <f t="shared" si="35"/>
        <v>3753.2672361547216</v>
      </c>
      <c r="U113" s="222">
        <f t="shared" si="35"/>
        <v>3832.6173033362879</v>
      </c>
      <c r="V113" s="222">
        <f t="shared" si="35"/>
        <v>3911.9673705178539</v>
      </c>
      <c r="W113" s="222">
        <f t="shared" si="35"/>
        <v>3991.3174376994198</v>
      </c>
      <c r="X113" s="222">
        <f t="shared" si="35"/>
        <v>4070.6675048809861</v>
      </c>
      <c r="Y113" s="222">
        <f t="shared" si="35"/>
        <v>4150.0175720625521</v>
      </c>
      <c r="Z113" s="222">
        <f t="shared" si="35"/>
        <v>4229.3676392441184</v>
      </c>
      <c r="AA113" s="222">
        <f t="shared" si="35"/>
        <v>4308.7177064256839</v>
      </c>
      <c r="AB113" s="222">
        <f t="shared" si="35"/>
        <v>4388.0677736072503</v>
      </c>
      <c r="AC113" s="222">
        <f t="shared" si="35"/>
        <v>4467.4178407888166</v>
      </c>
      <c r="AD113" s="222">
        <f t="shared" si="35"/>
        <v>4546.7679079703821</v>
      </c>
      <c r="AE113" s="222">
        <f t="shared" si="35"/>
        <v>4626.1179751519485</v>
      </c>
      <c r="AF113" s="222">
        <f t="shared" si="35"/>
        <v>4705.4680423335149</v>
      </c>
      <c r="AG113" s="222">
        <f t="shared" si="35"/>
        <v>4784.8181095150803</v>
      </c>
      <c r="AH113" s="222">
        <f>AH123+AH131</f>
        <v>4864.1681766966467</v>
      </c>
    </row>
    <row r="114" spans="1:34" ht="12.6" hidden="1" customHeight="1">
      <c r="A114" s="207" t="s">
        <v>63</v>
      </c>
      <c r="E114" s="222">
        <f>E124+E132</f>
        <v>120535.16926796366</v>
      </c>
      <c r="F114" s="222">
        <f t="shared" si="35"/>
        <v>114349.45398841333</v>
      </c>
      <c r="G114" s="222">
        <f t="shared" si="35"/>
        <v>110665.18312208723</v>
      </c>
      <c r="H114" s="222">
        <f t="shared" si="35"/>
        <v>106977.24461595886</v>
      </c>
      <c r="I114" s="222">
        <f t="shared" si="35"/>
        <v>103285.49610439345</v>
      </c>
      <c r="J114" s="222">
        <f t="shared" si="35"/>
        <v>99589.778810900607</v>
      </c>
      <c r="K114" s="222">
        <f t="shared" si="35"/>
        <v>95889.916569691704</v>
      </c>
      <c r="L114" s="222">
        <f t="shared" si="35"/>
        <v>92185.71472908328</v>
      </c>
      <c r="M114" s="222">
        <f t="shared" si="35"/>
        <v>88476.958927200249</v>
      </c>
      <c r="N114" s="222">
        <f t="shared" si="35"/>
        <v>84763.413729220643</v>
      </c>
      <c r="O114" s="222">
        <f t="shared" si="35"/>
        <v>81044.82111407019</v>
      </c>
      <c r="P114" s="222">
        <f t="shared" si="35"/>
        <v>77320.898797005109</v>
      </c>
      <c r="Q114" s="222">
        <f t="shared" si="35"/>
        <v>73591.338372895872</v>
      </c>
      <c r="R114" s="222">
        <f t="shared" si="35"/>
        <v>69855.803263223977</v>
      </c>
      <c r="S114" s="222">
        <f t="shared" si="35"/>
        <v>66113.926447804755</v>
      </c>
      <c r="T114" s="222">
        <f t="shared" si="35"/>
        <v>62365.307960026257</v>
      </c>
      <c r="U114" s="222">
        <f t="shared" si="35"/>
        <v>58609.512121919164</v>
      </c>
      <c r="V114" s="222">
        <f t="shared" si="35"/>
        <v>54846.064492612852</v>
      </c>
      <c r="W114" s="222">
        <f t="shared" si="35"/>
        <v>51074.44850065076</v>
      </c>
      <c r="X114" s="222">
        <f t="shared" si="35"/>
        <v>47294.101727194975</v>
      </c>
      <c r="Y114" s="222">
        <f t="shared" si="35"/>
        <v>43504.411803296396</v>
      </c>
      <c r="Z114" s="222">
        <f t="shared" si="35"/>
        <v>39704.711880091694</v>
      </c>
      <c r="AA114" s="222">
        <f t="shared" si="35"/>
        <v>35894.275625952054</v>
      </c>
      <c r="AB114" s="222">
        <f t="shared" si="35"/>
        <v>32072.31169918181</v>
      </c>
      <c r="AC114" s="222">
        <f t="shared" si="35"/>
        <v>28237.957638773478</v>
      </c>
      <c r="AD114" s="222">
        <f t="shared" si="35"/>
        <v>24390.273108879359</v>
      </c>
      <c r="AE114" s="222">
        <f t="shared" si="35"/>
        <v>20528.232424961978</v>
      </c>
      <c r="AF114" s="222">
        <f t="shared" si="35"/>
        <v>16650.716280922228</v>
      </c>
      <c r="AG114" s="222">
        <f t="shared" si="35"/>
        <v>12756.502586747571</v>
      </c>
      <c r="AH114" s="222">
        <f>AH124+AH132</f>
        <v>8844.2563152269395</v>
      </c>
    </row>
    <row r="115" spans="1:34" ht="12.6" hidden="1" customHeight="1">
      <c r="A115" s="207" t="s">
        <v>64</v>
      </c>
      <c r="E115" s="222">
        <f>E125+E133</f>
        <v>112582.63744903465</v>
      </c>
      <c r="F115" s="222">
        <f t="shared" si="35"/>
        <v>109870.79836055702</v>
      </c>
      <c r="G115" s="222">
        <f t="shared" si="35"/>
        <v>107078.46502111187</v>
      </c>
      <c r="H115" s="222">
        <f t="shared" si="35"/>
        <v>104205.57310518564</v>
      </c>
      <c r="I115" s="222">
        <f t="shared" si="35"/>
        <v>101252.05635749933</v>
      </c>
      <c r="J115" s="222">
        <f t="shared" si="35"/>
        <v>98217.84653511559</v>
      </c>
      <c r="K115" s="222">
        <f t="shared" si="35"/>
        <v>95102.873347808942</v>
      </c>
      <c r="L115" s="222">
        <f t="shared" si="35"/>
        <v>91907.064396647154</v>
      </c>
      <c r="M115" s="222">
        <f t="shared" si="35"/>
        <v>88630.345110729992</v>
      </c>
      <c r="N115" s="222">
        <f t="shared" si="35"/>
        <v>85272.638682030272</v>
      </c>
      <c r="O115" s="222">
        <f t="shared" si="35"/>
        <v>81833.865998279958</v>
      </c>
      <c r="P115" s="222">
        <f t="shared" si="35"/>
        <v>78313.945573842968</v>
      </c>
      <c r="Q115" s="222">
        <f t="shared" si="35"/>
        <v>74712.79347851417</v>
      </c>
      <c r="R115" s="222">
        <f t="shared" si="35"/>
        <v>71030.323264182225</v>
      </c>
      <c r="S115" s="222">
        <f t="shared" si="35"/>
        <v>67266.445889292518</v>
      </c>
      <c r="T115" s="222">
        <f t="shared" si="35"/>
        <v>63421.06964104373</v>
      </c>
      <c r="U115" s="222">
        <f t="shared" si="35"/>
        <v>59494.100055250572</v>
      </c>
      <c r="V115" s="222">
        <f t="shared" si="35"/>
        <v>55485.439833802127</v>
      </c>
      <c r="W115" s="222">
        <f t="shared" si="35"/>
        <v>51394.988759644199</v>
      </c>
      <c r="X115" s="222">
        <f t="shared" si="35"/>
        <v>47222.643609210958</v>
      </c>
      <c r="Y115" s="222">
        <f t="shared" si="35"/>
        <v>42968.298062229587</v>
      </c>
      <c r="Z115" s="222">
        <f t="shared" si="35"/>
        <v>38631.842608819075</v>
      </c>
      <c r="AA115" s="222">
        <f t="shared" si="35"/>
        <v>34213.164453802012</v>
      </c>
      <c r="AB115" s="222">
        <f t="shared" si="35"/>
        <v>29712.147418145636</v>
      </c>
      <c r="AC115" s="222">
        <f t="shared" si="35"/>
        <v>25128.671837446222</v>
      </c>
      <c r="AD115" s="222">
        <f t="shared" si="35"/>
        <v>20462.614457367927</v>
      </c>
      <c r="AE115" s="222">
        <f t="shared" si="35"/>
        <v>15713.848325944822</v>
      </c>
      <c r="AF115" s="222">
        <f t="shared" si="35"/>
        <v>10882.24268265202</v>
      </c>
      <c r="AG115" s="222">
        <f t="shared" si="35"/>
        <v>5967.6628441488738</v>
      </c>
      <c r="AH115" s="222">
        <f>AH125+AH133</f>
        <v>969.97008659451944</v>
      </c>
    </row>
    <row r="116" spans="1:34" hidden="1">
      <c r="E116" s="222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</row>
    <row r="117" spans="1:34" hidden="1">
      <c r="A117" s="147"/>
      <c r="E117" s="207">
        <v>1</v>
      </c>
      <c r="F117" s="207">
        <v>1</v>
      </c>
      <c r="G117" s="207">
        <v>1</v>
      </c>
      <c r="H117" s="207">
        <v>1</v>
      </c>
      <c r="I117" s="207">
        <v>1</v>
      </c>
      <c r="J117" s="207">
        <v>1</v>
      </c>
      <c r="K117" s="207">
        <v>1</v>
      </c>
      <c r="L117" s="207">
        <v>1</v>
      </c>
      <c r="M117" s="207">
        <v>1</v>
      </c>
      <c r="N117" s="207">
        <v>1</v>
      </c>
      <c r="O117" s="207">
        <v>1</v>
      </c>
      <c r="P117" s="207">
        <v>1</v>
      </c>
      <c r="Q117" s="207">
        <v>1</v>
      </c>
      <c r="R117" s="207">
        <v>1</v>
      </c>
      <c r="S117" s="207">
        <v>1</v>
      </c>
      <c r="T117" s="207">
        <v>1</v>
      </c>
      <c r="U117" s="207">
        <v>1</v>
      </c>
      <c r="V117" s="207">
        <v>1</v>
      </c>
      <c r="W117" s="207">
        <v>1</v>
      </c>
      <c r="X117" s="207">
        <v>1</v>
      </c>
      <c r="Y117" s="207">
        <v>1</v>
      </c>
      <c r="Z117" s="207">
        <v>1</v>
      </c>
      <c r="AA117" s="207">
        <v>1</v>
      </c>
      <c r="AB117" s="207">
        <v>1</v>
      </c>
      <c r="AC117" s="207">
        <v>1</v>
      </c>
      <c r="AD117" s="207">
        <v>1</v>
      </c>
      <c r="AE117" s="207">
        <v>1</v>
      </c>
      <c r="AF117" s="207">
        <v>1</v>
      </c>
      <c r="AG117" s="207">
        <v>1</v>
      </c>
    </row>
    <row r="118" spans="1:34" hidden="1">
      <c r="A118" s="147"/>
      <c r="E118" s="377"/>
    </row>
    <row r="119" spans="1:34" hidden="1">
      <c r="A119" s="147"/>
      <c r="B119" s="377"/>
      <c r="C119" s="377">
        <v>2.0771756978653477E-2</v>
      </c>
      <c r="D119" s="377"/>
      <c r="E119" s="377">
        <f>1+(('Book Income Statement'!C5-6)/6)</f>
        <v>1.0541666666666667</v>
      </c>
      <c r="F119" s="377">
        <v>0.7</v>
      </c>
      <c r="G119" s="377">
        <f t="shared" ref="G119:AH119" si="37">F119+$C$119</f>
        <v>0.72077175697865348</v>
      </c>
      <c r="H119" s="377">
        <f t="shared" si="37"/>
        <v>0.741543513957307</v>
      </c>
      <c r="I119" s="377">
        <f t="shared" si="37"/>
        <v>0.76231527093596052</v>
      </c>
      <c r="J119" s="377">
        <f t="shared" si="37"/>
        <v>0.78308702791461404</v>
      </c>
      <c r="K119" s="377">
        <f t="shared" si="37"/>
        <v>0.80385878489326756</v>
      </c>
      <c r="L119" s="377">
        <f t="shared" si="37"/>
        <v>0.82463054187192109</v>
      </c>
      <c r="M119" s="377">
        <f t="shared" si="37"/>
        <v>0.84540229885057461</v>
      </c>
      <c r="N119" s="377">
        <f t="shared" si="37"/>
        <v>0.86617405582922813</v>
      </c>
      <c r="O119" s="377">
        <f t="shared" si="37"/>
        <v>0.88694581280788165</v>
      </c>
      <c r="P119" s="377">
        <f t="shared" si="37"/>
        <v>0.90771756978653517</v>
      </c>
      <c r="Q119" s="377">
        <f t="shared" si="37"/>
        <v>0.92848932676518869</v>
      </c>
      <c r="R119" s="377">
        <f t="shared" si="37"/>
        <v>0.94926108374384222</v>
      </c>
      <c r="S119" s="377">
        <f t="shared" si="37"/>
        <v>0.97003284072249574</v>
      </c>
      <c r="T119" s="377">
        <f t="shared" si="37"/>
        <v>0.99080459770114926</v>
      </c>
      <c r="U119" s="377">
        <f t="shared" si="37"/>
        <v>1.0115763546798027</v>
      </c>
      <c r="V119" s="377">
        <f t="shared" si="37"/>
        <v>1.0323481116584561</v>
      </c>
      <c r="W119" s="377">
        <f t="shared" si="37"/>
        <v>1.0531198686371095</v>
      </c>
      <c r="X119" s="377">
        <f t="shared" si="37"/>
        <v>1.0738916256157629</v>
      </c>
      <c r="Y119" s="377">
        <f t="shared" si="37"/>
        <v>1.0946633825944163</v>
      </c>
      <c r="Z119" s="377">
        <f t="shared" si="37"/>
        <v>1.1154351395730697</v>
      </c>
      <c r="AA119" s="377">
        <f t="shared" si="37"/>
        <v>1.1362068965517231</v>
      </c>
      <c r="AB119" s="377">
        <f t="shared" si="37"/>
        <v>1.1569786535303765</v>
      </c>
      <c r="AC119" s="377">
        <f t="shared" si="37"/>
        <v>1.17775041050903</v>
      </c>
      <c r="AD119" s="377">
        <f t="shared" si="37"/>
        <v>1.1985221674876834</v>
      </c>
      <c r="AE119" s="377">
        <f t="shared" si="37"/>
        <v>1.2192939244663368</v>
      </c>
      <c r="AF119" s="377">
        <f t="shared" si="37"/>
        <v>1.2400656814449902</v>
      </c>
      <c r="AG119" s="377">
        <f t="shared" si="37"/>
        <v>1.2608374384236436</v>
      </c>
      <c r="AH119" s="377">
        <f t="shared" si="37"/>
        <v>1.281609195402297</v>
      </c>
    </row>
    <row r="120" spans="1:34" ht="12.6" hidden="1" customHeight="1">
      <c r="A120" s="294" t="s">
        <v>192</v>
      </c>
      <c r="E120" s="207">
        <v>1</v>
      </c>
      <c r="F120" s="207">
        <f>E120+1</f>
        <v>2</v>
      </c>
      <c r="G120" s="207">
        <f t="shared" ref="G120:AG120" si="38">F120+1</f>
        <v>3</v>
      </c>
      <c r="H120" s="207">
        <f t="shared" si="38"/>
        <v>4</v>
      </c>
      <c r="I120" s="207">
        <f t="shared" si="38"/>
        <v>5</v>
      </c>
      <c r="J120" s="207">
        <f t="shared" si="38"/>
        <v>6</v>
      </c>
      <c r="K120" s="207">
        <f>J120+1</f>
        <v>7</v>
      </c>
      <c r="L120" s="207">
        <f t="shared" si="38"/>
        <v>8</v>
      </c>
      <c r="M120" s="207">
        <f t="shared" si="38"/>
        <v>9</v>
      </c>
      <c r="N120" s="207">
        <f t="shared" si="38"/>
        <v>10</v>
      </c>
      <c r="O120" s="207">
        <f t="shared" si="38"/>
        <v>11</v>
      </c>
      <c r="P120" s="207">
        <f t="shared" si="38"/>
        <v>12</v>
      </c>
      <c r="Q120" s="207">
        <f t="shared" si="38"/>
        <v>13</v>
      </c>
      <c r="R120" s="207">
        <f t="shared" si="38"/>
        <v>14</v>
      </c>
      <c r="S120" s="207">
        <f t="shared" si="38"/>
        <v>15</v>
      </c>
      <c r="T120" s="207">
        <f t="shared" si="38"/>
        <v>16</v>
      </c>
      <c r="U120" s="207">
        <f t="shared" si="38"/>
        <v>17</v>
      </c>
      <c r="V120" s="207">
        <f t="shared" si="38"/>
        <v>18</v>
      </c>
      <c r="W120" s="207">
        <f t="shared" si="38"/>
        <v>19</v>
      </c>
      <c r="X120" s="207">
        <f t="shared" si="38"/>
        <v>20</v>
      </c>
      <c r="Y120" s="207">
        <f t="shared" si="38"/>
        <v>21</v>
      </c>
      <c r="Z120" s="207">
        <f t="shared" si="38"/>
        <v>22</v>
      </c>
      <c r="AA120" s="207">
        <f t="shared" si="38"/>
        <v>23</v>
      </c>
      <c r="AB120" s="207">
        <f t="shared" si="38"/>
        <v>24</v>
      </c>
      <c r="AC120" s="207">
        <f t="shared" si="38"/>
        <v>25</v>
      </c>
      <c r="AD120" s="207">
        <f t="shared" si="38"/>
        <v>26</v>
      </c>
      <c r="AE120" s="207">
        <f t="shared" si="38"/>
        <v>27</v>
      </c>
      <c r="AF120" s="207">
        <f t="shared" si="38"/>
        <v>28</v>
      </c>
      <c r="AG120" s="207">
        <f t="shared" si="38"/>
        <v>29</v>
      </c>
      <c r="AH120" s="207">
        <f>AG120+1</f>
        <v>30</v>
      </c>
    </row>
    <row r="121" spans="1:34" ht="12.6" hidden="1" customHeight="1">
      <c r="A121" s="207" t="s">
        <v>60</v>
      </c>
      <c r="B121" s="341">
        <f>'Project Assumptions'!I38</f>
        <v>0.97</v>
      </c>
      <c r="C121" s="341"/>
      <c r="E121" s="222">
        <f>'Project Assumptions'!$C$49*'Project Assumptions'!$I$38</f>
        <v>113158.55552626247</v>
      </c>
      <c r="F121" s="209">
        <f t="shared" ref="F121:AH121" si="39">E125</f>
        <v>109182.28961679796</v>
      </c>
      <c r="G121" s="209">
        <f t="shared" si="39"/>
        <v>106541.92332118517</v>
      </c>
      <c r="H121" s="209">
        <f t="shared" si="39"/>
        <v>103823.20695839082</v>
      </c>
      <c r="I121" s="209">
        <f t="shared" si="39"/>
        <v>101026.14052841489</v>
      </c>
      <c r="J121" s="209">
        <f t="shared" si="39"/>
        <v>98150.724031257399</v>
      </c>
      <c r="K121" s="209">
        <f t="shared" si="39"/>
        <v>95196.957466918349</v>
      </c>
      <c r="L121" s="209">
        <f t="shared" si="39"/>
        <v>92164.840835397728</v>
      </c>
      <c r="M121" s="209">
        <f t="shared" si="39"/>
        <v>89054.374136695536</v>
      </c>
      <c r="N121" s="209">
        <f t="shared" si="39"/>
        <v>85865.557370811774</v>
      </c>
      <c r="O121" s="209">
        <f t="shared" si="39"/>
        <v>82598.390537746454</v>
      </c>
      <c r="P121" s="209">
        <f t="shared" si="39"/>
        <v>79252.873637499564</v>
      </c>
      <c r="Q121" s="209">
        <f t="shared" si="39"/>
        <v>75829.006670071103</v>
      </c>
      <c r="R121" s="209">
        <f t="shared" si="39"/>
        <v>72326.789635461086</v>
      </c>
      <c r="S121" s="209">
        <f t="shared" si="39"/>
        <v>68746.222533669497</v>
      </c>
      <c r="T121" s="209">
        <f t="shared" si="39"/>
        <v>65087.305364696345</v>
      </c>
      <c r="U121" s="209">
        <f t="shared" si="39"/>
        <v>61350.038128541622</v>
      </c>
      <c r="V121" s="209">
        <f t="shared" si="39"/>
        <v>57534.420825205336</v>
      </c>
      <c r="W121" s="209">
        <f t="shared" si="39"/>
        <v>53640.453454687478</v>
      </c>
      <c r="X121" s="209">
        <f t="shared" si="39"/>
        <v>49668.136016988057</v>
      </c>
      <c r="Y121" s="209">
        <f t="shared" si="39"/>
        <v>45617.468512107072</v>
      </c>
      <c r="Z121" s="209">
        <f t="shared" si="39"/>
        <v>41488.450940044524</v>
      </c>
      <c r="AA121" s="209">
        <f t="shared" si="39"/>
        <v>37281.083300800405</v>
      </c>
      <c r="AB121" s="209">
        <f t="shared" si="39"/>
        <v>32995.365594374722</v>
      </c>
      <c r="AC121" s="209">
        <f t="shared" si="39"/>
        <v>28631.297820767471</v>
      </c>
      <c r="AD121" s="209">
        <f t="shared" si="39"/>
        <v>24188.879979978654</v>
      </c>
      <c r="AE121" s="209">
        <f t="shared" si="39"/>
        <v>19668.112072008273</v>
      </c>
      <c r="AF121" s="209">
        <f t="shared" si="39"/>
        <v>15068.994096856324</v>
      </c>
      <c r="AG121" s="209">
        <f t="shared" si="39"/>
        <v>10391.526054522808</v>
      </c>
      <c r="AH121" s="209">
        <f t="shared" si="39"/>
        <v>5635.7079450077281</v>
      </c>
    </row>
    <row r="122" spans="1:34" ht="12.6" hidden="1" customHeight="1">
      <c r="A122" s="207" t="s">
        <v>61</v>
      </c>
      <c r="B122" s="341">
        <f>'Project Assumptions'!I43</f>
        <v>0.06</v>
      </c>
      <c r="C122" s="341"/>
      <c r="E122" s="222">
        <f>-IPMT($D$22/2,E120,15*2,$E$74)</f>
        <v>3400.3478322366873</v>
      </c>
      <c r="F122" s="222">
        <f t="shared" ref="F122:AH122" si="40">-IPMT($D$22/2*F119,F120,15*2,$E$74)</f>
        <v>2322.4840174134706</v>
      </c>
      <c r="G122" s="222">
        <f t="shared" si="40"/>
        <v>2331.8149347812291</v>
      </c>
      <c r="H122" s="222">
        <f t="shared" si="40"/>
        <v>2337.4782123467053</v>
      </c>
      <c r="I122" s="222">
        <f t="shared" si="40"/>
        <v>2339.3314844751294</v>
      </c>
      <c r="J122" s="222">
        <f t="shared" si="40"/>
        <v>2337.2159746761326</v>
      </c>
      <c r="K122" s="222">
        <f t="shared" si="40"/>
        <v>2330.9555171610873</v>
      </c>
      <c r="L122" s="222">
        <f t="shared" si="40"/>
        <v>2320.3554602465065</v>
      </c>
      <c r="M122" s="222">
        <f t="shared" si="40"/>
        <v>2305.2014420573182</v>
      </c>
      <c r="N122" s="222">
        <f t="shared" si="40"/>
        <v>2285.258027771552</v>
      </c>
      <c r="O122" s="222">
        <f t="shared" si="40"/>
        <v>2260.2671963149483</v>
      </c>
      <c r="P122" s="222">
        <f t="shared" si="40"/>
        <v>2229.9466629437197</v>
      </c>
      <c r="Q122" s="222">
        <f t="shared" si="40"/>
        <v>2193.9880225283282</v>
      </c>
      <c r="R122" s="222">
        <f t="shared" si="40"/>
        <v>2152.054696550284</v>
      </c>
      <c r="S122" s="222">
        <f t="shared" si="40"/>
        <v>2103.7796648249164</v>
      </c>
      <c r="T122" s="222">
        <f t="shared" si="40"/>
        <v>2048.7629607402605</v>
      </c>
      <c r="U122" s="222">
        <f t="shared" si="40"/>
        <v>1986.568906327027</v>
      </c>
      <c r="V122" s="222">
        <f t="shared" si="40"/>
        <v>1916.7230607145668</v>
      </c>
      <c r="W122" s="222">
        <f t="shared" si="40"/>
        <v>1838.7088524463245</v>
      </c>
      <c r="X122" s="222">
        <f t="shared" si="40"/>
        <v>1751.9638626843969</v>
      </c>
      <c r="Y122" s="222">
        <f t="shared" si="40"/>
        <v>1655.8757224796666</v>
      </c>
      <c r="Z122" s="222">
        <f t="shared" si="40"/>
        <v>1549.7775829688205</v>
      </c>
      <c r="AA122" s="222">
        <f t="shared" si="40"/>
        <v>1432.9431125230258</v>
      </c>
      <c r="AB122" s="222">
        <f t="shared" si="40"/>
        <v>1304.5809694466327</v>
      </c>
      <c r="AC122" s="222">
        <f t="shared" si="40"/>
        <v>1163.8286927321503</v>
      </c>
      <c r="AD122" s="222">
        <f t="shared" si="40"/>
        <v>1009.7459465318838</v>
      </c>
      <c r="AE122" s="222">
        <f t="shared" si="40"/>
        <v>841.30704630834975</v>
      </c>
      <c r="AF122" s="222">
        <f t="shared" si="40"/>
        <v>657.39268596244972</v>
      </c>
      <c r="AG122" s="222">
        <f t="shared" si="40"/>
        <v>456.78077548164055</v>
      </c>
      <c r="AH122" s="222">
        <f t="shared" si="40"/>
        <v>238.13628765486047</v>
      </c>
    </row>
    <row r="123" spans="1:34" ht="12.6" hidden="1" customHeight="1">
      <c r="A123" s="207" t="s">
        <v>62</v>
      </c>
      <c r="E123" s="222">
        <f>$E$121/('Project Assumptions'!$I$42*2)*'Debt Amortization'!E119</f>
        <v>3976.265909464501</v>
      </c>
      <c r="F123" s="222">
        <f>$E$121/('Project Assumptions'!$I$42*2)*'Debt Amortization'!F119</f>
        <v>2640.366295612791</v>
      </c>
      <c r="G123" s="222">
        <f>$E$121/('Project Assumptions'!$I$42*2)*'Debt Amortization'!G119</f>
        <v>2718.7163627943573</v>
      </c>
      <c r="H123" s="222">
        <f>$E$121/('Project Assumptions'!$I$42*2)*'Debt Amortization'!H119</f>
        <v>2797.0664299759237</v>
      </c>
      <c r="I123" s="222">
        <f>$E$121/('Project Assumptions'!$I$42*2)*'Debt Amortization'!I119</f>
        <v>2875.4164971574905</v>
      </c>
      <c r="J123" s="222">
        <f>$E$121/('Project Assumptions'!$I$42*2)*'Debt Amortization'!J119</f>
        <v>2953.7665643390569</v>
      </c>
      <c r="K123" s="222">
        <f>$E$121/('Project Assumptions'!$I$42*2)*'Debt Amortization'!K119</f>
        <v>3032.1166315206233</v>
      </c>
      <c r="L123" s="222">
        <f>$E$121/('Project Assumptions'!$I$42*2)*'Debt Amortization'!L119</f>
        <v>3110.4666987021897</v>
      </c>
      <c r="M123" s="222">
        <f>$E$121/('Project Assumptions'!$I$42*2)*'Debt Amortization'!M119</f>
        <v>3188.8167658837565</v>
      </c>
      <c r="N123" s="222">
        <f>$E$121/('Project Assumptions'!$I$42*2)*'Debt Amortization'!N119</f>
        <v>3267.1668330653229</v>
      </c>
      <c r="O123" s="222">
        <f>$E$121/('Project Assumptions'!$I$42*2)*'Debt Amortization'!O119</f>
        <v>3345.5169002468892</v>
      </c>
      <c r="P123" s="222">
        <f>$E$121/('Project Assumptions'!$I$42*2)*'Debt Amortization'!P119</f>
        <v>3423.8669674284556</v>
      </c>
      <c r="Q123" s="222">
        <f>$E$121/('Project Assumptions'!$I$42*2)*'Debt Amortization'!Q119</f>
        <v>3502.2170346100224</v>
      </c>
      <c r="R123" s="222">
        <f>$E$121/('Project Assumptions'!$I$42*2)*'Debt Amortization'!R119</f>
        <v>3580.5671017915888</v>
      </c>
      <c r="S123" s="222">
        <f>$E$121/('Project Assumptions'!$I$42*2)*'Debt Amortization'!S119</f>
        <v>3658.9171689731552</v>
      </c>
      <c r="T123" s="222">
        <f>$E$121/('Project Assumptions'!$I$42*2)*'Debt Amortization'!T119</f>
        <v>3737.2672361547216</v>
      </c>
      <c r="U123" s="222">
        <f>$E$121/('Project Assumptions'!$I$42*2)*'Debt Amortization'!U119</f>
        <v>3815.6173033362879</v>
      </c>
      <c r="V123" s="222">
        <f>$E$121/('Project Assumptions'!$I$42*2)*'Debt Amortization'!V119</f>
        <v>3893.9673705178539</v>
      </c>
      <c r="W123" s="222">
        <f>$E$121/('Project Assumptions'!$I$42*2)*'Debt Amortization'!W119</f>
        <v>3972.3174376994198</v>
      </c>
      <c r="X123" s="222">
        <f>$E$121/('Project Assumptions'!$I$42*2)*'Debt Amortization'!X119</f>
        <v>4050.6675048809861</v>
      </c>
      <c r="Y123" s="222">
        <f>$E$121/('Project Assumptions'!$I$42*2)*'Debt Amortization'!Y119</f>
        <v>4129.0175720625521</v>
      </c>
      <c r="Z123" s="222">
        <f>$E$121/('Project Assumptions'!$I$42*2)*'Debt Amortization'!Z119</f>
        <v>4207.3676392441184</v>
      </c>
      <c r="AA123" s="222">
        <f>$E$121/('Project Assumptions'!$I$42*2)*'Debt Amortization'!AA119</f>
        <v>4285.7177064256839</v>
      </c>
      <c r="AB123" s="222">
        <f>$E$121/('Project Assumptions'!$I$42*2)*'Debt Amortization'!AB119</f>
        <v>4364.0677736072503</v>
      </c>
      <c r="AC123" s="222">
        <f>$E$121/('Project Assumptions'!$I$42*2)*'Debt Amortization'!AC119</f>
        <v>4442.4178407888166</v>
      </c>
      <c r="AD123" s="222">
        <f>$E$121/('Project Assumptions'!$I$42*2)*'Debt Amortization'!AD119</f>
        <v>4520.7679079703821</v>
      </c>
      <c r="AE123" s="222">
        <f>$E$121/('Project Assumptions'!$I$42*2)*'Debt Amortization'!AE119</f>
        <v>4599.1179751519485</v>
      </c>
      <c r="AF123" s="222">
        <f>$E$121/('Project Assumptions'!$I$42*2)*'Debt Amortization'!AF119</f>
        <v>4677.4680423335149</v>
      </c>
      <c r="AG123" s="222">
        <f>$E$121/('Project Assumptions'!$I$42*2)*'Debt Amortization'!AG119</f>
        <v>4755.8181095150803</v>
      </c>
      <c r="AH123" s="222">
        <f>$E$121/('Project Assumptions'!$I$42*2)*'Debt Amortization'!AH119</f>
        <v>4834.1681766966467</v>
      </c>
    </row>
    <row r="124" spans="1:34" ht="12.6" hidden="1" customHeight="1">
      <c r="A124" s="207" t="s">
        <v>63</v>
      </c>
      <c r="E124" s="222">
        <f t="shared" ref="E124:AH124" si="41">SUM(E122:E123)</f>
        <v>7376.6137417011887</v>
      </c>
      <c r="F124" s="222">
        <f t="shared" si="41"/>
        <v>4962.8503130262616</v>
      </c>
      <c r="G124" s="222">
        <f t="shared" si="41"/>
        <v>5050.531297575586</v>
      </c>
      <c r="H124" s="222">
        <f t="shared" si="41"/>
        <v>5134.5446423226294</v>
      </c>
      <c r="I124" s="222">
        <f t="shared" si="41"/>
        <v>5214.7479816326195</v>
      </c>
      <c r="J124" s="222">
        <f t="shared" si="41"/>
        <v>5290.9825390151891</v>
      </c>
      <c r="K124" s="222">
        <f t="shared" si="41"/>
        <v>5363.072148681711</v>
      </c>
      <c r="L124" s="222">
        <f t="shared" si="41"/>
        <v>5430.8221589486966</v>
      </c>
      <c r="M124" s="222">
        <f t="shared" si="41"/>
        <v>5494.0182079410752</v>
      </c>
      <c r="N124" s="222">
        <f t="shared" si="41"/>
        <v>5552.4248608368744</v>
      </c>
      <c r="O124" s="222">
        <f t="shared" si="41"/>
        <v>5605.7840965618379</v>
      </c>
      <c r="P124" s="222">
        <f t="shared" si="41"/>
        <v>5653.8136303721749</v>
      </c>
      <c r="Q124" s="222">
        <f t="shared" si="41"/>
        <v>5696.2050571383506</v>
      </c>
      <c r="R124" s="222">
        <f t="shared" si="41"/>
        <v>5732.6217983418728</v>
      </c>
      <c r="S124" s="222">
        <f t="shared" si="41"/>
        <v>5762.6968337980716</v>
      </c>
      <c r="T124" s="222">
        <f t="shared" si="41"/>
        <v>5786.0301968949825</v>
      </c>
      <c r="U124" s="222">
        <f t="shared" si="41"/>
        <v>5802.1862096633149</v>
      </c>
      <c r="V124" s="222">
        <f t="shared" si="41"/>
        <v>5810.6904312324205</v>
      </c>
      <c r="W124" s="222">
        <f t="shared" si="41"/>
        <v>5811.0262901457445</v>
      </c>
      <c r="X124" s="222">
        <f t="shared" si="41"/>
        <v>5802.6313675653828</v>
      </c>
      <c r="Y124" s="222">
        <f t="shared" si="41"/>
        <v>5784.8932945422184</v>
      </c>
      <c r="Z124" s="222">
        <f t="shared" si="41"/>
        <v>5757.1452222129392</v>
      </c>
      <c r="AA124" s="222">
        <f t="shared" si="41"/>
        <v>5718.6608189487097</v>
      </c>
      <c r="AB124" s="222">
        <f t="shared" si="41"/>
        <v>5668.6487430538828</v>
      </c>
      <c r="AC124" s="222">
        <f t="shared" si="41"/>
        <v>5606.2465335209672</v>
      </c>
      <c r="AD124" s="222">
        <f t="shared" si="41"/>
        <v>5530.5138545022655</v>
      </c>
      <c r="AE124" s="222">
        <f t="shared" si="41"/>
        <v>5440.425021460298</v>
      </c>
      <c r="AF124" s="222">
        <f t="shared" si="41"/>
        <v>5334.8607282959647</v>
      </c>
      <c r="AG124" s="222">
        <f t="shared" si="41"/>
        <v>5212.5988849967207</v>
      </c>
      <c r="AH124" s="222">
        <f t="shared" si="41"/>
        <v>5072.3044643515068</v>
      </c>
    </row>
    <row r="125" spans="1:34" ht="12.6" hidden="1" customHeight="1">
      <c r="A125" s="207" t="s">
        <v>64</v>
      </c>
      <c r="E125" s="209">
        <f t="shared" ref="E125:AG125" si="42">E121-E123</f>
        <v>109182.28961679796</v>
      </c>
      <c r="F125" s="209">
        <f t="shared" si="42"/>
        <v>106541.92332118517</v>
      </c>
      <c r="G125" s="209">
        <f t="shared" si="42"/>
        <v>103823.20695839082</v>
      </c>
      <c r="H125" s="209">
        <f t="shared" si="42"/>
        <v>101026.14052841489</v>
      </c>
      <c r="I125" s="209">
        <f t="shared" si="42"/>
        <v>98150.724031257399</v>
      </c>
      <c r="J125" s="209">
        <f t="shared" si="42"/>
        <v>95196.957466918349</v>
      </c>
      <c r="K125" s="209">
        <f t="shared" si="42"/>
        <v>92164.840835397728</v>
      </c>
      <c r="L125" s="209">
        <f t="shared" si="42"/>
        <v>89054.374136695536</v>
      </c>
      <c r="M125" s="209">
        <f t="shared" si="42"/>
        <v>85865.557370811774</v>
      </c>
      <c r="N125" s="209">
        <f t="shared" si="42"/>
        <v>82598.390537746454</v>
      </c>
      <c r="O125" s="209">
        <f t="shared" si="42"/>
        <v>79252.873637499564</v>
      </c>
      <c r="P125" s="209">
        <f t="shared" si="42"/>
        <v>75829.006670071103</v>
      </c>
      <c r="Q125" s="209">
        <f t="shared" si="42"/>
        <v>72326.789635461086</v>
      </c>
      <c r="R125" s="209">
        <f t="shared" si="42"/>
        <v>68746.222533669497</v>
      </c>
      <c r="S125" s="209">
        <f t="shared" si="42"/>
        <v>65087.305364696345</v>
      </c>
      <c r="T125" s="209">
        <f t="shared" si="42"/>
        <v>61350.038128541622</v>
      </c>
      <c r="U125" s="209">
        <f t="shared" si="42"/>
        <v>57534.420825205336</v>
      </c>
      <c r="V125" s="209">
        <f t="shared" si="42"/>
        <v>53640.453454687478</v>
      </c>
      <c r="W125" s="209">
        <f t="shared" si="42"/>
        <v>49668.136016988057</v>
      </c>
      <c r="X125" s="209">
        <f t="shared" si="42"/>
        <v>45617.468512107072</v>
      </c>
      <c r="Y125" s="209">
        <f t="shared" si="42"/>
        <v>41488.450940044524</v>
      </c>
      <c r="Z125" s="209">
        <f t="shared" si="42"/>
        <v>37281.083300800405</v>
      </c>
      <c r="AA125" s="209">
        <f t="shared" si="42"/>
        <v>32995.365594374722</v>
      </c>
      <c r="AB125" s="209">
        <f t="shared" si="42"/>
        <v>28631.297820767471</v>
      </c>
      <c r="AC125" s="209">
        <f t="shared" si="42"/>
        <v>24188.879979978654</v>
      </c>
      <c r="AD125" s="209">
        <f t="shared" si="42"/>
        <v>19668.112072008273</v>
      </c>
      <c r="AE125" s="209">
        <f t="shared" si="42"/>
        <v>15068.994096856324</v>
      </c>
      <c r="AF125" s="209">
        <f t="shared" si="42"/>
        <v>10391.526054522808</v>
      </c>
      <c r="AG125" s="209">
        <f t="shared" si="42"/>
        <v>5635.7079450077281</v>
      </c>
      <c r="AH125" s="209">
        <f>AH121-AH123</f>
        <v>801.53976831108139</v>
      </c>
    </row>
    <row r="126" spans="1:34" hidden="1"/>
    <row r="127" spans="1:34" hidden="1"/>
    <row r="128" spans="1:34" ht="12.6" hidden="1" customHeight="1">
      <c r="A128" s="294"/>
    </row>
    <row r="129" spans="1:34" ht="12.6" hidden="1" customHeight="1">
      <c r="B129" s="341"/>
      <c r="C129" s="341"/>
      <c r="E129" s="222"/>
      <c r="F129" s="209"/>
      <c r="G129" s="209"/>
      <c r="H129" s="209"/>
      <c r="I129" s="209"/>
      <c r="J129" s="209"/>
      <c r="K129" s="209"/>
      <c r="L129" s="209"/>
      <c r="M129" s="209"/>
      <c r="N129" s="209"/>
      <c r="O129" s="209"/>
      <c r="P129" s="209"/>
      <c r="Q129" s="209"/>
      <c r="R129" s="209"/>
      <c r="S129" s="209"/>
      <c r="T129" s="209"/>
      <c r="U129" s="209"/>
      <c r="V129" s="209"/>
      <c r="W129" s="209"/>
      <c r="X129" s="209"/>
      <c r="Y129" s="209"/>
      <c r="Z129" s="209"/>
      <c r="AA129" s="209"/>
      <c r="AB129" s="209"/>
      <c r="AC129" s="209"/>
      <c r="AD129" s="209"/>
      <c r="AE129" s="209"/>
      <c r="AF129" s="209"/>
      <c r="AG129" s="209"/>
      <c r="AH129" s="209"/>
    </row>
    <row r="130" spans="1:34" ht="12.6" hidden="1" customHeight="1">
      <c r="B130" s="341"/>
      <c r="C130" s="341"/>
      <c r="E130" s="222"/>
      <c r="F130" s="209"/>
      <c r="G130" s="209"/>
      <c r="H130" s="209"/>
      <c r="I130" s="209"/>
      <c r="J130" s="209"/>
      <c r="K130" s="209"/>
      <c r="L130" s="209"/>
      <c r="M130" s="209"/>
      <c r="N130" s="209"/>
      <c r="O130" s="209"/>
      <c r="P130" s="209"/>
      <c r="Q130" s="209"/>
      <c r="R130" s="209"/>
      <c r="S130" s="209"/>
      <c r="T130" s="209"/>
      <c r="U130" s="209"/>
      <c r="V130" s="209"/>
      <c r="W130" s="209"/>
      <c r="X130" s="209"/>
      <c r="Y130" s="209"/>
      <c r="Z130" s="209"/>
      <c r="AA130" s="209"/>
      <c r="AB130" s="209"/>
      <c r="AC130" s="209"/>
      <c r="AD130" s="209"/>
      <c r="AE130" s="209"/>
      <c r="AF130" s="209"/>
      <c r="AG130" s="209"/>
      <c r="AH130" s="209"/>
    </row>
    <row r="131" spans="1:34" ht="12.6" hidden="1" customHeight="1">
      <c r="E131" s="222">
        <f>E120</f>
        <v>1</v>
      </c>
      <c r="F131" s="222">
        <f t="shared" ref="F131:AH131" si="43">F120</f>
        <v>2</v>
      </c>
      <c r="G131" s="222">
        <f t="shared" si="43"/>
        <v>3</v>
      </c>
      <c r="H131" s="222">
        <f t="shared" si="43"/>
        <v>4</v>
      </c>
      <c r="I131" s="222">
        <f t="shared" si="43"/>
        <v>5</v>
      </c>
      <c r="J131" s="222">
        <f t="shared" si="43"/>
        <v>6</v>
      </c>
      <c r="K131" s="222">
        <f t="shared" si="43"/>
        <v>7</v>
      </c>
      <c r="L131" s="222">
        <f t="shared" si="43"/>
        <v>8</v>
      </c>
      <c r="M131" s="222">
        <f t="shared" si="43"/>
        <v>9</v>
      </c>
      <c r="N131" s="222">
        <f t="shared" si="43"/>
        <v>10</v>
      </c>
      <c r="O131" s="222">
        <f t="shared" si="43"/>
        <v>11</v>
      </c>
      <c r="P131" s="222">
        <f t="shared" si="43"/>
        <v>12</v>
      </c>
      <c r="Q131" s="222">
        <f t="shared" si="43"/>
        <v>13</v>
      </c>
      <c r="R131" s="222">
        <f t="shared" si="43"/>
        <v>14</v>
      </c>
      <c r="S131" s="222">
        <f t="shared" si="43"/>
        <v>15</v>
      </c>
      <c r="T131" s="222">
        <f t="shared" si="43"/>
        <v>16</v>
      </c>
      <c r="U131" s="222">
        <f t="shared" si="43"/>
        <v>17</v>
      </c>
      <c r="V131" s="222">
        <f t="shared" si="43"/>
        <v>18</v>
      </c>
      <c r="W131" s="222">
        <f t="shared" si="43"/>
        <v>19</v>
      </c>
      <c r="X131" s="222">
        <f t="shared" si="43"/>
        <v>20</v>
      </c>
      <c r="Y131" s="222">
        <f t="shared" si="43"/>
        <v>21</v>
      </c>
      <c r="Z131" s="222">
        <f t="shared" si="43"/>
        <v>22</v>
      </c>
      <c r="AA131" s="222">
        <f t="shared" si="43"/>
        <v>23</v>
      </c>
      <c r="AB131" s="222">
        <f t="shared" si="43"/>
        <v>24</v>
      </c>
      <c r="AC131" s="222">
        <f t="shared" si="43"/>
        <v>25</v>
      </c>
      <c r="AD131" s="222">
        <f t="shared" si="43"/>
        <v>26</v>
      </c>
      <c r="AE131" s="222">
        <f t="shared" si="43"/>
        <v>27</v>
      </c>
      <c r="AF131" s="222">
        <f t="shared" si="43"/>
        <v>28</v>
      </c>
      <c r="AG131" s="222">
        <f t="shared" si="43"/>
        <v>29</v>
      </c>
      <c r="AH131" s="222">
        <f t="shared" si="43"/>
        <v>30</v>
      </c>
    </row>
    <row r="132" spans="1:34" ht="12.6" hidden="1" customHeight="1">
      <c r="A132" s="207" t="s">
        <v>60</v>
      </c>
      <c r="B132" s="341"/>
      <c r="C132" s="341"/>
      <c r="E132" s="222">
        <f>'Project Assumptions'!$C$49*'Project Assumptions'!$I$38</f>
        <v>113158.55552626247</v>
      </c>
      <c r="F132" s="209">
        <f t="shared" ref="F132:AH132" si="44">E136</f>
        <v>109386.60367538706</v>
      </c>
      <c r="G132" s="209">
        <f t="shared" si="44"/>
        <v>105614.65182451165</v>
      </c>
      <c r="H132" s="209">
        <f t="shared" si="44"/>
        <v>101842.69997363623</v>
      </c>
      <c r="I132" s="209">
        <f t="shared" si="44"/>
        <v>98070.748122760822</v>
      </c>
      <c r="J132" s="209">
        <f t="shared" si="44"/>
        <v>94298.796271885411</v>
      </c>
      <c r="K132" s="209">
        <f t="shared" si="44"/>
        <v>90526.844421009999</v>
      </c>
      <c r="L132" s="209">
        <f t="shared" si="44"/>
        <v>86754.892570134587</v>
      </c>
      <c r="M132" s="209">
        <f t="shared" si="44"/>
        <v>82982.940719259175</v>
      </c>
      <c r="N132" s="209">
        <f t="shared" si="44"/>
        <v>79210.988868383763</v>
      </c>
      <c r="O132" s="209">
        <f t="shared" si="44"/>
        <v>75439.037017508352</v>
      </c>
      <c r="P132" s="209">
        <f t="shared" si="44"/>
        <v>71667.08516663294</v>
      </c>
      <c r="Q132" s="209">
        <f t="shared" si="44"/>
        <v>67895.133315757528</v>
      </c>
      <c r="R132" s="209">
        <f t="shared" si="44"/>
        <v>64123.181464882109</v>
      </c>
      <c r="S132" s="209">
        <f t="shared" si="44"/>
        <v>60351.22961400669</v>
      </c>
      <c r="T132" s="209">
        <f t="shared" si="44"/>
        <v>56579.277763131271</v>
      </c>
      <c r="U132" s="209">
        <f t="shared" si="44"/>
        <v>52807.325912255852</v>
      </c>
      <c r="V132" s="209">
        <f t="shared" si="44"/>
        <v>49035.374061380433</v>
      </c>
      <c r="W132" s="209">
        <f t="shared" si="44"/>
        <v>45263.422210505014</v>
      </c>
      <c r="X132" s="209">
        <f t="shared" si="44"/>
        <v>41491.470359629595</v>
      </c>
      <c r="Y132" s="209">
        <f t="shared" si="44"/>
        <v>37719.518508754176</v>
      </c>
      <c r="Z132" s="209">
        <f t="shared" si="44"/>
        <v>33947.566657878757</v>
      </c>
      <c r="AA132" s="209">
        <f t="shared" si="44"/>
        <v>30175.614807003341</v>
      </c>
      <c r="AB132" s="209">
        <f t="shared" si="44"/>
        <v>26403.662956127926</v>
      </c>
      <c r="AC132" s="209">
        <f t="shared" si="44"/>
        <v>22631.711105252511</v>
      </c>
      <c r="AD132" s="209">
        <f t="shared" si="44"/>
        <v>18859.759254377095</v>
      </c>
      <c r="AE132" s="209">
        <f t="shared" si="44"/>
        <v>15087.80740350168</v>
      </c>
      <c r="AF132" s="209">
        <f t="shared" si="44"/>
        <v>11315.855552626264</v>
      </c>
      <c r="AG132" s="209">
        <f t="shared" si="44"/>
        <v>7543.903701750849</v>
      </c>
      <c r="AH132" s="209">
        <f t="shared" si="44"/>
        <v>3771.9518508754331</v>
      </c>
    </row>
    <row r="133" spans="1:34" ht="12.6" hidden="1" customHeight="1">
      <c r="A133" s="207" t="s">
        <v>61</v>
      </c>
      <c r="B133" s="341"/>
      <c r="C133" s="341"/>
      <c r="E133" s="222">
        <f>-IPMT($D$22/2,E131,15*2,$E$74)</f>
        <v>3400.3478322366873</v>
      </c>
      <c r="F133" s="222">
        <f>-IPMT($D$22/2,F131,15*2,$E$74)</f>
        <v>3328.8750393718451</v>
      </c>
      <c r="G133" s="222">
        <f t="shared" ref="G133:AH133" si="45">-IPMT($D$22/2,G131,15*2,$E$74)</f>
        <v>3255.2580627210591</v>
      </c>
      <c r="H133" s="222">
        <f t="shared" si="45"/>
        <v>3179.4325767707478</v>
      </c>
      <c r="I133" s="222">
        <f t="shared" si="45"/>
        <v>3101.3323262419281</v>
      </c>
      <c r="J133" s="222">
        <f t="shared" si="45"/>
        <v>3020.8890681972434</v>
      </c>
      <c r="K133" s="222">
        <f t="shared" si="45"/>
        <v>2938.0325124112192</v>
      </c>
      <c r="L133" s="222">
        <f t="shared" si="45"/>
        <v>2852.6902599516134</v>
      </c>
      <c r="M133" s="222">
        <f t="shared" si="45"/>
        <v>2764.7877399182189</v>
      </c>
      <c r="N133" s="222">
        <f t="shared" si="45"/>
        <v>2674.2481442838234</v>
      </c>
      <c r="O133" s="222">
        <f t="shared" si="45"/>
        <v>2580.9923607803958</v>
      </c>
      <c r="P133" s="222">
        <f t="shared" si="45"/>
        <v>2484.9389037718652</v>
      </c>
      <c r="Q133" s="222">
        <f t="shared" si="45"/>
        <v>2386.0038430530794</v>
      </c>
      <c r="R133" s="222">
        <f t="shared" si="45"/>
        <v>2284.1007305127291</v>
      </c>
      <c r="S133" s="222">
        <f t="shared" si="45"/>
        <v>2179.1405245961687</v>
      </c>
      <c r="T133" s="222">
        <f t="shared" si="45"/>
        <v>2071.0315125021111</v>
      </c>
      <c r="U133" s="222">
        <f t="shared" si="45"/>
        <v>1959.6792300452325</v>
      </c>
      <c r="V133" s="222">
        <f t="shared" si="45"/>
        <v>1844.9863791146479</v>
      </c>
      <c r="W133" s="222">
        <f t="shared" si="45"/>
        <v>1726.8527426561438</v>
      </c>
      <c r="X133" s="222">
        <f t="shared" si="45"/>
        <v>1605.1750971038875</v>
      </c>
      <c r="Y133" s="222">
        <f t="shared" si="45"/>
        <v>1479.8471221850605</v>
      </c>
      <c r="Z133" s="222">
        <f t="shared" si="45"/>
        <v>1350.7593080186716</v>
      </c>
      <c r="AA133" s="222">
        <f t="shared" si="45"/>
        <v>1217.7988594272883</v>
      </c>
      <c r="AB133" s="222">
        <f t="shared" si="45"/>
        <v>1080.8495973781635</v>
      </c>
      <c r="AC133" s="222">
        <f t="shared" si="45"/>
        <v>939.79185746756821</v>
      </c>
      <c r="AD133" s="222">
        <f t="shared" si="45"/>
        <v>794.50238535965264</v>
      </c>
      <c r="AE133" s="222">
        <f t="shared" si="45"/>
        <v>644.85422908849785</v>
      </c>
      <c r="AF133" s="222">
        <f t="shared" si="45"/>
        <v>490.71662812921215</v>
      </c>
      <c r="AG133" s="222">
        <f t="shared" si="45"/>
        <v>331.95489914114557</v>
      </c>
      <c r="AH133" s="222">
        <f t="shared" si="45"/>
        <v>168.43031828343808</v>
      </c>
    </row>
    <row r="134" spans="1:34" ht="12.6" hidden="1" customHeight="1">
      <c r="A134" s="207" t="s">
        <v>62</v>
      </c>
      <c r="E134" s="222">
        <f>$E$121/('Project Assumptions'!$I$42*2)</f>
        <v>3771.9518508754159</v>
      </c>
      <c r="F134" s="222">
        <f>$E$121/('Project Assumptions'!$I$42*2)</f>
        <v>3771.9518508754159</v>
      </c>
      <c r="G134" s="222">
        <f>$E$121/('Project Assumptions'!$I$42*2)</f>
        <v>3771.9518508754159</v>
      </c>
      <c r="H134" s="222">
        <f>$E$121/('Project Assumptions'!$I$42*2)</f>
        <v>3771.9518508754159</v>
      </c>
      <c r="I134" s="222">
        <f>$E$121/('Project Assumptions'!$I$42*2)</f>
        <v>3771.9518508754159</v>
      </c>
      <c r="J134" s="222">
        <f>$E$121/('Project Assumptions'!$I$42*2)</f>
        <v>3771.9518508754159</v>
      </c>
      <c r="K134" s="222">
        <f>$E$121/('Project Assumptions'!$I$42*2)</f>
        <v>3771.9518508754159</v>
      </c>
      <c r="L134" s="222">
        <f>$E$121/('Project Assumptions'!$I$42*2)</f>
        <v>3771.9518508754159</v>
      </c>
      <c r="M134" s="222">
        <f>$E$121/('Project Assumptions'!$I$42*2)</f>
        <v>3771.9518508754159</v>
      </c>
      <c r="N134" s="222">
        <f>$E$121/('Project Assumptions'!$I$42*2)</f>
        <v>3771.9518508754159</v>
      </c>
      <c r="O134" s="222">
        <f>$E$121/('Project Assumptions'!$I$42*2)</f>
        <v>3771.9518508754159</v>
      </c>
      <c r="P134" s="222">
        <f>$E$121/('Project Assumptions'!$I$42*2)</f>
        <v>3771.9518508754159</v>
      </c>
      <c r="Q134" s="222">
        <f>$E$121/('Project Assumptions'!$I$42*2)</f>
        <v>3771.9518508754159</v>
      </c>
      <c r="R134" s="222">
        <f>$E$121/('Project Assumptions'!$I$42*2)</f>
        <v>3771.9518508754159</v>
      </c>
      <c r="S134" s="222">
        <f>$E$121/('Project Assumptions'!$I$42*2)</f>
        <v>3771.9518508754159</v>
      </c>
      <c r="T134" s="222">
        <f>$E$121/('Project Assumptions'!$I$42*2)</f>
        <v>3771.9518508754159</v>
      </c>
      <c r="U134" s="222">
        <f>$E$121/('Project Assumptions'!$I$42*2)</f>
        <v>3771.9518508754159</v>
      </c>
      <c r="V134" s="222">
        <f>$E$121/('Project Assumptions'!$I$42*2)</f>
        <v>3771.9518508754159</v>
      </c>
      <c r="W134" s="222">
        <f>$E$121/('Project Assumptions'!$I$42*2)</f>
        <v>3771.9518508754159</v>
      </c>
      <c r="X134" s="222">
        <f>$E$121/('Project Assumptions'!$I$42*2)</f>
        <v>3771.9518508754159</v>
      </c>
      <c r="Y134" s="222">
        <f>$E$121/('Project Assumptions'!$I$42*2)</f>
        <v>3771.9518508754159</v>
      </c>
      <c r="Z134" s="222">
        <f>$E$121/('Project Assumptions'!$I$42*2)</f>
        <v>3771.9518508754159</v>
      </c>
      <c r="AA134" s="222">
        <f>$E$121/('Project Assumptions'!$I$42*2)</f>
        <v>3771.9518508754159</v>
      </c>
      <c r="AB134" s="222">
        <f>$E$121/('Project Assumptions'!$I$42*2)</f>
        <v>3771.9518508754159</v>
      </c>
      <c r="AC134" s="222">
        <f>$E$121/('Project Assumptions'!$I$42*2)</f>
        <v>3771.9518508754159</v>
      </c>
      <c r="AD134" s="222">
        <f>$E$121/('Project Assumptions'!$I$42*2)</f>
        <v>3771.9518508754159</v>
      </c>
      <c r="AE134" s="222">
        <f>$E$121/('Project Assumptions'!$I$42*2)</f>
        <v>3771.9518508754159</v>
      </c>
      <c r="AF134" s="222">
        <f>$E$121/('Project Assumptions'!$I$42*2)</f>
        <v>3771.9518508754159</v>
      </c>
      <c r="AG134" s="222">
        <f>$E$121/('Project Assumptions'!$I$42*2)</f>
        <v>3771.9518508754159</v>
      </c>
      <c r="AH134" s="222">
        <f>$E$121/('Project Assumptions'!$I$42*2)</f>
        <v>3771.9518508754159</v>
      </c>
    </row>
    <row r="135" spans="1:34" ht="12.6" hidden="1" customHeight="1">
      <c r="A135" s="207" t="s">
        <v>63</v>
      </c>
      <c r="E135" s="222">
        <f t="shared" ref="E135:AH135" si="46">SUM(E133:E134)</f>
        <v>7172.2996831121036</v>
      </c>
      <c r="F135" s="222">
        <f t="shared" si="46"/>
        <v>7100.826890247261</v>
      </c>
      <c r="G135" s="222">
        <f t="shared" si="46"/>
        <v>7027.2099135964745</v>
      </c>
      <c r="H135" s="222">
        <f t="shared" si="46"/>
        <v>6951.3844276461641</v>
      </c>
      <c r="I135" s="222">
        <f t="shared" si="46"/>
        <v>6873.2841771173444</v>
      </c>
      <c r="J135" s="222">
        <f t="shared" si="46"/>
        <v>6792.8409190726597</v>
      </c>
      <c r="K135" s="222">
        <f t="shared" si="46"/>
        <v>6709.984363286635</v>
      </c>
      <c r="L135" s="222">
        <f t="shared" si="46"/>
        <v>6624.6421108270297</v>
      </c>
      <c r="M135" s="222">
        <f t="shared" si="46"/>
        <v>6536.7395907936352</v>
      </c>
      <c r="N135" s="222">
        <f t="shared" si="46"/>
        <v>6446.1999951592388</v>
      </c>
      <c r="O135" s="222">
        <f t="shared" si="46"/>
        <v>6352.9442116558112</v>
      </c>
      <c r="P135" s="222">
        <f t="shared" si="46"/>
        <v>6256.890754647281</v>
      </c>
      <c r="Q135" s="222">
        <f t="shared" si="46"/>
        <v>6157.9556939284957</v>
      </c>
      <c r="R135" s="222">
        <f t="shared" si="46"/>
        <v>6056.052581388145</v>
      </c>
      <c r="S135" s="222">
        <f t="shared" si="46"/>
        <v>5951.0923754715841</v>
      </c>
      <c r="T135" s="222">
        <f t="shared" si="46"/>
        <v>5842.983363377527</v>
      </c>
      <c r="U135" s="222">
        <f t="shared" si="46"/>
        <v>5731.6310809206479</v>
      </c>
      <c r="V135" s="222">
        <f t="shared" si="46"/>
        <v>5616.9382299900635</v>
      </c>
      <c r="W135" s="222">
        <f t="shared" si="46"/>
        <v>5498.8045935315595</v>
      </c>
      <c r="X135" s="222">
        <f t="shared" si="46"/>
        <v>5377.1269479793036</v>
      </c>
      <c r="Y135" s="222">
        <f t="shared" si="46"/>
        <v>5251.7989730604768</v>
      </c>
      <c r="Z135" s="222">
        <f t="shared" si="46"/>
        <v>5122.7111588940879</v>
      </c>
      <c r="AA135" s="222">
        <f t="shared" si="46"/>
        <v>4989.7507103027037</v>
      </c>
      <c r="AB135" s="222">
        <f t="shared" si="46"/>
        <v>4852.8014482535791</v>
      </c>
      <c r="AC135" s="222">
        <f t="shared" si="46"/>
        <v>4711.7437083429841</v>
      </c>
      <c r="AD135" s="222">
        <f t="shared" si="46"/>
        <v>4566.4542362350685</v>
      </c>
      <c r="AE135" s="222">
        <f t="shared" si="46"/>
        <v>4416.8060799639134</v>
      </c>
      <c r="AF135" s="222">
        <f t="shared" si="46"/>
        <v>4262.6684790046284</v>
      </c>
      <c r="AG135" s="222">
        <f t="shared" si="46"/>
        <v>4103.9067500165611</v>
      </c>
      <c r="AH135" s="222">
        <f t="shared" si="46"/>
        <v>3940.3821691588541</v>
      </c>
    </row>
    <row r="136" spans="1:34" ht="12.6" hidden="1" customHeight="1">
      <c r="A136" s="207" t="s">
        <v>64</v>
      </c>
      <c r="E136" s="209">
        <f t="shared" ref="E136:AG136" si="47">E132-E134</f>
        <v>109386.60367538706</v>
      </c>
      <c r="F136" s="209">
        <f t="shared" si="47"/>
        <v>105614.65182451165</v>
      </c>
      <c r="G136" s="209">
        <f t="shared" si="47"/>
        <v>101842.69997363623</v>
      </c>
      <c r="H136" s="209">
        <f t="shared" si="47"/>
        <v>98070.748122760822</v>
      </c>
      <c r="I136" s="209">
        <f t="shared" si="47"/>
        <v>94298.796271885411</v>
      </c>
      <c r="J136" s="209">
        <f t="shared" si="47"/>
        <v>90526.844421009999</v>
      </c>
      <c r="K136" s="209">
        <f t="shared" si="47"/>
        <v>86754.892570134587</v>
      </c>
      <c r="L136" s="209">
        <f t="shared" si="47"/>
        <v>82982.940719259175</v>
      </c>
      <c r="M136" s="209">
        <f t="shared" si="47"/>
        <v>79210.988868383763</v>
      </c>
      <c r="N136" s="209">
        <f t="shared" si="47"/>
        <v>75439.037017508352</v>
      </c>
      <c r="O136" s="209">
        <f t="shared" si="47"/>
        <v>71667.08516663294</v>
      </c>
      <c r="P136" s="209">
        <f t="shared" si="47"/>
        <v>67895.133315757528</v>
      </c>
      <c r="Q136" s="209">
        <f t="shared" si="47"/>
        <v>64123.181464882109</v>
      </c>
      <c r="R136" s="209">
        <f t="shared" si="47"/>
        <v>60351.22961400669</v>
      </c>
      <c r="S136" s="209">
        <f t="shared" si="47"/>
        <v>56579.277763131271</v>
      </c>
      <c r="T136" s="209">
        <f t="shared" si="47"/>
        <v>52807.325912255852</v>
      </c>
      <c r="U136" s="209">
        <f t="shared" si="47"/>
        <v>49035.374061380433</v>
      </c>
      <c r="V136" s="209">
        <f t="shared" si="47"/>
        <v>45263.422210505014</v>
      </c>
      <c r="W136" s="209">
        <f t="shared" si="47"/>
        <v>41491.470359629595</v>
      </c>
      <c r="X136" s="209">
        <f t="shared" si="47"/>
        <v>37719.518508754176</v>
      </c>
      <c r="Y136" s="209">
        <f t="shared" si="47"/>
        <v>33947.566657878757</v>
      </c>
      <c r="Z136" s="209">
        <f t="shared" si="47"/>
        <v>30175.614807003341</v>
      </c>
      <c r="AA136" s="209">
        <f t="shared" si="47"/>
        <v>26403.662956127926</v>
      </c>
      <c r="AB136" s="209">
        <f t="shared" si="47"/>
        <v>22631.711105252511</v>
      </c>
      <c r="AC136" s="209">
        <f t="shared" si="47"/>
        <v>18859.759254377095</v>
      </c>
      <c r="AD136" s="209">
        <f t="shared" si="47"/>
        <v>15087.80740350168</v>
      </c>
      <c r="AE136" s="209">
        <f t="shared" si="47"/>
        <v>11315.855552626264</v>
      </c>
      <c r="AF136" s="209">
        <f t="shared" si="47"/>
        <v>7543.903701750849</v>
      </c>
      <c r="AG136" s="209">
        <f t="shared" si="47"/>
        <v>3771.9518508754331</v>
      </c>
      <c r="AH136" s="209">
        <f>AH132-AH134</f>
        <v>1.7280399333685637E-11</v>
      </c>
    </row>
    <row r="137" spans="1:34" hidden="1">
      <c r="A137" s="147"/>
      <c r="B137" s="377"/>
      <c r="C137" s="377"/>
      <c r="D137" s="377"/>
      <c r="E137" s="377"/>
      <c r="F137" s="377"/>
      <c r="G137" s="377"/>
      <c r="H137" s="377"/>
      <c r="I137" s="377"/>
      <c r="J137" s="377"/>
      <c r="K137" s="377"/>
      <c r="L137" s="377"/>
      <c r="M137" s="377"/>
      <c r="N137" s="377"/>
      <c r="O137" s="377"/>
      <c r="P137" s="377"/>
      <c r="Q137" s="377"/>
      <c r="R137" s="377"/>
      <c r="S137" s="377"/>
      <c r="T137" s="377"/>
      <c r="U137" s="377"/>
      <c r="V137" s="377"/>
      <c r="W137" s="377"/>
      <c r="X137" s="377"/>
      <c r="Y137" s="377"/>
      <c r="Z137" s="377"/>
      <c r="AA137" s="377"/>
      <c r="AB137" s="377"/>
      <c r="AC137" s="377"/>
      <c r="AD137" s="377"/>
      <c r="AE137" s="377"/>
      <c r="AF137" s="377"/>
      <c r="AG137" s="377"/>
    </row>
    <row r="138" spans="1:34" ht="12.6" hidden="1" customHeight="1">
      <c r="A138" s="294"/>
      <c r="C138" s="209">
        <f>SUM(E138:T138)-SUM(E135:AH135)</f>
        <v>6688.5499830182234</v>
      </c>
      <c r="E138" s="209">
        <f>'Book Income Statement'!C7</f>
        <v>6243.8375999999998</v>
      </c>
      <c r="F138" s="209">
        <f>'Book Income Statement'!D7</f>
        <v>11846.016</v>
      </c>
      <c r="G138" s="209">
        <f>'Book Income Statement'!E7</f>
        <v>11846.016</v>
      </c>
      <c r="H138" s="209">
        <f>'Book Income Statement'!F7</f>
        <v>11846.016</v>
      </c>
      <c r="I138" s="209">
        <f>'Book Income Statement'!G7</f>
        <v>11846.016</v>
      </c>
      <c r="J138" s="209">
        <f>'Book Income Statement'!H7</f>
        <v>11846.016</v>
      </c>
      <c r="K138" s="209">
        <f>'Book Income Statement'!I7</f>
        <v>11846.016</v>
      </c>
      <c r="L138" s="209">
        <f>'Book Income Statement'!J7</f>
        <v>11846.016</v>
      </c>
      <c r="M138" s="209">
        <f>'Book Income Statement'!K7</f>
        <v>11846.016</v>
      </c>
      <c r="N138" s="209">
        <f>'Book Income Statement'!L7</f>
        <v>11846.016</v>
      </c>
      <c r="O138" s="209">
        <f>'Book Income Statement'!M7</f>
        <v>11846.016</v>
      </c>
      <c r="P138" s="209">
        <f>'Book Income Statement'!N7</f>
        <v>11846.016</v>
      </c>
      <c r="Q138" s="209">
        <f>'Book Income Statement'!O7</f>
        <v>11846.016</v>
      </c>
      <c r="R138" s="209">
        <f>'Book Income Statement'!P7</f>
        <v>11846.016</v>
      </c>
      <c r="S138" s="209">
        <f>'Book Income Statement'!Q7</f>
        <v>11846.016</v>
      </c>
      <c r="T138" s="209">
        <f>'Book Income Statement'!R7</f>
        <v>7897.3440000000001</v>
      </c>
      <c r="U138" s="209"/>
    </row>
    <row r="139" spans="1:34" ht="12.6" customHeight="1">
      <c r="B139" s="341"/>
      <c r="D139" s="222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  <c r="AA139" s="209"/>
      <c r="AB139" s="209"/>
      <c r="AC139" s="209"/>
      <c r="AD139" s="209"/>
      <c r="AE139" s="209"/>
      <c r="AF139" s="209"/>
      <c r="AG139" s="209"/>
    </row>
    <row r="140" spans="1:34" ht="12.6" customHeight="1">
      <c r="B140" s="341"/>
      <c r="D140" s="222"/>
      <c r="E140" s="222"/>
      <c r="F140" s="222"/>
      <c r="G140" s="222"/>
      <c r="H140" s="222"/>
      <c r="I140" s="222"/>
      <c r="J140" s="222"/>
      <c r="K140" s="222"/>
      <c r="L140" s="222"/>
      <c r="M140" s="222"/>
      <c r="N140" s="222"/>
      <c r="O140" s="222"/>
      <c r="P140" s="222"/>
      <c r="Q140" s="222"/>
      <c r="R140" s="222"/>
      <c r="S140" s="222"/>
      <c r="T140" s="222"/>
      <c r="U140" s="222"/>
      <c r="V140" s="222"/>
      <c r="W140" s="222"/>
      <c r="X140" s="222"/>
      <c r="Y140" s="222"/>
      <c r="Z140" s="222"/>
      <c r="AA140" s="222"/>
      <c r="AB140" s="222"/>
      <c r="AC140" s="222"/>
      <c r="AD140" s="222"/>
      <c r="AE140" s="222"/>
      <c r="AF140" s="222"/>
      <c r="AG140" s="222"/>
    </row>
    <row r="141" spans="1:34" ht="12.6" customHeight="1">
      <c r="D141" s="222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T141" s="222"/>
      <c r="U141" s="222"/>
      <c r="V141" s="222"/>
      <c r="W141" s="222"/>
      <c r="X141" s="222"/>
      <c r="Y141" s="222"/>
      <c r="Z141" s="222"/>
      <c r="AA141" s="222"/>
      <c r="AB141" s="222"/>
      <c r="AC141" s="222"/>
      <c r="AD141" s="222"/>
      <c r="AE141" s="222"/>
      <c r="AF141" s="222"/>
      <c r="AG141" s="222"/>
    </row>
    <row r="142" spans="1:34" ht="12.6" customHeight="1">
      <c r="D142" s="222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  <c r="AA142" s="209"/>
      <c r="AB142" s="209"/>
      <c r="AC142" s="209"/>
      <c r="AD142" s="209"/>
      <c r="AE142" s="209"/>
      <c r="AF142" s="209"/>
      <c r="AG142" s="209"/>
    </row>
    <row r="143" spans="1:34" ht="12.6" customHeight="1">
      <c r="D143" s="209"/>
      <c r="E143" s="209"/>
      <c r="F143" s="209"/>
      <c r="G143" s="209"/>
      <c r="H143" s="209"/>
      <c r="I143" s="209"/>
      <c r="J143" s="209"/>
      <c r="K143" s="209"/>
      <c r="L143" s="209"/>
      <c r="M143" s="209"/>
      <c r="N143" s="209"/>
      <c r="O143" s="209"/>
      <c r="P143" s="209"/>
      <c r="Q143" s="209"/>
      <c r="R143" s="209"/>
      <c r="S143" s="209"/>
      <c r="T143" s="209"/>
      <c r="U143" s="209"/>
      <c r="V143" s="209"/>
      <c r="W143" s="209"/>
      <c r="X143" s="209"/>
      <c r="Y143" s="209"/>
      <c r="Z143" s="209"/>
      <c r="AA143" s="209"/>
      <c r="AB143" s="209"/>
      <c r="AC143" s="209"/>
      <c r="AD143" s="209"/>
      <c r="AE143" s="209"/>
      <c r="AF143" s="209"/>
      <c r="AG143" s="209"/>
    </row>
    <row r="144" spans="1:34" ht="12.6" customHeight="1"/>
    <row r="145" spans="1:44" ht="12.6" customHeight="1">
      <c r="B145" s="221"/>
      <c r="D145" s="209"/>
      <c r="E145" s="209"/>
      <c r="F145" s="209"/>
      <c r="G145" s="209"/>
      <c r="H145" s="209"/>
      <c r="I145" s="209"/>
      <c r="J145" s="209"/>
      <c r="K145" s="209"/>
      <c r="L145" s="209"/>
      <c r="M145" s="209"/>
      <c r="N145" s="209"/>
      <c r="O145" s="209"/>
      <c r="P145" s="209"/>
      <c r="Q145" s="209"/>
      <c r="R145" s="209"/>
      <c r="S145" s="209"/>
      <c r="T145" s="209"/>
      <c r="U145" s="209"/>
      <c r="V145" s="209"/>
      <c r="W145" s="209"/>
      <c r="X145" s="209"/>
      <c r="Y145" s="209"/>
      <c r="Z145" s="209"/>
      <c r="AA145" s="209"/>
      <c r="AB145" s="209"/>
      <c r="AC145" s="209"/>
      <c r="AD145" s="209"/>
      <c r="AE145" s="209"/>
      <c r="AF145" s="209"/>
      <c r="AG145" s="209"/>
    </row>
    <row r="146" spans="1:44" ht="12.6" customHeight="1"/>
    <row r="147" spans="1:44" ht="12.6" customHeight="1"/>
    <row r="148" spans="1:44" ht="12.6" customHeight="1"/>
    <row r="149" spans="1:44" s="212" customFormat="1" ht="12.6" customHeight="1">
      <c r="A149" s="329"/>
      <c r="C149" s="378"/>
      <c r="D149" s="352"/>
      <c r="E149" s="352"/>
      <c r="F149" s="352"/>
      <c r="G149" s="352"/>
      <c r="H149" s="352"/>
      <c r="I149" s="352"/>
      <c r="J149" s="352"/>
      <c r="K149" s="352"/>
      <c r="L149" s="352"/>
      <c r="M149" s="352"/>
      <c r="N149" s="352"/>
      <c r="O149" s="352"/>
      <c r="P149" s="352"/>
      <c r="Q149" s="352"/>
      <c r="R149" s="352"/>
      <c r="S149" s="352"/>
      <c r="T149" s="352"/>
      <c r="U149" s="352"/>
      <c r="V149" s="352"/>
      <c r="W149" s="352"/>
      <c r="X149" s="352"/>
      <c r="Y149" s="352"/>
      <c r="Z149" s="352"/>
      <c r="AA149" s="352"/>
      <c r="AB149" s="352"/>
    </row>
    <row r="150" spans="1:44" s="212" customFormat="1" ht="12.6" customHeight="1">
      <c r="A150" s="207"/>
      <c r="C150" s="352"/>
      <c r="D150" s="352"/>
      <c r="E150" s="352"/>
      <c r="F150" s="352"/>
      <c r="G150" s="352"/>
      <c r="H150" s="352"/>
      <c r="I150" s="352"/>
      <c r="J150" s="352"/>
      <c r="K150" s="352"/>
      <c r="L150" s="352"/>
      <c r="M150" s="352"/>
      <c r="N150" s="352"/>
      <c r="O150" s="352"/>
      <c r="P150" s="352"/>
      <c r="Q150" s="352"/>
      <c r="R150" s="352"/>
      <c r="S150" s="352"/>
      <c r="T150" s="352"/>
      <c r="U150" s="352"/>
      <c r="V150" s="352"/>
      <c r="W150" s="352"/>
      <c r="X150" s="352"/>
      <c r="Y150" s="352"/>
      <c r="Z150" s="352"/>
      <c r="AA150" s="352"/>
      <c r="AB150" s="352"/>
    </row>
    <row r="151" spans="1:44" s="212" customFormat="1" ht="12.6" customHeight="1">
      <c r="A151" s="329"/>
      <c r="C151" s="352"/>
      <c r="D151" s="208"/>
      <c r="E151" s="208"/>
      <c r="F151" s="208"/>
      <c r="G151" s="208"/>
      <c r="H151" s="208"/>
      <c r="I151" s="208"/>
      <c r="J151" s="208"/>
      <c r="K151" s="208"/>
      <c r="L151" s="208"/>
      <c r="M151" s="208"/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 s="208"/>
      <c r="Y151" s="208"/>
      <c r="Z151" s="208"/>
      <c r="AA151" s="208"/>
      <c r="AB151" s="208"/>
      <c r="AC151" s="208"/>
      <c r="AD151" s="208"/>
      <c r="AE151" s="208"/>
      <c r="AF151" s="208"/>
      <c r="AG151" s="208"/>
      <c r="AH151" s="208"/>
      <c r="AI151" s="208"/>
      <c r="AJ151" s="208"/>
      <c r="AK151" s="208"/>
      <c r="AL151" s="208"/>
      <c r="AM151" s="208"/>
      <c r="AN151" s="208"/>
      <c r="AO151" s="208"/>
      <c r="AP151" s="208"/>
      <c r="AQ151" s="208"/>
      <c r="AR151" s="208"/>
    </row>
    <row r="152" spans="1:44" s="212" customFormat="1" ht="12.6" customHeight="1">
      <c r="A152" s="329"/>
      <c r="C152" s="352"/>
      <c r="D152" s="379"/>
      <c r="E152" s="379"/>
      <c r="F152" s="379"/>
      <c r="G152" s="379"/>
      <c r="H152" s="379"/>
      <c r="I152" s="379"/>
      <c r="J152" s="379"/>
      <c r="K152" s="379"/>
      <c r="L152" s="379"/>
      <c r="M152" s="379"/>
      <c r="N152" s="379"/>
      <c r="O152" s="379"/>
      <c r="P152" s="379"/>
      <c r="Q152" s="379"/>
      <c r="R152" s="379"/>
      <c r="S152" s="379"/>
      <c r="T152" s="379"/>
      <c r="U152" s="379"/>
      <c r="V152" s="379"/>
      <c r="W152" s="379"/>
      <c r="X152" s="379"/>
      <c r="Y152" s="379"/>
      <c r="Z152" s="379"/>
      <c r="AA152" s="379"/>
      <c r="AB152" s="379"/>
      <c r="AC152" s="379"/>
      <c r="AD152" s="379"/>
      <c r="AE152" s="379"/>
      <c r="AF152" s="379"/>
      <c r="AG152" s="379"/>
      <c r="AH152" s="379"/>
      <c r="AI152" s="379"/>
      <c r="AJ152" s="379"/>
      <c r="AK152" s="379"/>
      <c r="AL152" s="379"/>
      <c r="AM152" s="379"/>
      <c r="AN152" s="379"/>
      <c r="AO152" s="379"/>
      <c r="AP152" s="379"/>
      <c r="AQ152" s="379"/>
      <c r="AR152" s="379"/>
    </row>
    <row r="153" spans="1:44" s="212" customFormat="1" ht="12.6" customHeight="1">
      <c r="A153" s="329"/>
      <c r="C153" s="352"/>
      <c r="D153" s="352"/>
      <c r="E153" s="352"/>
      <c r="F153" s="352"/>
      <c r="G153" s="352"/>
      <c r="H153" s="352"/>
      <c r="I153" s="352"/>
      <c r="J153" s="352"/>
      <c r="K153" s="352"/>
      <c r="L153" s="352"/>
      <c r="M153" s="352"/>
      <c r="N153" s="352"/>
      <c r="O153" s="352"/>
      <c r="P153" s="352"/>
      <c r="Q153" s="352"/>
      <c r="R153" s="352"/>
      <c r="S153" s="352"/>
      <c r="T153" s="352"/>
      <c r="U153" s="352"/>
      <c r="V153" s="352"/>
      <c r="W153" s="352"/>
      <c r="X153" s="352"/>
      <c r="Y153" s="352"/>
      <c r="Z153" s="352"/>
      <c r="AA153" s="352"/>
      <c r="AB153" s="352"/>
      <c r="AC153" s="352"/>
      <c r="AD153" s="352"/>
      <c r="AE153" s="352"/>
      <c r="AF153" s="352"/>
      <c r="AG153" s="352"/>
      <c r="AH153" s="352"/>
      <c r="AI153" s="352"/>
      <c r="AJ153" s="352"/>
      <c r="AK153" s="352"/>
      <c r="AL153" s="352"/>
      <c r="AM153" s="352"/>
      <c r="AN153" s="352"/>
      <c r="AO153" s="352"/>
      <c r="AP153" s="352"/>
      <c r="AQ153" s="352"/>
      <c r="AR153" s="352"/>
    </row>
    <row r="154" spans="1:44" s="212" customFormat="1" ht="12.6" customHeight="1">
      <c r="A154" s="329"/>
      <c r="B154" s="380"/>
      <c r="C154" s="352"/>
      <c r="D154" s="352"/>
      <c r="E154" s="352"/>
      <c r="F154" s="352"/>
      <c r="G154" s="352"/>
      <c r="H154" s="352"/>
      <c r="I154" s="352"/>
      <c r="J154" s="352"/>
      <c r="K154" s="352"/>
      <c r="L154" s="352"/>
      <c r="M154" s="352"/>
      <c r="N154" s="352"/>
      <c r="O154" s="352"/>
      <c r="P154" s="352"/>
      <c r="Q154" s="352"/>
      <c r="R154" s="352"/>
      <c r="S154" s="352"/>
      <c r="T154" s="352"/>
      <c r="U154" s="352"/>
      <c r="V154" s="352"/>
      <c r="W154" s="352"/>
      <c r="X154" s="352"/>
      <c r="Y154" s="352"/>
      <c r="Z154" s="352"/>
      <c r="AA154" s="352"/>
      <c r="AB154" s="352"/>
      <c r="AC154" s="352"/>
      <c r="AD154" s="352"/>
      <c r="AE154" s="352"/>
      <c r="AF154" s="352"/>
      <c r="AG154" s="352"/>
      <c r="AH154" s="352"/>
      <c r="AI154" s="352"/>
      <c r="AJ154" s="352"/>
      <c r="AK154" s="352"/>
      <c r="AL154" s="352"/>
      <c r="AM154" s="352"/>
      <c r="AN154" s="352"/>
      <c r="AO154" s="352"/>
      <c r="AP154" s="352"/>
      <c r="AQ154" s="352"/>
      <c r="AR154" s="352"/>
    </row>
    <row r="155" spans="1:44" s="212" customFormat="1" ht="12.6" customHeight="1">
      <c r="A155" s="329"/>
      <c r="C155" s="378"/>
      <c r="D155" s="379"/>
      <c r="E155" s="379"/>
      <c r="F155" s="379"/>
      <c r="G155" s="379"/>
      <c r="H155" s="379"/>
      <c r="I155" s="379"/>
      <c r="J155" s="379"/>
      <c r="K155" s="379"/>
      <c r="L155" s="379"/>
      <c r="M155" s="379"/>
      <c r="N155" s="379"/>
      <c r="O155" s="379"/>
      <c r="P155" s="379"/>
      <c r="Q155" s="379"/>
      <c r="R155" s="379"/>
      <c r="S155" s="379"/>
      <c r="T155" s="379"/>
      <c r="U155" s="379"/>
      <c r="V155" s="379"/>
      <c r="W155" s="379"/>
      <c r="X155" s="379"/>
      <c r="Y155" s="379"/>
      <c r="Z155" s="379"/>
      <c r="AA155" s="379"/>
      <c r="AB155" s="379"/>
      <c r="AC155" s="379"/>
      <c r="AD155" s="379"/>
      <c r="AE155" s="379"/>
      <c r="AF155" s="379"/>
      <c r="AG155" s="379"/>
      <c r="AH155" s="379"/>
      <c r="AI155" s="379"/>
      <c r="AJ155" s="379"/>
      <c r="AK155" s="379"/>
      <c r="AL155" s="379"/>
      <c r="AM155" s="379"/>
      <c r="AN155" s="379"/>
      <c r="AO155" s="379"/>
      <c r="AP155" s="379"/>
      <c r="AQ155" s="379"/>
      <c r="AR155" s="379"/>
    </row>
    <row r="156" spans="1:44" s="212" customFormat="1" ht="12.6" customHeight="1">
      <c r="A156" s="329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2"/>
      <c r="N156" s="352"/>
      <c r="O156" s="352"/>
      <c r="P156" s="352"/>
      <c r="Q156" s="352"/>
      <c r="R156" s="352"/>
      <c r="S156" s="352"/>
      <c r="T156" s="352"/>
      <c r="U156" s="352"/>
      <c r="V156" s="352"/>
      <c r="W156" s="352"/>
      <c r="X156" s="352"/>
      <c r="Y156" s="352"/>
      <c r="Z156" s="352"/>
      <c r="AA156" s="352"/>
      <c r="AB156" s="352"/>
    </row>
    <row r="157" spans="1:44" s="212" customFormat="1" ht="12.6" customHeight="1"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52"/>
      <c r="Z157" s="352"/>
      <c r="AA157" s="352"/>
      <c r="AB157" s="352"/>
    </row>
    <row r="158" spans="1:44" s="212" customFormat="1" ht="12.6" customHeight="1"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52"/>
      <c r="Z158" s="352"/>
      <c r="AA158" s="352"/>
      <c r="AB158" s="352"/>
    </row>
    <row r="159" spans="1:44" s="212" customFormat="1" ht="12.6" customHeight="1">
      <c r="C159" s="207"/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  <c r="AA159" s="207"/>
      <c r="AB159" s="207"/>
    </row>
    <row r="160" spans="1:44">
      <c r="A160" s="11"/>
      <c r="B160" s="224"/>
      <c r="C160" s="222"/>
      <c r="D160" s="222"/>
      <c r="E160" s="222"/>
      <c r="F160" s="222"/>
      <c r="G160" s="222"/>
      <c r="H160" s="222"/>
      <c r="I160" s="222"/>
      <c r="J160" s="222"/>
      <c r="K160" s="222"/>
      <c r="L160" s="222"/>
      <c r="M160" s="222"/>
      <c r="N160" s="222"/>
      <c r="O160" s="222"/>
      <c r="P160" s="222"/>
      <c r="Q160" s="222"/>
      <c r="R160" s="222"/>
      <c r="S160" s="222"/>
      <c r="T160" s="222"/>
      <c r="U160" s="222"/>
      <c r="V160" s="222"/>
      <c r="W160" s="222"/>
      <c r="X160" s="222"/>
      <c r="Y160" s="222"/>
      <c r="Z160" s="222"/>
      <c r="AA160" s="222"/>
    </row>
    <row r="161" spans="1:28">
      <c r="B161" s="225"/>
      <c r="D161" s="222"/>
      <c r="E161" s="222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  <c r="T161" s="222"/>
      <c r="U161" s="222"/>
      <c r="V161" s="222"/>
      <c r="W161" s="222"/>
      <c r="X161" s="222"/>
      <c r="Y161" s="222"/>
      <c r="Z161" s="222"/>
      <c r="AA161" s="222"/>
      <c r="AB161" s="222"/>
    </row>
    <row r="162" spans="1:28">
      <c r="B162" s="226"/>
      <c r="D162" s="222"/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2"/>
      <c r="Y162" s="222"/>
      <c r="Z162" s="222"/>
      <c r="AA162" s="222"/>
      <c r="AB162" s="222"/>
    </row>
    <row r="163" spans="1:28">
      <c r="B163" s="227"/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222"/>
      <c r="Z163" s="222"/>
      <c r="AA163" s="222"/>
      <c r="AB163" s="222"/>
    </row>
    <row r="164" spans="1:28" s="206" customFormat="1"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  <c r="AA164" s="218"/>
      <c r="AB164" s="218"/>
    </row>
    <row r="165" spans="1:28" s="206" customFormat="1" ht="12.6" customHeight="1">
      <c r="B165" s="217"/>
      <c r="D165" s="219"/>
      <c r="E165" s="219"/>
      <c r="F165" s="219"/>
      <c r="G165" s="219"/>
      <c r="H165" s="219"/>
      <c r="I165" s="219"/>
      <c r="J165" s="219"/>
      <c r="K165" s="219"/>
      <c r="L165" s="219"/>
      <c r="M165" s="219"/>
      <c r="N165" s="219"/>
      <c r="O165" s="219"/>
      <c r="P165" s="219"/>
      <c r="Q165" s="219"/>
      <c r="R165" s="219"/>
      <c r="S165" s="219"/>
      <c r="T165" s="219"/>
      <c r="U165" s="219"/>
      <c r="V165" s="219"/>
      <c r="W165" s="219"/>
      <c r="X165" s="219"/>
      <c r="Y165" s="219"/>
      <c r="Z165" s="219"/>
      <c r="AA165" s="219"/>
      <c r="AB165" s="219"/>
    </row>
    <row r="166" spans="1:28" s="206" customFormat="1" ht="12.6" customHeight="1">
      <c r="B166" s="217"/>
      <c r="D166" s="233"/>
      <c r="E166" s="219"/>
      <c r="F166" s="219"/>
      <c r="G166" s="219"/>
      <c r="H166" s="219"/>
      <c r="I166" s="219"/>
      <c r="J166" s="219"/>
      <c r="K166" s="219"/>
      <c r="L166" s="219"/>
      <c r="M166" s="219"/>
      <c r="N166" s="219"/>
      <c r="O166" s="219"/>
      <c r="P166" s="219"/>
      <c r="Q166" s="219"/>
      <c r="R166" s="219"/>
      <c r="S166" s="219"/>
      <c r="T166" s="219"/>
      <c r="U166" s="219"/>
      <c r="V166" s="219"/>
      <c r="W166" s="219"/>
      <c r="X166" s="219"/>
      <c r="Y166" s="219"/>
      <c r="Z166" s="219"/>
      <c r="AA166" s="219"/>
      <c r="AB166" s="219"/>
    </row>
    <row r="167" spans="1:28">
      <c r="D167" s="222"/>
      <c r="E167" s="222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8"/>
      <c r="S167" s="222"/>
      <c r="T167" s="222"/>
      <c r="U167" s="222"/>
      <c r="V167" s="222"/>
      <c r="W167" s="222"/>
      <c r="X167" s="222"/>
      <c r="Y167" s="222"/>
      <c r="Z167" s="222"/>
      <c r="AA167" s="222"/>
      <c r="AB167" s="222"/>
    </row>
    <row r="168" spans="1:28" s="206" customFormat="1">
      <c r="A168" s="205"/>
      <c r="B168" s="229"/>
      <c r="C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30"/>
      <c r="S168" s="218"/>
      <c r="T168" s="218"/>
      <c r="U168" s="218"/>
      <c r="V168" s="218"/>
      <c r="W168" s="218"/>
      <c r="X168" s="218"/>
      <c r="Y168" s="218"/>
      <c r="Z168" s="218"/>
      <c r="AA168" s="218"/>
    </row>
    <row r="169" spans="1:28" s="206" customFormat="1" ht="12.6" customHeight="1">
      <c r="B169" s="216"/>
      <c r="D169" s="218"/>
      <c r="E169" s="219"/>
      <c r="F169" s="219"/>
      <c r="G169" s="219"/>
      <c r="H169" s="219"/>
      <c r="I169" s="219"/>
      <c r="J169" s="219"/>
      <c r="K169" s="219"/>
      <c r="L169" s="219"/>
      <c r="M169" s="219"/>
      <c r="N169" s="219"/>
      <c r="O169" s="219"/>
      <c r="P169" s="219"/>
      <c r="Q169" s="219"/>
      <c r="R169" s="219"/>
      <c r="S169" s="219"/>
      <c r="T169" s="219"/>
      <c r="U169" s="219"/>
      <c r="V169" s="219"/>
      <c r="W169" s="219"/>
      <c r="X169" s="219"/>
      <c r="Y169" s="219"/>
      <c r="Z169" s="219"/>
      <c r="AA169" s="219"/>
      <c r="AB169" s="219"/>
    </row>
    <row r="170" spans="1:28" s="206" customFormat="1" ht="12.6" customHeight="1">
      <c r="B170" s="231"/>
      <c r="D170" s="222"/>
      <c r="E170" s="222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  <c r="Z170" s="222"/>
      <c r="AA170" s="222"/>
      <c r="AB170" s="222"/>
    </row>
    <row r="171" spans="1:28" s="206" customFormat="1" ht="12.6" customHeight="1">
      <c r="B171" s="232"/>
      <c r="D171" s="219"/>
      <c r="E171" s="219"/>
      <c r="F171" s="219"/>
      <c r="G171" s="219"/>
      <c r="H171" s="219"/>
      <c r="I171" s="219"/>
      <c r="J171" s="219"/>
      <c r="K171" s="219"/>
      <c r="L171" s="219"/>
      <c r="M171" s="219"/>
      <c r="N171" s="219"/>
      <c r="O171" s="219"/>
      <c r="P171" s="219"/>
      <c r="Q171" s="219"/>
      <c r="R171" s="219"/>
      <c r="S171" s="219"/>
      <c r="T171" s="219"/>
      <c r="U171" s="219"/>
      <c r="V171" s="219"/>
      <c r="W171" s="219"/>
      <c r="X171" s="219"/>
      <c r="Y171" s="219"/>
      <c r="Z171" s="219"/>
      <c r="AA171" s="219"/>
      <c r="AB171" s="219"/>
    </row>
    <row r="172" spans="1:28" s="206" customFormat="1" ht="12.6" customHeight="1">
      <c r="B172" s="207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  <c r="AA172" s="218"/>
      <c r="AB172" s="218"/>
    </row>
    <row r="173" spans="1:28" s="206" customFormat="1" ht="12.6" customHeight="1">
      <c r="B173" s="217"/>
      <c r="D173" s="219"/>
      <c r="E173" s="219"/>
      <c r="F173" s="219"/>
      <c r="G173" s="219"/>
      <c r="H173" s="219"/>
      <c r="I173" s="219"/>
      <c r="J173" s="219"/>
      <c r="K173" s="219"/>
      <c r="L173" s="219"/>
      <c r="M173" s="219"/>
      <c r="N173" s="219"/>
      <c r="O173" s="219"/>
      <c r="P173" s="219"/>
      <c r="Q173" s="219"/>
      <c r="R173" s="219"/>
      <c r="S173" s="219"/>
      <c r="T173" s="219"/>
      <c r="U173" s="219"/>
      <c r="V173" s="219"/>
      <c r="W173" s="219"/>
      <c r="X173" s="219"/>
      <c r="Y173" s="219"/>
      <c r="Z173" s="219"/>
      <c r="AA173" s="219"/>
      <c r="AB173" s="219"/>
    </row>
    <row r="174" spans="1:28" s="206" customFormat="1" ht="12.6" customHeight="1">
      <c r="B174" s="217"/>
      <c r="D174" s="233"/>
      <c r="E174" s="219"/>
      <c r="F174" s="219"/>
      <c r="G174" s="219"/>
      <c r="H174" s="219"/>
      <c r="I174" s="219"/>
      <c r="J174" s="219"/>
      <c r="K174" s="219"/>
      <c r="L174" s="219"/>
      <c r="M174" s="219"/>
      <c r="N174" s="219"/>
      <c r="O174" s="219"/>
      <c r="P174" s="219"/>
      <c r="Q174" s="219"/>
      <c r="R174" s="219"/>
      <c r="S174" s="219"/>
      <c r="T174" s="219"/>
      <c r="U174" s="219"/>
      <c r="V174" s="219"/>
      <c r="W174" s="219"/>
      <c r="X174" s="219"/>
      <c r="Y174" s="219"/>
      <c r="Z174" s="219"/>
      <c r="AA174" s="219"/>
      <c r="AB174" s="219"/>
    </row>
    <row r="175" spans="1:28" s="206" customFormat="1" ht="12.6" customHeight="1">
      <c r="B175" s="217"/>
      <c r="D175" s="233"/>
      <c r="E175" s="233"/>
      <c r="F175" s="233"/>
      <c r="G175" s="233"/>
      <c r="H175" s="233"/>
      <c r="I175" s="233"/>
      <c r="J175" s="233"/>
      <c r="K175" s="233"/>
      <c r="L175" s="233"/>
      <c r="M175" s="233"/>
      <c r="N175" s="233"/>
      <c r="O175" s="233"/>
      <c r="P175" s="233"/>
      <c r="Q175" s="233"/>
      <c r="R175" s="233"/>
      <c r="S175" s="233"/>
      <c r="T175" s="233"/>
      <c r="U175" s="233"/>
      <c r="V175" s="233"/>
      <c r="W175" s="233"/>
      <c r="X175" s="233"/>
      <c r="Y175" s="233"/>
      <c r="Z175" s="233"/>
      <c r="AA175" s="233"/>
      <c r="AB175" s="233"/>
    </row>
    <row r="176" spans="1:28" ht="12.6" customHeight="1">
      <c r="B176" s="154"/>
      <c r="D176" s="208"/>
      <c r="E176" s="208"/>
      <c r="F176" s="208"/>
      <c r="G176" s="208"/>
      <c r="H176" s="208"/>
      <c r="I176" s="208"/>
      <c r="J176" s="208"/>
      <c r="K176" s="208"/>
      <c r="L176" s="208"/>
      <c r="M176" s="208"/>
      <c r="N176" s="208"/>
      <c r="O176" s="208"/>
      <c r="P176" s="208"/>
      <c r="Q176" s="208"/>
      <c r="R176" s="208"/>
      <c r="S176" s="208"/>
      <c r="T176" s="208"/>
      <c r="U176" s="208"/>
      <c r="V176" s="208"/>
      <c r="W176" s="208"/>
      <c r="X176" s="208"/>
      <c r="Y176" s="208"/>
      <c r="Z176" s="208"/>
      <c r="AA176" s="208"/>
      <c r="AB176" s="208"/>
    </row>
    <row r="177" ht="12.6" customHeight="1"/>
    <row r="178" ht="12.6" customHeight="1"/>
    <row r="179" ht="12.6" customHeight="1"/>
    <row r="180" ht="12.6" customHeight="1"/>
    <row r="181" ht="12.6" customHeight="1"/>
    <row r="182" ht="12.6" customHeight="1"/>
    <row r="183" ht="12.6" customHeight="1"/>
    <row r="184" ht="12.6" customHeight="1"/>
    <row r="185" ht="12.6" customHeight="1"/>
    <row r="186" ht="12.6" customHeight="1"/>
    <row r="187" ht="12.6" customHeight="1"/>
    <row r="188" ht="12.6" customHeight="1"/>
    <row r="189" ht="12.6" customHeight="1"/>
    <row r="190" ht="12.6" customHeight="1"/>
    <row r="191" ht="12.6" customHeight="1"/>
    <row r="192" ht="12.6" customHeight="1"/>
    <row r="193" ht="12.6" customHeight="1"/>
    <row r="194" ht="12.6" customHeight="1"/>
    <row r="195" ht="12.6" customHeight="1"/>
    <row r="196" ht="12.6" customHeight="1"/>
    <row r="197" ht="12.6" customHeight="1"/>
    <row r="198" ht="12.6" customHeight="1"/>
    <row r="199" ht="12.6" customHeight="1"/>
    <row r="200" ht="12.6" customHeight="1"/>
    <row r="201" ht="12.6" customHeight="1"/>
    <row r="202" ht="12.6" customHeight="1"/>
    <row r="203" ht="12.6" customHeight="1"/>
    <row r="204" ht="12.6" customHeight="1"/>
    <row r="205" ht="12.6" customHeight="1"/>
    <row r="206" ht="12.6" customHeight="1"/>
    <row r="207" ht="12.6" customHeight="1"/>
    <row r="208" ht="12.6" customHeight="1"/>
    <row r="209" ht="12.6" customHeight="1"/>
    <row r="210" ht="12.6" customHeight="1"/>
    <row r="211" ht="12.6" customHeight="1"/>
    <row r="212" ht="12.6" customHeight="1"/>
    <row r="213" ht="12.6" customHeight="1"/>
    <row r="214" ht="12.6" customHeight="1"/>
    <row r="215" ht="12.6" customHeight="1"/>
    <row r="216" ht="12.6" customHeight="1"/>
    <row r="217" ht="12.6" customHeight="1"/>
    <row r="218" ht="12.6" customHeight="1"/>
    <row r="219" ht="12.6" customHeight="1"/>
    <row r="220" ht="12.6" customHeight="1"/>
    <row r="221" ht="12.6" customHeight="1"/>
    <row r="222" ht="12.6" customHeight="1"/>
    <row r="223" ht="12.6" customHeight="1"/>
    <row r="224" ht="12.6" customHeight="1"/>
    <row r="225" ht="12.6" customHeight="1"/>
    <row r="226" ht="12.6" customHeight="1"/>
    <row r="227" ht="12.6" customHeight="1"/>
    <row r="228" ht="12.6" customHeight="1"/>
    <row r="229" ht="12.6" customHeight="1"/>
    <row r="230" ht="12.6" customHeight="1"/>
    <row r="231" ht="12.6" customHeight="1"/>
    <row r="232" ht="12.6" customHeight="1"/>
    <row r="233" ht="12.6" customHeight="1"/>
    <row r="234" ht="12.6" customHeight="1"/>
    <row r="235" ht="12.6" customHeight="1"/>
    <row r="236" ht="12.6" customHeight="1"/>
    <row r="237" ht="12.6" customHeight="1"/>
    <row r="238" ht="12.6" customHeight="1"/>
    <row r="239" ht="12.6" customHeight="1"/>
    <row r="240" ht="12.6" customHeight="1"/>
    <row r="241" ht="12.6" customHeight="1"/>
    <row r="242" ht="12.6" customHeight="1"/>
    <row r="243" ht="12.6" customHeight="1"/>
    <row r="244" ht="12.6" customHeight="1"/>
    <row r="245" ht="12.6" customHeight="1"/>
    <row r="246" ht="12.6" customHeight="1"/>
    <row r="247" ht="12.6" customHeight="1"/>
    <row r="248" ht="12.6" customHeight="1"/>
    <row r="249" ht="12.6" customHeight="1"/>
    <row r="250" ht="12.6" customHeight="1"/>
    <row r="251" ht="12.6" customHeight="1"/>
    <row r="252" ht="12.6" customHeight="1"/>
    <row r="253" ht="12.6" customHeight="1"/>
    <row r="254" ht="12.6" customHeight="1"/>
    <row r="255" ht="12.6" customHeight="1"/>
    <row r="256" ht="12.6" customHeight="1"/>
    <row r="257" ht="12.6" customHeight="1"/>
    <row r="258" ht="12.6" customHeight="1"/>
    <row r="259" ht="12.6" customHeight="1"/>
    <row r="260" ht="12.6" customHeight="1"/>
    <row r="261" ht="12.6" customHeight="1"/>
    <row r="262" ht="12.6" customHeight="1"/>
    <row r="263" ht="12.6" customHeight="1"/>
    <row r="264" ht="12.6" customHeight="1"/>
    <row r="265" ht="12.6" customHeight="1"/>
    <row r="266" ht="12.6" customHeight="1"/>
    <row r="267" ht="12.6" customHeight="1"/>
    <row r="268" ht="12.6" customHeight="1"/>
    <row r="269" ht="12.6" customHeight="1"/>
    <row r="270" ht="12.6" customHeight="1"/>
    <row r="271" ht="12.6" customHeight="1"/>
    <row r="272" ht="12.6" customHeight="1"/>
    <row r="273" ht="12.6" customHeight="1"/>
    <row r="274" ht="12.6" customHeight="1"/>
    <row r="275" ht="12.6" customHeight="1"/>
    <row r="276" ht="12.6" customHeight="1"/>
    <row r="277" ht="12.6" customHeight="1"/>
    <row r="278" ht="12.6" customHeight="1"/>
    <row r="279" ht="12.6" customHeight="1"/>
    <row r="280" ht="12.6" customHeight="1"/>
    <row r="281" ht="12.6" customHeight="1"/>
    <row r="282" ht="12.6" customHeight="1"/>
    <row r="283" ht="12.6" customHeight="1"/>
    <row r="284" ht="12.6" customHeight="1"/>
    <row r="285" ht="12.6" customHeight="1"/>
    <row r="286" ht="12.6" customHeight="1"/>
    <row r="287" ht="12.6" customHeight="1"/>
    <row r="288" ht="12.6" customHeight="1"/>
    <row r="289" ht="12.6" customHeight="1"/>
    <row r="290" ht="12.6" customHeight="1"/>
    <row r="291" ht="12.6" customHeight="1"/>
    <row r="292" ht="12.6" customHeight="1"/>
    <row r="293" ht="12.6" customHeight="1"/>
    <row r="294" ht="12.6" customHeight="1"/>
    <row r="295" ht="12.6" customHeight="1"/>
    <row r="296" ht="12.6" customHeight="1"/>
    <row r="297" ht="12.6" customHeight="1"/>
    <row r="298" ht="12.6" customHeight="1"/>
    <row r="299" ht="12.6" customHeight="1"/>
    <row r="300" ht="12.6" customHeight="1"/>
    <row r="301" ht="12.6" customHeight="1"/>
    <row r="302" ht="12.6" customHeight="1"/>
    <row r="303" ht="12.6" customHeight="1"/>
    <row r="304" ht="12.6" customHeight="1"/>
    <row r="305" ht="12.6" customHeight="1"/>
    <row r="306" ht="12.6" customHeight="1"/>
    <row r="307" ht="12.6" customHeight="1"/>
    <row r="308" ht="12.6" customHeight="1"/>
    <row r="309" ht="12.6" customHeight="1"/>
    <row r="310" ht="12.6" customHeight="1"/>
    <row r="311" ht="12.6" customHeight="1"/>
    <row r="312" ht="12.6" customHeight="1"/>
    <row r="313" ht="12.6" customHeight="1"/>
    <row r="314" ht="12.6" customHeight="1"/>
    <row r="315" ht="12.6" customHeight="1"/>
    <row r="316" ht="12.6" customHeight="1"/>
    <row r="317" ht="12.6" customHeight="1"/>
    <row r="318" ht="12.6" customHeight="1"/>
    <row r="319" ht="12.6" customHeight="1"/>
    <row r="320" ht="12.6" customHeight="1"/>
    <row r="321" ht="12.6" customHeight="1"/>
    <row r="322" ht="12.6" customHeight="1"/>
    <row r="323" ht="12.6" customHeight="1"/>
    <row r="324" ht="12.6" customHeight="1"/>
    <row r="325" ht="12.6" customHeight="1"/>
    <row r="326" ht="12.6" customHeight="1"/>
    <row r="327" ht="12.6" customHeight="1"/>
    <row r="328" ht="12.6" customHeight="1"/>
    <row r="329" ht="12.6" customHeight="1"/>
  </sheetData>
  <customSheetViews>
    <customSheetView guid="{9D7575BF-255B-11D2-8267-00A0D1027254}" scale="75" fitToPage="1" hiddenRows="1" showRuler="0">
      <selection activeCell="A6" sqref="A6"/>
      <colBreaks count="1" manualBreakCount="1">
        <brk id="19" max="44" man="1"/>
      </colBreaks>
      <pageMargins left="0.75" right="0.75" top="1" bottom="1" header="0.5" footer="0.5"/>
      <pageSetup paperSize="5" scale="54" orientation="landscape" r:id="rId1"/>
      <headerFooter alignWithMargins="0"/>
    </customSheetView>
    <customSheetView guid="{14FB3146-3CEF-11D2-B9CE-0060080D6A65}" scale="75" fitToPage="1" hiddenRows="1" showRuler="0">
      <selection activeCell="A6" sqref="A6"/>
      <colBreaks count="1" manualBreakCount="1">
        <brk id="19" max="44" man="1"/>
      </colBreaks>
      <pageMargins left="0.75" right="0.75" top="1" bottom="1" header="0.5" footer="0.5"/>
      <pageSetup paperSize="5" scale="54" orientation="landscape" r:id="rId2"/>
      <headerFooter alignWithMargins="0"/>
    </customSheetView>
  </customSheetViews>
  <printOptions horizontalCentered="1" verticalCentered="1"/>
  <pageMargins left="0.75" right="0.75" top="1" bottom="4.87" header="0.5" footer="0.5"/>
  <pageSetup scale="48" fitToWidth="2" orientation="landscape" r:id="rId3"/>
  <headerFooter alignWithMargins="0">
    <oddFooter>&amp;L&amp;D   &amp;T&amp;R&amp;A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Z286"/>
  <sheetViews>
    <sheetView topLeftCell="A61" zoomScale="75" zoomScaleNormal="75" zoomScaleSheetLayoutView="25" workbookViewId="0">
      <selection activeCell="B8" sqref="B8"/>
    </sheetView>
  </sheetViews>
  <sheetFormatPr defaultColWidth="9.33203125" defaultRowHeight="12.6" customHeight="1"/>
  <cols>
    <col min="1" max="1" width="27" style="5" customWidth="1"/>
    <col min="2" max="2" width="14.88671875" style="5" customWidth="1"/>
    <col min="3" max="18" width="9.6640625" style="1" customWidth="1"/>
    <col min="19" max="27" width="9.6640625" customWidth="1"/>
    <col min="28" max="29" width="9.33203125" style="1" bestFit="1" customWidth="1"/>
    <col min="30" max="30" width="9.6640625" customWidth="1"/>
    <col min="31" max="31" width="10.6640625" style="1" customWidth="1"/>
    <col min="32" max="32" width="9.33203125" style="1" bestFit="1" customWidth="1"/>
    <col min="33" max="16384" width="9.33203125" style="1"/>
  </cols>
  <sheetData>
    <row r="1" spans="1:52" ht="24.6">
      <c r="A1" s="438" t="str">
        <f>'Project Assumptions'!$A$2</f>
        <v>PROJECT DOYLE</v>
      </c>
      <c r="B1"/>
      <c r="AC1" s="9"/>
    </row>
    <row r="2" spans="1:52" s="212" customFormat="1" ht="15.6" customHeight="1">
      <c r="A2" s="439" t="s">
        <v>25</v>
      </c>
      <c r="B2" s="207"/>
      <c r="C2" s="213"/>
      <c r="D2" s="213"/>
      <c r="E2" s="213"/>
      <c r="F2" s="213"/>
      <c r="G2" s="213"/>
      <c r="H2" s="213"/>
      <c r="I2" s="213"/>
      <c r="J2" s="345"/>
      <c r="K2" s="345"/>
      <c r="L2" s="345"/>
      <c r="M2" s="345"/>
      <c r="N2" s="345"/>
      <c r="O2" s="345"/>
      <c r="P2" s="345"/>
      <c r="Q2" s="345"/>
      <c r="R2" s="345"/>
      <c r="S2"/>
      <c r="T2"/>
      <c r="U2"/>
      <c r="V2"/>
      <c r="W2"/>
      <c r="X2"/>
      <c r="Y2"/>
      <c r="Z2"/>
      <c r="AA2"/>
      <c r="AC2" s="328"/>
      <c r="AD2" s="207"/>
    </row>
    <row r="3" spans="1:52" s="212" customFormat="1" ht="12.6" customHeight="1">
      <c r="A3" s="211"/>
      <c r="B3" s="213"/>
      <c r="C3" s="212">
        <v>1</v>
      </c>
      <c r="D3" s="212">
        <v>2</v>
      </c>
      <c r="E3" s="212">
        <v>3</v>
      </c>
      <c r="F3" s="212">
        <v>4</v>
      </c>
      <c r="G3" s="212">
        <v>5</v>
      </c>
      <c r="H3" s="212">
        <v>6</v>
      </c>
      <c r="I3" s="327">
        <v>7</v>
      </c>
      <c r="J3" s="212">
        <v>8</v>
      </c>
      <c r="K3" s="212">
        <v>9</v>
      </c>
      <c r="L3" s="212">
        <v>10</v>
      </c>
      <c r="M3" s="212">
        <v>11</v>
      </c>
      <c r="N3" s="212">
        <v>12</v>
      </c>
      <c r="O3" s="327">
        <v>13</v>
      </c>
      <c r="P3" s="212">
        <v>14</v>
      </c>
      <c r="Q3" s="212">
        <v>15</v>
      </c>
      <c r="R3" s="212">
        <v>16</v>
      </c>
      <c r="S3"/>
      <c r="T3"/>
      <c r="U3"/>
      <c r="V3"/>
      <c r="W3"/>
      <c r="X3"/>
      <c r="Y3"/>
      <c r="Z3"/>
      <c r="AA3"/>
      <c r="AC3" s="328"/>
      <c r="AD3" s="207"/>
    </row>
    <row r="4" spans="1:52" s="212" customFormat="1" ht="12.6" customHeight="1">
      <c r="A4" s="329"/>
      <c r="C4" s="330">
        <f>YEAR('Project Assumptions'!$I$16)</f>
        <v>2000</v>
      </c>
      <c r="D4" s="330">
        <f>C4+1</f>
        <v>2001</v>
      </c>
      <c r="E4" s="330">
        <f>D4+1</f>
        <v>2002</v>
      </c>
      <c r="F4" s="330">
        <f>E4+1</f>
        <v>2003</v>
      </c>
      <c r="G4" s="330">
        <f t="shared" ref="G4:R4" si="0">F4+1</f>
        <v>2004</v>
      </c>
      <c r="H4" s="330">
        <f t="shared" si="0"/>
        <v>2005</v>
      </c>
      <c r="I4" s="330">
        <f t="shared" si="0"/>
        <v>2006</v>
      </c>
      <c r="J4" s="330">
        <f t="shared" si="0"/>
        <v>2007</v>
      </c>
      <c r="K4" s="330">
        <f t="shared" si="0"/>
        <v>2008</v>
      </c>
      <c r="L4" s="330">
        <f t="shared" si="0"/>
        <v>2009</v>
      </c>
      <c r="M4" s="330">
        <f t="shared" si="0"/>
        <v>2010</v>
      </c>
      <c r="N4" s="330">
        <f t="shared" si="0"/>
        <v>2011</v>
      </c>
      <c r="O4" s="330">
        <f t="shared" si="0"/>
        <v>2012</v>
      </c>
      <c r="P4" s="330">
        <f t="shared" si="0"/>
        <v>2013</v>
      </c>
      <c r="Q4" s="330">
        <f t="shared" si="0"/>
        <v>2014</v>
      </c>
      <c r="R4" s="330">
        <f t="shared" si="0"/>
        <v>2015</v>
      </c>
      <c r="S4"/>
      <c r="T4"/>
      <c r="U4"/>
      <c r="V4"/>
      <c r="W4"/>
      <c r="X4"/>
      <c r="Y4"/>
      <c r="Z4"/>
      <c r="AA4"/>
      <c r="AB4" s="330"/>
      <c r="AC4" s="330"/>
      <c r="AD4" s="207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U4" s="330"/>
      <c r="AV4" s="330"/>
      <c r="AW4" s="330"/>
      <c r="AX4" s="330"/>
      <c r="AY4" s="330"/>
      <c r="AZ4" s="330"/>
    </row>
    <row r="5" spans="1:52" s="212" customFormat="1" ht="12.6" customHeight="1">
      <c r="A5" s="329" t="s">
        <v>170</v>
      </c>
      <c r="C5" s="578">
        <f>ROUND((DATE(D4,1,1)-'Project Assumptions'!$F$21)/30.4375,1)*'Project Assumptions'!$I$21/'Project Assumptions'!$I$26+ROUND((DATE(D4,1,1)-'Project Assumptions'!$F$22)/30.4375,1)*'Project Assumptions'!$I$22/'Project Assumptions'!$I$26+ROUND((DATE(D4,1,1)-'Project Assumptions'!$F$23)/30.4375,1)*'Project Assumptions'!$I$23/'Project Assumptions'!$I$26+ROUND((DATE(D4,1,1)-'Project Assumptions'!$F$24)/30.4375,1)*'Project Assumptions'!$I$24/'Project Assumptions'!$I$26+ROUND((DATE(D4,1,1)-'Project Assumptions'!$F$25)/30.4375,1)*'Project Assumptions'!$I$25/'Project Assumptions'!$I$26</f>
        <v>6.3250000000000002</v>
      </c>
      <c r="D5" s="347">
        <f>IF(D$3&lt;='Project Assumptions'!$I$15,12,IF(AND($C$5&lt;&gt;12,D$3='Project Assumptions'!$I$15+1),12-$C$5,0))</f>
        <v>12</v>
      </c>
      <c r="E5" s="347">
        <f>IF(E$3&lt;='Project Assumptions'!$I$15,12,IF(AND($C$5&lt;&gt;12,E$3='Project Assumptions'!$I$15+1),12-$C$5,0))</f>
        <v>12</v>
      </c>
      <c r="F5" s="347">
        <f>IF(F$3&lt;='Project Assumptions'!$I$15,12,IF(AND($C$5&lt;&gt;12,F$3='Project Assumptions'!$I$15+1),12-$C$5,0))</f>
        <v>12</v>
      </c>
      <c r="G5" s="347">
        <f>IF(G$3&lt;='Project Assumptions'!$I$15,12,IF(AND($C$5&lt;&gt;12,G$3='Project Assumptions'!$I$15+1),12-$C$5,0))</f>
        <v>12</v>
      </c>
      <c r="H5" s="347">
        <f>IF(H$3&lt;='Project Assumptions'!$I$15,12,IF(AND($C$5&lt;&gt;12,H$3='Project Assumptions'!$I$15+1),12-$C$5,0))</f>
        <v>12</v>
      </c>
      <c r="I5" s="347">
        <f>IF(I$3&lt;='Project Assumptions'!$I$15,12,IF(AND($C$5&lt;&gt;12,I$3='Project Assumptions'!$I$15+1),12-$C$5,0))</f>
        <v>12</v>
      </c>
      <c r="J5" s="347">
        <f>IF(J$3&lt;='Project Assumptions'!$I$15,12,IF(AND($C$5&lt;&gt;12,J$3='Project Assumptions'!$I$15+1),12-$C$5,0))</f>
        <v>12</v>
      </c>
      <c r="K5" s="347">
        <f>IF(K$3&lt;='Project Assumptions'!$I$15,12,IF(AND($C$5&lt;&gt;12,K$3='Project Assumptions'!$I$15+1),12-$C$5,0))</f>
        <v>12</v>
      </c>
      <c r="L5" s="347">
        <f>IF(L$3&lt;='Project Assumptions'!$I$15,12,IF(AND($C$5&lt;&gt;12,L$3='Project Assumptions'!$I$15+1),12-$C$5,0))</f>
        <v>12</v>
      </c>
      <c r="M5" s="347">
        <f>IF(M$3&lt;='Project Assumptions'!$I$15,12,IF(AND($C$5&lt;&gt;12,M$3='Project Assumptions'!$I$15+1),12-$C$5,0))</f>
        <v>12</v>
      </c>
      <c r="N5" s="347">
        <f>IF(N$3&lt;='Project Assumptions'!$I$15,12,IF(AND($C$5&lt;&gt;12,N$3='Project Assumptions'!$I$15+1),12-$C$5,0))</f>
        <v>12</v>
      </c>
      <c r="O5" s="347">
        <f>IF(O$3&lt;='Project Assumptions'!$I$15,12,IF(AND($C$5&lt;&gt;12,O$3='Project Assumptions'!$I$15+1),12-$C$5,0))</f>
        <v>12</v>
      </c>
      <c r="P5" s="347">
        <f>IF(P$3&lt;='Project Assumptions'!$I$15,12,IF(AND($C$5&lt;&gt;12,P$3='Project Assumptions'!$I$15+1),12-$C$5,0))</f>
        <v>12</v>
      </c>
      <c r="Q5" s="347">
        <f>IF(Q$3&lt;='Project Assumptions'!$I$15,12,IF(AND($C$5&lt;&gt;12,Q$3='Project Assumptions'!$I$15+1),12-$C$5,0))</f>
        <v>12</v>
      </c>
      <c r="R5" s="347">
        <f>IF(R$3&lt;='Project Assumptions'!$I$15,12,IF(AND($C$5&lt;&gt;12,R$3='Project Assumptions'!$I$15+1),12-ROUND((DATE(D4,1,1)-'Project Assumptions'!$F$25)/30.4375,1),0))</f>
        <v>8</v>
      </c>
      <c r="S5"/>
      <c r="T5"/>
      <c r="U5"/>
      <c r="V5"/>
      <c r="W5"/>
      <c r="X5"/>
      <c r="Y5"/>
      <c r="Z5"/>
      <c r="AA5"/>
      <c r="AB5" s="330"/>
      <c r="AC5" s="330"/>
      <c r="AD5" s="207"/>
      <c r="AE5" s="330"/>
      <c r="AF5" s="330"/>
      <c r="AG5" s="330"/>
      <c r="AH5" s="330"/>
      <c r="AI5" s="330"/>
      <c r="AJ5" s="330"/>
      <c r="AK5" s="330"/>
      <c r="AL5" s="330"/>
      <c r="AM5" s="330"/>
      <c r="AN5" s="330"/>
      <c r="AO5" s="330"/>
      <c r="AP5" s="330"/>
      <c r="AQ5" s="330"/>
      <c r="AR5" s="330"/>
      <c r="AS5" s="330"/>
      <c r="AT5" s="330"/>
      <c r="AU5" s="330"/>
      <c r="AV5" s="330"/>
      <c r="AW5" s="330"/>
      <c r="AX5" s="330"/>
      <c r="AY5" s="330"/>
      <c r="AZ5" s="330"/>
    </row>
    <row r="6" spans="1:52" s="212" customFormat="1" ht="13.2">
      <c r="A6" s="211" t="s">
        <v>1</v>
      </c>
      <c r="C6" s="579">
        <v>6.2111607142857137</v>
      </c>
      <c r="S6"/>
      <c r="T6"/>
      <c r="U6"/>
      <c r="V6"/>
      <c r="W6"/>
      <c r="X6"/>
      <c r="Y6"/>
      <c r="Z6"/>
      <c r="AA6"/>
      <c r="AD6" s="207"/>
    </row>
    <row r="7" spans="1:52" s="212" customFormat="1" ht="13.2">
      <c r="A7" s="214" t="s">
        <v>314</v>
      </c>
      <c r="C7" s="213">
        <f>IF(C3&lt;='Project Assumptions'!$I$15+1,'PPA Assumptions'!C7*Operations!C12*C5,0)</f>
        <v>6243.8375999999998</v>
      </c>
      <c r="D7" s="213">
        <f>IF(D3&lt;='Project Assumptions'!$I$15+1,'PPA Assumptions'!D7*Operations!D12*D5,0)</f>
        <v>11846.016</v>
      </c>
      <c r="E7" s="213">
        <f>IF(E3&lt;='Project Assumptions'!$I$15+1,'PPA Assumptions'!E7*Operations!E12*E5,0)</f>
        <v>11846.016</v>
      </c>
      <c r="F7" s="213">
        <f>IF(F3&lt;='Project Assumptions'!$I$15+1,'PPA Assumptions'!F7*Operations!F12*F5,0)</f>
        <v>11846.016</v>
      </c>
      <c r="G7" s="213">
        <f>IF(G3&lt;='Project Assumptions'!$I$15+1,'PPA Assumptions'!G7*Operations!G12*G5,0)</f>
        <v>11846.016</v>
      </c>
      <c r="H7" s="213">
        <f>IF(H3&lt;='Project Assumptions'!$I$15+1,'PPA Assumptions'!H7*Operations!H12*H5,0)</f>
        <v>11846.016</v>
      </c>
      <c r="I7" s="213">
        <f>IF(I3&lt;='Project Assumptions'!$I$15+1,'PPA Assumptions'!I7*Operations!I12*I5,0)</f>
        <v>11846.016</v>
      </c>
      <c r="J7" s="213">
        <f>IF(J3&lt;='Project Assumptions'!$I$15+1,'PPA Assumptions'!J7*Operations!J12*J5,0)</f>
        <v>11846.016</v>
      </c>
      <c r="K7" s="213">
        <f>IF(K3&lt;='Project Assumptions'!$I$15+1,'PPA Assumptions'!K7*Operations!K12*K5,0)</f>
        <v>11846.016</v>
      </c>
      <c r="L7" s="213">
        <f>IF(L3&lt;='Project Assumptions'!$I$15+1,'PPA Assumptions'!L7*Operations!L12*L5,0)</f>
        <v>11846.016</v>
      </c>
      <c r="M7" s="213">
        <f>IF(M3&lt;='Project Assumptions'!$I$15+1,'PPA Assumptions'!M7*Operations!M12*M5,0)</f>
        <v>11846.016</v>
      </c>
      <c r="N7" s="213">
        <f>IF(N3&lt;='Project Assumptions'!$I$15+1,'PPA Assumptions'!N7*Operations!N12*N5,0)</f>
        <v>11846.016</v>
      </c>
      <c r="O7" s="213">
        <f>IF(O3&lt;='Project Assumptions'!$I$15+1,'PPA Assumptions'!O7*Operations!O12*O5,0)</f>
        <v>11846.016</v>
      </c>
      <c r="P7" s="213">
        <f>IF(P3&lt;='Project Assumptions'!$I$15+1,'PPA Assumptions'!P7*Operations!P12*P5,0)</f>
        <v>11846.016</v>
      </c>
      <c r="Q7" s="213">
        <f>IF(Q3&lt;='Project Assumptions'!$I$15+1,'PPA Assumptions'!Q7*Operations!Q12*Q5,0)</f>
        <v>11846.016</v>
      </c>
      <c r="R7" s="213">
        <f>IF(R3&lt;='Project Assumptions'!$I$15+1,'PPA Assumptions'!R7*Operations!R12*R5,0)</f>
        <v>7897.3440000000001</v>
      </c>
      <c r="S7"/>
      <c r="T7" s="393"/>
      <c r="U7" s="393"/>
      <c r="V7"/>
      <c r="W7"/>
      <c r="X7"/>
      <c r="Y7"/>
      <c r="Z7"/>
      <c r="AA7"/>
      <c r="AD7" s="207"/>
    </row>
    <row r="8" spans="1:52" s="212" customFormat="1" ht="13.2">
      <c r="A8" s="214" t="s">
        <v>315</v>
      </c>
      <c r="C8" s="318">
        <f>IF('Project Assumptions'!$C$71="YES",C5*'Project Assumptions'!$I$31*Operations!C12,0)</f>
        <v>182.76719999999997</v>
      </c>
      <c r="D8" s="318">
        <f>IF(D$3&lt;='Project Assumptions'!$I$15,'Project Assumptions'!$I$31*(1+'Project Assumptions'!$N$19)*'Book Income Statement'!D5*Operations!C12,C8*D$5/12*(1+'Project Assumptions'!$N$19))</f>
        <v>353.68703999999991</v>
      </c>
      <c r="E8" s="318">
        <f>IF(E$3&lt;='Project Assumptions'!$I$15,D8*(1+'Project Assumptions'!$N$19),D8*E$5/12*(1+'Project Assumptions'!$N$19))</f>
        <v>360.76078079999991</v>
      </c>
      <c r="F8" s="318">
        <f>IF(F$3&lt;='Project Assumptions'!$I$15,E8*(1+'Project Assumptions'!$N$19),E8*F$5/12*(1+'Project Assumptions'!$N$19))</f>
        <v>367.97599641599993</v>
      </c>
      <c r="G8" s="318">
        <f>IF(G$3&lt;='Project Assumptions'!$I$15,F8*(1+'Project Assumptions'!$N$19),F8*G$5/12*(1+'Project Assumptions'!$N$19))</f>
        <v>375.33551634431996</v>
      </c>
      <c r="H8" s="318">
        <f>IF(H$3&lt;='Project Assumptions'!$I$15,G8*(1+'Project Assumptions'!$N$19),G8*H$5/12*(1+'Project Assumptions'!$N$19))</f>
        <v>382.84222667120633</v>
      </c>
      <c r="I8" s="318">
        <f>IF(I$3&lt;='Project Assumptions'!$I$15,H8*(1+'Project Assumptions'!$N$19),H8*I$5/12*(1+'Project Assumptions'!$N$19))</f>
        <v>390.49907120463047</v>
      </c>
      <c r="J8" s="318">
        <f>IF(J$3&lt;='Project Assumptions'!$I$15,I8*(1+'Project Assumptions'!$N$19),I8*J$5/12*(1+'Project Assumptions'!$N$19))</f>
        <v>398.30905262872307</v>
      </c>
      <c r="K8" s="318">
        <f>IF(K$3&lt;='Project Assumptions'!$I$15,J8*(1+'Project Assumptions'!$N$19),J8*K$5/12*(1+'Project Assumptions'!$N$19))</f>
        <v>406.27523368129755</v>
      </c>
      <c r="L8" s="318">
        <f>IF(L$3&lt;='Project Assumptions'!$I$15,K8*(1+'Project Assumptions'!$N$19),K8*L$5/12*(1+'Project Assumptions'!$N$19))</f>
        <v>414.40073835492353</v>
      </c>
      <c r="M8" s="318">
        <f>IF(M$3&lt;='Project Assumptions'!$I$15,L8*(1+'Project Assumptions'!$N$19),L8*M$5/12*(1+'Project Assumptions'!$N$19))</f>
        <v>422.68875312202204</v>
      </c>
      <c r="N8" s="318">
        <f>IF(N$3&lt;='Project Assumptions'!$I$15,M8*(1+'Project Assumptions'!$N$19),M8*N$5/12*(1+'Project Assumptions'!$N$19))</f>
        <v>431.14252818446249</v>
      </c>
      <c r="O8" s="318">
        <f>IF(O$3&lt;='Project Assumptions'!$I$15,N8*(1+'Project Assumptions'!$N$19),N8*O$5/12*(1+'Project Assumptions'!$N$19))</f>
        <v>439.76537874815176</v>
      </c>
      <c r="P8" s="318">
        <f>IF(P$3&lt;='Project Assumptions'!$I$15,O8*(1+'Project Assumptions'!$N$19),O8*P$5/12*(1+'Project Assumptions'!$N$19))</f>
        <v>448.56068632311479</v>
      </c>
      <c r="Q8" s="318">
        <f>IF(Q$3&lt;='Project Assumptions'!$I$15,P8*(1+'Project Assumptions'!$N$19),P8*Q$5/12*(1+'Project Assumptions'!$N$19))</f>
        <v>457.53190004957708</v>
      </c>
      <c r="R8" s="318">
        <f>IF(R$3&lt;='Project Assumptions'!$I$15,Q8*(1+'Project Assumptions'!$N$19),Q8*R$5/12*(1+'Project Assumptions'!$N$19))</f>
        <v>311.12169203371246</v>
      </c>
      <c r="S8"/>
      <c r="T8"/>
      <c r="U8"/>
      <c r="V8"/>
      <c r="W8"/>
      <c r="X8"/>
      <c r="Y8"/>
      <c r="Z8"/>
      <c r="AA8"/>
      <c r="AD8" s="207"/>
    </row>
    <row r="9" spans="1:52" s="212" customFormat="1" ht="13.2">
      <c r="A9" s="214" t="s">
        <v>313</v>
      </c>
      <c r="C9" s="318">
        <f>IF('Project Assumptions'!$C$71="YES",C73,0)</f>
        <v>1064.7423828796159</v>
      </c>
      <c r="D9" s="318">
        <f>IF('Project Assumptions'!$C$71="YES",D73,0)</f>
        <v>2323.0751575030085</v>
      </c>
      <c r="E9" s="318">
        <f>IF('Project Assumptions'!$C$71="YES",E73,0)</f>
        <v>2416.7257977598338</v>
      </c>
      <c r="F9" s="318">
        <f>IF('Project Assumptions'!$C$71="YES",F73,0)</f>
        <v>2503.8256233788384</v>
      </c>
      <c r="G9" s="318">
        <f>IF('Project Assumptions'!$C$71="YES",G73,0)</f>
        <v>2546.4267789885848</v>
      </c>
      <c r="H9" s="318">
        <f>IF('Project Assumptions'!$C$71="YES",H73,0)</f>
        <v>2586.1199660621678</v>
      </c>
      <c r="I9" s="318">
        <f>IF('Project Assumptions'!$C$71="YES",I73,0)</f>
        <v>2622.9193327605631</v>
      </c>
      <c r="J9" s="318">
        <f>IF('Project Assumptions'!$C$71="YES",J73,0)</f>
        <v>2624.3009209433262</v>
      </c>
      <c r="K9" s="318">
        <f>IF('Project Assumptions'!$C$71="YES",K73,0)</f>
        <v>2626.4332162067367</v>
      </c>
      <c r="L9" s="318">
        <f>IF('Project Assumptions'!$C$71="YES",L73,0)</f>
        <v>2629.3312326924074</v>
      </c>
      <c r="M9" s="318">
        <f>IF('Project Assumptions'!$C$71="YES",M73,0)</f>
        <v>2633.0102848247839</v>
      </c>
      <c r="N9" s="318">
        <f>IF('Project Assumptions'!$C$71="YES",N73,0)</f>
        <v>2637.4859933167995</v>
      </c>
      <c r="O9" s="318">
        <f>IF('Project Assumptions'!$C$71="YES",O73,0)</f>
        <v>2642.7742912956469</v>
      </c>
      <c r="P9" s="318">
        <f>IF('Project Assumptions'!$C$71="YES",P73,0)</f>
        <v>2648.8914305510643</v>
      </c>
      <c r="Q9" s="318">
        <f>IF('Project Assumptions'!$C$71="YES",Q73,0)</f>
        <v>2655.853987908582</v>
      </c>
      <c r="R9" s="318">
        <f>IF('Project Assumptions'!$C$71="YES",R73,0)</f>
        <v>1481.4633510520769</v>
      </c>
      <c r="S9"/>
      <c r="T9" s="393"/>
      <c r="U9" s="393"/>
      <c r="V9"/>
      <c r="W9"/>
      <c r="X9"/>
      <c r="Y9"/>
      <c r="Z9"/>
      <c r="AA9"/>
      <c r="AD9" s="207"/>
    </row>
    <row r="10" spans="1:52" s="212" customFormat="1" ht="13.2">
      <c r="A10" s="214" t="s">
        <v>312</v>
      </c>
      <c r="C10" s="318">
        <f>Operations!C17*'PPA Assumptions'!C16/1000</f>
        <v>13635.953799999999</v>
      </c>
      <c r="D10" s="318">
        <f>Operations!D17*'PPA Assumptions'!D16/1000</f>
        <v>13822.532499999998</v>
      </c>
      <c r="E10" s="318">
        <f>Operations!E17*'PPA Assumptions'!E16/1000</f>
        <v>14122.785095999998</v>
      </c>
      <c r="F10" s="318">
        <f>Operations!F17*'PPA Assumptions'!F16/1000</f>
        <v>14310.03301392</v>
      </c>
      <c r="G10" s="318">
        <f>Operations!G17*'PPA Assumptions'!G16/1000</f>
        <v>14610.968212198397</v>
      </c>
      <c r="H10" s="318">
        <f>Operations!H17*'PPA Assumptions'!H16/1000</f>
        <v>14798.912384442368</v>
      </c>
      <c r="I10" s="318">
        <f>Operations!I17*'PPA Assumptions'!I16/1000</f>
        <v>15213.900362131215</v>
      </c>
      <c r="J10" s="318">
        <f>Operations!J17*'PPA Assumptions'!J16/1000</f>
        <v>15685.925417373837</v>
      </c>
      <c r="K10" s="318">
        <f>Operations!K17*'PPA Assumptions'!K16/1000</f>
        <v>16044.980965721315</v>
      </c>
      <c r="L10" s="318">
        <f>Operations!L17*'PPA Assumptions'!L16/1000</f>
        <v>16517.759669035739</v>
      </c>
      <c r="M10" s="318">
        <f>Operations!M17*'PPA Assumptions'!M16/1000</f>
        <v>16990.926538416454</v>
      </c>
      <c r="N10" s="318">
        <f>Operations!N17*'PPA Assumptions'!N16/1000</f>
        <v>17521.160637184785</v>
      </c>
      <c r="O10" s="318">
        <f>Operations!O17*'PPA Assumptions'!O16/1000</f>
        <v>17995.127283928483</v>
      </c>
      <c r="P10" s="318">
        <f>Operations!P17*'PPA Assumptions'!P16/1000</f>
        <v>18469.505855607047</v>
      </c>
      <c r="Q10" s="318">
        <f>Operations!Q17*'PPA Assumptions'!Q16/1000</f>
        <v>19000.97589071919</v>
      </c>
      <c r="R10" s="318">
        <f>Operations!R17*'PPA Assumptions'!R16/1000</f>
        <v>0</v>
      </c>
      <c r="S10"/>
      <c r="T10"/>
      <c r="U10"/>
      <c r="V10"/>
      <c r="W10"/>
      <c r="X10"/>
      <c r="Y10"/>
      <c r="Z10"/>
      <c r="AA10"/>
      <c r="AD10" s="207"/>
    </row>
    <row r="11" spans="1:52" s="212" customFormat="1" ht="15">
      <c r="A11" s="214" t="s">
        <v>316</v>
      </c>
      <c r="C11" s="320">
        <f>IF(AND($C$5&lt;&gt;12,C3='Project Assumptions'!$I$15+1),'Project Assumptions'!$I$34-'Project Assumptions'!$I$33,IF(AND($C$5=12,C3='Project Assumptions'!$I$15),'Project Assumptions'!$I$34-'Project Assumptions'!$I$33,0))</f>
        <v>0</v>
      </c>
      <c r="D11" s="320">
        <f>IF(AND($C$5&lt;&gt;12,D3='Project Assumptions'!$I$15+1),'Project Assumptions'!$I$34-'Project Assumptions'!$I$33,IF(AND($C$5=12,D3='Project Assumptions'!$I$15),'Project Assumptions'!$I$34-'Project Assumptions'!$I$33,0))</f>
        <v>0</v>
      </c>
      <c r="E11" s="320">
        <f>IF(AND($C$5&lt;&gt;12,E3='Project Assumptions'!$I$15+1),'Project Assumptions'!$I$34-'Project Assumptions'!$I$33,IF(AND($C$5=12,E3='Project Assumptions'!$I$15),'Project Assumptions'!$I$34-'Project Assumptions'!$I$33,0))</f>
        <v>0</v>
      </c>
      <c r="F11" s="320">
        <f>IF(AND($C$5&lt;&gt;12,F3='Project Assumptions'!$I$15+1),'Project Assumptions'!$I$34-'Project Assumptions'!$I$33,IF(AND($C$5=12,F3='Project Assumptions'!$I$15),'Project Assumptions'!$I$34-'Project Assumptions'!$I$33,0))</f>
        <v>0</v>
      </c>
      <c r="G11" s="320">
        <f>IF(AND($C$5&lt;&gt;12,G3='Project Assumptions'!$I$15+1),'Project Assumptions'!$I$34-'Project Assumptions'!$I$33,IF(AND($C$5=12,G3='Project Assumptions'!$I$15),'Project Assumptions'!$I$34-'Project Assumptions'!$I$33,0))</f>
        <v>0</v>
      </c>
      <c r="H11" s="320">
        <f>IF(AND($C$5&lt;&gt;12,H3='Project Assumptions'!$I$15+1),'Project Assumptions'!$I$34-'Project Assumptions'!$I$33,IF(AND($C$5=12,H3='Project Assumptions'!$I$15),'Project Assumptions'!$I$34-'Project Assumptions'!$I$33,0))</f>
        <v>0</v>
      </c>
      <c r="I11" s="320">
        <f>IF(AND($C$5&lt;&gt;12,I3='Project Assumptions'!$I$15+1),'Project Assumptions'!$I$34-'Project Assumptions'!$I$33,IF(AND($C$5=12,I3='Project Assumptions'!$I$15),'Project Assumptions'!$I$34-'Project Assumptions'!$I$33,0))</f>
        <v>0</v>
      </c>
      <c r="J11" s="320">
        <f>IF(AND($C$5&lt;&gt;12,J3='Project Assumptions'!$I$15+1),'Project Assumptions'!$I$34-'Project Assumptions'!$I$33,IF(AND($C$5=12,J3='Project Assumptions'!$I$15),'Project Assumptions'!$I$34-'Project Assumptions'!$I$33,0))</f>
        <v>0</v>
      </c>
      <c r="K11" s="320">
        <f>IF(AND($C$5&lt;&gt;12,K3='Project Assumptions'!$I$15+1),'Project Assumptions'!$I$34-'Project Assumptions'!$I$33,IF(AND($C$5=12,K3='Project Assumptions'!$I$15),'Project Assumptions'!$I$34-'Project Assumptions'!$I$33,0))</f>
        <v>0</v>
      </c>
      <c r="L11" s="320">
        <f>IF(AND($C$5&lt;&gt;12,L3='Project Assumptions'!$I$15+1),'Project Assumptions'!$I$34-'Project Assumptions'!$I$33,IF(AND($C$5=12,L3='Project Assumptions'!$I$15),'Project Assumptions'!$I$34-'Project Assumptions'!$I$33,0))</f>
        <v>0</v>
      </c>
      <c r="M11" s="320">
        <f>IF(AND($C$5&lt;&gt;12,M3='Project Assumptions'!$I$15+1),'Project Assumptions'!$I$34-'Project Assumptions'!$I$33,IF(AND($C$5=12,M3='Project Assumptions'!$I$15),'Project Assumptions'!$I$34-'Project Assumptions'!$I$33,0))</f>
        <v>0</v>
      </c>
      <c r="N11" s="320">
        <f>IF(AND($C$5&lt;&gt;12,N3='Project Assumptions'!$I$15+1),'Project Assumptions'!$I$34-'Project Assumptions'!$I$33,IF(AND($C$5=12,N3='Project Assumptions'!$I$15),'Project Assumptions'!$I$34-'Project Assumptions'!$I$33,0))</f>
        <v>0</v>
      </c>
      <c r="O11" s="320">
        <f>IF(AND($C$5&lt;&gt;12,O3='Project Assumptions'!$I$15+1),'Project Assumptions'!$I$34-'Project Assumptions'!$I$33,IF(AND($C$5=12,O3='Project Assumptions'!$I$15),'Project Assumptions'!$I$34-'Project Assumptions'!$I$33,0))</f>
        <v>0</v>
      </c>
      <c r="P11" s="320">
        <f>IF(AND($C$5&lt;&gt;12,P3='Project Assumptions'!$I$15+1),'Project Assumptions'!$I$34-'Project Assumptions'!$I$33,IF(AND($C$5=12,P3='Project Assumptions'!$I$15),'Project Assumptions'!$I$34-'Project Assumptions'!$I$33,0))</f>
        <v>0</v>
      </c>
      <c r="Q11" s="320">
        <f>IF(AND($C$5&lt;&gt;12,Q3='Project Assumptions'!$I$15+1),'Project Assumptions'!$I$34-'Project Assumptions'!$I$33,IF(AND($C$5=12,Q3='Project Assumptions'!$I$15),'Project Assumptions'!$I$34-'Project Assumptions'!$I$33,0))</f>
        <v>0</v>
      </c>
      <c r="R11" s="320">
        <f>IF(AND($C$5&lt;&gt;12,R3='Project Assumptions'!$I$15+1),'Project Assumptions'!$I$34-'Project Assumptions'!$I$33,IF(AND($C$5=12,R3='Project Assumptions'!$I$15),'Project Assumptions'!$I$34-'Project Assumptions'!$I$33,0))</f>
        <v>10000</v>
      </c>
      <c r="S11"/>
      <c r="T11" s="393"/>
      <c r="U11" s="393"/>
      <c r="V11"/>
      <c r="W11"/>
      <c r="X11"/>
      <c r="Y11"/>
      <c r="Z11"/>
      <c r="AA11"/>
      <c r="AD11" s="207"/>
    </row>
    <row r="12" spans="1:52" s="212" customFormat="1" ht="13.2">
      <c r="A12" s="211" t="s">
        <v>42</v>
      </c>
      <c r="C12" s="213">
        <f t="shared" ref="C12:R12" si="1">SUM(C7:C11)</f>
        <v>21127.300982879613</v>
      </c>
      <c r="D12" s="213">
        <f t="shared" si="1"/>
        <v>28345.310697503006</v>
      </c>
      <c r="E12" s="213">
        <f t="shared" si="1"/>
        <v>28746.287674559833</v>
      </c>
      <c r="F12" s="213">
        <f t="shared" si="1"/>
        <v>29027.850633714836</v>
      </c>
      <c r="G12" s="213">
        <f t="shared" si="1"/>
        <v>29378.746507531301</v>
      </c>
      <c r="H12" s="213">
        <f t="shared" si="1"/>
        <v>29613.890577175742</v>
      </c>
      <c r="I12" s="213">
        <f t="shared" si="1"/>
        <v>30073.334766096406</v>
      </c>
      <c r="J12" s="213">
        <f t="shared" si="1"/>
        <v>30554.551390945886</v>
      </c>
      <c r="K12" s="213">
        <f t="shared" si="1"/>
        <v>30923.705415609351</v>
      </c>
      <c r="L12" s="213">
        <f t="shared" si="1"/>
        <v>31407.507640083069</v>
      </c>
      <c r="M12" s="213">
        <f t="shared" si="1"/>
        <v>31892.641576363261</v>
      </c>
      <c r="N12" s="213">
        <f t="shared" si="1"/>
        <v>32435.805158686046</v>
      </c>
      <c r="O12" s="213">
        <f t="shared" si="1"/>
        <v>32923.682953972282</v>
      </c>
      <c r="P12" s="213">
        <f t="shared" si="1"/>
        <v>33412.973972481224</v>
      </c>
      <c r="Q12" s="213">
        <f t="shared" si="1"/>
        <v>33960.37777867735</v>
      </c>
      <c r="R12" s="213">
        <f t="shared" si="1"/>
        <v>19689.929043085787</v>
      </c>
      <c r="S12"/>
      <c r="T12"/>
      <c r="U12"/>
      <c r="V12"/>
      <c r="W12"/>
      <c r="X12"/>
      <c r="Y12"/>
      <c r="Z12"/>
      <c r="AA12"/>
      <c r="AD12" s="207"/>
    </row>
    <row r="13" spans="1:52" s="212" customFormat="1" ht="13.2">
      <c r="A13" s="214"/>
      <c r="B13" s="212" t="s">
        <v>92</v>
      </c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6"/>
      <c r="N13" s="326"/>
      <c r="O13" s="326"/>
      <c r="P13" s="326"/>
      <c r="Q13" s="326"/>
      <c r="R13" s="326"/>
      <c r="S13"/>
      <c r="T13"/>
      <c r="U13"/>
      <c r="V13"/>
      <c r="W13"/>
      <c r="X13"/>
      <c r="Y13"/>
      <c r="Z13"/>
      <c r="AA13"/>
      <c r="AD13" s="207"/>
    </row>
    <row r="14" spans="1:52" s="212" customFormat="1" ht="13.2">
      <c r="A14" s="211" t="s">
        <v>325</v>
      </c>
      <c r="C14" s="348"/>
      <c r="D14" s="217"/>
      <c r="E14" s="349"/>
      <c r="F14" s="349"/>
      <c r="G14" s="349"/>
      <c r="H14" s="349"/>
      <c r="I14" s="349"/>
      <c r="J14" s="349"/>
      <c r="K14" s="349"/>
      <c r="L14" s="349"/>
      <c r="M14" s="349"/>
      <c r="N14" s="349"/>
      <c r="O14" s="349"/>
      <c r="P14" s="349"/>
      <c r="Q14" s="349"/>
      <c r="R14" s="349"/>
      <c r="S14"/>
      <c r="T14"/>
      <c r="U14"/>
      <c r="V14"/>
      <c r="W14"/>
      <c r="X14"/>
      <c r="Y14"/>
      <c r="Z14"/>
      <c r="AA14"/>
      <c r="AD14" s="207"/>
    </row>
    <row r="15" spans="1:52" s="212" customFormat="1" ht="13.2">
      <c r="A15" s="214" t="s">
        <v>86</v>
      </c>
      <c r="C15" s="213">
        <f>IF(C3&gt;'Project Assumptions'!$I$15+1,0,Operations!C21)</f>
        <v>12807.7138</v>
      </c>
      <c r="D15" s="213">
        <f>IF(D3&gt;'Project Assumptions'!$I$15+1,0,Operations!D21)</f>
        <v>12977.727699999998</v>
      </c>
      <c r="E15" s="213">
        <f>IF(E3&gt;'Project Assumptions'!$I$15+1,0,Operations!E21)</f>
        <v>13261.084199999998</v>
      </c>
      <c r="F15" s="213">
        <f>IF(F3&gt;'Project Assumptions'!$I$15+1,0,Operations!F21)</f>
        <v>13431.098099999999</v>
      </c>
      <c r="G15" s="213">
        <f>IF(G3&gt;'Project Assumptions'!$I$15+1,0,Operations!G21)</f>
        <v>13714.454599999997</v>
      </c>
      <c r="H15" s="213">
        <f>IF(H3&gt;'Project Assumptions'!$I$15+1,0,Operations!H21)</f>
        <v>13884.468499999999</v>
      </c>
      <c r="I15" s="213">
        <f>IF(I3&gt;'Project Assumptions'!$I$15+1,0,Operations!I21)</f>
        <v>14281.167599999999</v>
      </c>
      <c r="J15" s="213">
        <f>IF(J3&gt;'Project Assumptions'!$I$15+1,0,Operations!J21)</f>
        <v>14734.537999999999</v>
      </c>
      <c r="K15" s="213">
        <f>IF(K3&gt;'Project Assumptions'!$I$15+1,0,Operations!K21)</f>
        <v>15074.565799999998</v>
      </c>
      <c r="L15" s="213">
        <f>IF(L3&gt;'Project Assumptions'!$I$15+1,0,Operations!L21)</f>
        <v>15527.936199999998</v>
      </c>
      <c r="M15" s="213">
        <f>IF(M3&gt;'Project Assumptions'!$I$15+1,0,Operations!M21)</f>
        <v>15981.306599999996</v>
      </c>
      <c r="N15" s="213">
        <f>IF(N3&gt;'Project Assumptions'!$I$15+1,0,Operations!N21)</f>
        <v>16491.348299999998</v>
      </c>
      <c r="O15" s="213">
        <f>IF(O3&gt;'Project Assumptions'!$I$15+1,0,Operations!O21)</f>
        <v>16944.718699999998</v>
      </c>
      <c r="P15" s="213">
        <f>IF(P3&gt;'Project Assumptions'!$I$15+1,0,Operations!P21)</f>
        <v>17398.089099999997</v>
      </c>
      <c r="Q15" s="213">
        <f>IF(Q3&gt;'Project Assumptions'!$I$15+1,0,Operations!Q21)</f>
        <v>17908.130799999999</v>
      </c>
      <c r="R15" s="213">
        <f>IF(R3&gt;'Project Assumptions'!$I$15+1,0,Operations!R21)</f>
        <v>0</v>
      </c>
      <c r="S15"/>
      <c r="T15"/>
      <c r="U15"/>
      <c r="V15"/>
      <c r="W15"/>
      <c r="X15"/>
      <c r="Y15"/>
      <c r="Z15"/>
      <c r="AA15"/>
      <c r="AD15" s="207"/>
    </row>
    <row r="16" spans="1:52" s="212" customFormat="1" ht="13.2">
      <c r="A16" s="214"/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/>
      <c r="T16"/>
      <c r="U16"/>
      <c r="V16"/>
      <c r="W16"/>
      <c r="X16"/>
      <c r="Y16"/>
      <c r="Z16"/>
      <c r="AA16"/>
      <c r="AD16" s="207"/>
    </row>
    <row r="17" spans="1:30" s="212" customFormat="1" ht="13.2">
      <c r="A17" s="214" t="s">
        <v>347</v>
      </c>
      <c r="C17" s="213">
        <f>('Project Assumptions'!$F$24-'Project Assumptions'!$I$16)*1+('Project Assumptions'!$F$25-'Project Assumptions'!$I$16)*1</f>
        <v>169</v>
      </c>
      <c r="D17" s="213">
        <v>0</v>
      </c>
      <c r="E17" s="213">
        <v>0</v>
      </c>
      <c r="F17" s="213">
        <v>0</v>
      </c>
      <c r="G17" s="213">
        <v>0</v>
      </c>
      <c r="H17" s="213">
        <v>0</v>
      </c>
      <c r="I17" s="213">
        <v>0</v>
      </c>
      <c r="J17" s="213">
        <v>0</v>
      </c>
      <c r="K17" s="213">
        <v>0</v>
      </c>
      <c r="L17" s="213">
        <v>0</v>
      </c>
      <c r="M17" s="213">
        <v>0</v>
      </c>
      <c r="N17" s="213">
        <v>0</v>
      </c>
      <c r="O17" s="213">
        <v>0</v>
      </c>
      <c r="P17" s="213">
        <v>0</v>
      </c>
      <c r="Q17" s="213">
        <v>0</v>
      </c>
      <c r="R17" s="213">
        <v>0</v>
      </c>
      <c r="S17"/>
      <c r="T17"/>
      <c r="U17"/>
      <c r="V17"/>
      <c r="W17"/>
      <c r="X17"/>
      <c r="Y17"/>
      <c r="Z17"/>
      <c r="AA17"/>
      <c r="AD17" s="207"/>
    </row>
    <row r="18" spans="1:30" s="212" customFormat="1" ht="13.2">
      <c r="A18" s="214"/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18"/>
      <c r="N18" s="318"/>
      <c r="O18" s="318"/>
      <c r="P18" s="318"/>
      <c r="Q18" s="318"/>
      <c r="R18" s="318"/>
      <c r="S18"/>
      <c r="T18"/>
      <c r="U18"/>
      <c r="V18"/>
      <c r="W18"/>
      <c r="X18"/>
      <c r="Y18"/>
      <c r="Z18"/>
      <c r="AA18"/>
      <c r="AD18" s="207"/>
    </row>
    <row r="19" spans="1:30" s="212" customFormat="1" ht="13.2">
      <c r="A19" s="81" t="s">
        <v>471</v>
      </c>
      <c r="C19" s="318">
        <f>Variable</f>
        <v>283.35599999999999</v>
      </c>
      <c r="D19" s="318">
        <f>IF(D$3&gt;'Project Assumptions'!$I$15+1,0,IF(AND($C$5&lt;12,D3='Project Assumptions'!$I$15+1),0,C19*(1+'Project Assumptions'!$N$19)))</f>
        <v>289.02312000000001</v>
      </c>
      <c r="E19" s="318">
        <f>IF(E$3&gt;'Project Assumptions'!$I$15+1,0,IF(AND($C$5&lt;12,E3='Project Assumptions'!$I$15+1),0,D19*(1+'Project Assumptions'!$N$19)))</f>
        <v>294.80358240000004</v>
      </c>
      <c r="F19" s="318">
        <f>IF(F$3&gt;'Project Assumptions'!$I$15+1,0,IF(AND($C$5&lt;12,F3='Project Assumptions'!$I$15+1),0,E19*(1+'Project Assumptions'!$N$19)))</f>
        <v>300.69965404800007</v>
      </c>
      <c r="G19" s="318">
        <f>IF(G$3&gt;'Project Assumptions'!$I$15+1,0,IF(AND($C$5&lt;12,G3='Project Assumptions'!$I$15+1),0,F19*(1+'Project Assumptions'!$N$19)))</f>
        <v>306.71364712896008</v>
      </c>
      <c r="H19" s="318">
        <f>IF(H$3&gt;'Project Assumptions'!$I$15+1,0,IF(AND($C$5&lt;12,H3='Project Assumptions'!$I$15+1),0,G19*(1+'Project Assumptions'!$N$19)))</f>
        <v>312.84792007153931</v>
      </c>
      <c r="I19" s="318">
        <f>IF(I$3&gt;'Project Assumptions'!$I$15+1,0,IF(AND($C$5&lt;12,I3='Project Assumptions'!$I$15+1),0,H19*(1+'Project Assumptions'!$N$19)))</f>
        <v>319.10487847297009</v>
      </c>
      <c r="J19" s="318">
        <f>IF(J$3&gt;'Project Assumptions'!$I$15+1,0,IF(AND($C$5&lt;12,J3='Project Assumptions'!$I$15+1),0,I19*(1+'Project Assumptions'!$N$19)))</f>
        <v>325.48697604242949</v>
      </c>
      <c r="K19" s="318">
        <f>IF(K$3&gt;'Project Assumptions'!$I$15+1,0,IF(AND($C$5&lt;12,K3='Project Assumptions'!$I$15+1),0,J19*(1+'Project Assumptions'!$N$19)))</f>
        <v>331.99671556327809</v>
      </c>
      <c r="L19" s="318">
        <f>IF(L$3&gt;'Project Assumptions'!$I$15+1,0,IF(AND($C$5&lt;12,L3='Project Assumptions'!$I$15+1),0,K19*(1+'Project Assumptions'!$N$19)))</f>
        <v>338.63664987454365</v>
      </c>
      <c r="M19" s="318">
        <f>IF(M$3&gt;'Project Assumptions'!$I$15+1,0,IF(AND($C$5&lt;12,M3='Project Assumptions'!$I$15+1),0,L19*(1+'Project Assumptions'!$N$19)))</f>
        <v>345.40938287203454</v>
      </c>
      <c r="N19" s="318">
        <f>IF(N$3&gt;'Project Assumptions'!$I$15+1,0,IF(AND($C$5&lt;12,N3='Project Assumptions'!$I$15+1),0,M19*(1+'Project Assumptions'!$N$19)))</f>
        <v>352.31757052947523</v>
      </c>
      <c r="O19" s="318">
        <f>IF(O$3&gt;'Project Assumptions'!$I$15+1,0,IF(AND($C$5&lt;12,O3='Project Assumptions'!$I$15+1),0,N19*(1+'Project Assumptions'!$N$19)))</f>
        <v>359.36392194006476</v>
      </c>
      <c r="P19" s="318">
        <f>IF(P$3&gt;'Project Assumptions'!$I$15+1,0,IF(AND($C$5&lt;12,P3='Project Assumptions'!$I$15+1),0,O19*(1+'Project Assumptions'!$N$19)))</f>
        <v>366.55120037886604</v>
      </c>
      <c r="Q19" s="318">
        <f>IF(Q$3&gt;'Project Assumptions'!$I$15+1,0,IF(AND($C$5&lt;12,Q3='Project Assumptions'!$I$15+1),0,P19*(1+'Project Assumptions'!$N$19)))</f>
        <v>373.8822243864434</v>
      </c>
      <c r="R19" s="318">
        <f>IF(R$3&gt;'Project Assumptions'!$I$15+1,0,IF(AND($C$5&lt;12,R3='Project Assumptions'!$I$15+1),0,Q19*(1+'Project Assumptions'!$N$19)))</f>
        <v>0</v>
      </c>
      <c r="S19"/>
      <c r="T19"/>
      <c r="U19"/>
      <c r="V19"/>
      <c r="W19"/>
      <c r="X19"/>
      <c r="Y19"/>
      <c r="Z19"/>
      <c r="AA19"/>
      <c r="AD19" s="207"/>
    </row>
    <row r="20" spans="1:30" s="212" customFormat="1" ht="13.2">
      <c r="A20" s="214" t="s">
        <v>330</v>
      </c>
      <c r="C20" s="318">
        <f>'Project Assumptions'!$N$15</f>
        <v>200</v>
      </c>
      <c r="D20" s="318">
        <f>IF(D$3&gt;'Project Assumptions'!$I$15+1,0,IF(AND($C$5&lt;12,D3='Project Assumptions'!$I$15+1),0,C20*(1+'Project Assumptions'!$N$19)))</f>
        <v>204</v>
      </c>
      <c r="E20" s="318">
        <f>IF(E$3&gt;'Project Assumptions'!$I$15+1,0,IF(AND($C$5&lt;12,E3='Project Assumptions'!$I$15+1),0,D20*(1+'Project Assumptions'!$N$19)))</f>
        <v>208.08</v>
      </c>
      <c r="F20" s="318">
        <f>IF(F$3&gt;'Project Assumptions'!$I$15+1,0,IF(AND($C$5&lt;12,F3='Project Assumptions'!$I$15+1),0,E20*(1+'Project Assumptions'!$N$19)))</f>
        <v>212.24160000000001</v>
      </c>
      <c r="G20" s="318">
        <f>IF(G$3&gt;'Project Assumptions'!$I$15+1,0,IF(AND($C$5&lt;12,G3='Project Assumptions'!$I$15+1),0,F20*(1+'Project Assumptions'!$N$19)))</f>
        <v>216.48643200000001</v>
      </c>
      <c r="H20" s="318">
        <f>IF(H$3&gt;'Project Assumptions'!$I$15+1,0,IF(AND($C$5&lt;12,H3='Project Assumptions'!$I$15+1),0,G20*(1+'Project Assumptions'!$N$19)))</f>
        <v>220.81616064000002</v>
      </c>
      <c r="I20" s="318">
        <f>IF(I$3&gt;'Project Assumptions'!$I$15+1,0,IF(AND($C$5&lt;12,I3='Project Assumptions'!$I$15+1),0,H20*(1+'Project Assumptions'!$N$19)))</f>
        <v>225.23248385280002</v>
      </c>
      <c r="J20" s="318">
        <f>IF(J$3&gt;'Project Assumptions'!$I$15+1,0,IF(AND($C$5&lt;12,J3='Project Assumptions'!$I$15+1),0,I20*(1+'Project Assumptions'!$N$19)))</f>
        <v>229.73713352985601</v>
      </c>
      <c r="K20" s="318">
        <f>IF(K$3&gt;'Project Assumptions'!$I$15+1,0,IF(AND($C$5&lt;12,K3='Project Assumptions'!$I$15+1),0,J20*(1+'Project Assumptions'!$N$19)))</f>
        <v>234.33187620045314</v>
      </c>
      <c r="L20" s="318">
        <f>IF(L$3&gt;'Project Assumptions'!$I$15+1,0,IF(AND($C$5&lt;12,L3='Project Assumptions'!$I$15+1),0,K20*(1+'Project Assumptions'!$N$19)))</f>
        <v>239.0185137244622</v>
      </c>
      <c r="M20" s="318">
        <f>IF(M$3&gt;'Project Assumptions'!$I$15+1,0,IF(AND($C$5&lt;12,M3='Project Assumptions'!$I$15+1),0,L20*(1+'Project Assumptions'!$N$19)))</f>
        <v>243.79888399895145</v>
      </c>
      <c r="N20" s="318">
        <f>IF(N$3&gt;'Project Assumptions'!$I$15+1,0,IF(AND($C$5&lt;12,N3='Project Assumptions'!$I$15+1),0,M20*(1+'Project Assumptions'!$N$19)))</f>
        <v>248.67486167893048</v>
      </c>
      <c r="O20" s="318">
        <f>IF(O$3&gt;'Project Assumptions'!$I$15+1,0,IF(AND($C$5&lt;12,O3='Project Assumptions'!$I$15+1),0,N20*(1+'Project Assumptions'!$N$19)))</f>
        <v>253.64835891250911</v>
      </c>
      <c r="P20" s="318">
        <f>IF(P$3&gt;'Project Assumptions'!$I$15+1,0,IF(AND($C$5&lt;12,P3='Project Assumptions'!$I$15+1),0,O20*(1+'Project Assumptions'!$N$19)))</f>
        <v>258.72132609075931</v>
      </c>
      <c r="Q20" s="318">
        <f>IF(Q$3&gt;'Project Assumptions'!$I$15+1,0,IF(AND($C$5&lt;12,Q3='Project Assumptions'!$I$15+1),0,P20*(1+'Project Assumptions'!$N$19)))</f>
        <v>263.89575261257448</v>
      </c>
      <c r="R20" s="318">
        <f>IF(R$3&gt;'Project Assumptions'!$I$15+1,0,IF(AND($C$5&lt;12,R3='Project Assumptions'!$I$15+1),0,Q20*(1+'Project Assumptions'!$N$19)))</f>
        <v>0</v>
      </c>
      <c r="S20"/>
      <c r="T20"/>
      <c r="U20"/>
      <c r="V20"/>
      <c r="W20"/>
      <c r="X20"/>
      <c r="Y20"/>
      <c r="Z20"/>
      <c r="AA20"/>
      <c r="AD20" s="207"/>
    </row>
    <row r="21" spans="1:30" s="212" customFormat="1" ht="13.2">
      <c r="A21" s="214" t="s">
        <v>329</v>
      </c>
      <c r="C21" s="318">
        <f>'Project Assumptions'!$N$16</f>
        <v>128.02900000000002</v>
      </c>
      <c r="D21" s="318">
        <f>IF(D$3&gt;'Project Assumptions'!$I$15+1,0,IF(AND($C$5&lt;12,D3='Project Assumptions'!$I$15+1),0,((108.8*'Project Assumptions'!$I$8)+(94.3*'Project Assumptions'!$G$8))*'PPA Assumptions'!D26*'Project Assumptions'!$N$34/1000))</f>
        <v>129.7285</v>
      </c>
      <c r="E21" s="318">
        <f>IF(E$3&gt;'Project Assumptions'!$I$15+1,0,IF(AND($C$5&lt;12,E3='Project Assumptions'!$I$15+1),0,((108.8*'Project Assumptions'!$I$8)+(94.3*'Project Assumptions'!$G$8))*'PPA Assumptions'!E26*'Project Assumptions'!$N$34/1000))</f>
        <v>132.56100000000001</v>
      </c>
      <c r="F21" s="318">
        <f>IF(F$3&gt;'Project Assumptions'!$I$15+1,0,IF(AND($C$5&lt;12,F3='Project Assumptions'!$I$15+1),0,((108.8*'Project Assumptions'!$I$8)+(94.3*'Project Assumptions'!$G$8))*'PPA Assumptions'!F26*'Project Assumptions'!$N$34/1000))</f>
        <v>134.26050000000001</v>
      </c>
      <c r="G21" s="318">
        <f>IF(G$3&gt;'Project Assumptions'!$I$15+1,0,IF(AND($C$5&lt;12,G3='Project Assumptions'!$I$15+1),0,((108.8*'Project Assumptions'!$I$8)+(94.3*'Project Assumptions'!$G$8))*'PPA Assumptions'!G26*'Project Assumptions'!$N$34/1000))</f>
        <v>137.09299999999999</v>
      </c>
      <c r="H21" s="318">
        <f>IF(H$3&gt;'Project Assumptions'!$I$15+1,0,IF(AND($C$5&lt;12,H3='Project Assumptions'!$I$15+1),0,((108.8*'Project Assumptions'!$I$8)+(94.3*'Project Assumptions'!$G$8))*'PPA Assumptions'!H26*'Project Assumptions'!$N$34/1000))</f>
        <v>138.79249999999999</v>
      </c>
      <c r="I21" s="318">
        <f>IF(I$3&gt;'Project Assumptions'!$I$15+1,0,IF(AND($C$5&lt;12,I3='Project Assumptions'!$I$15+1),0,((108.8*'Project Assumptions'!$I$8)+(94.3*'Project Assumptions'!$G$8))*'PPA Assumptions'!I26*'Project Assumptions'!$N$34/1000))</f>
        <v>142.75800000000001</v>
      </c>
      <c r="J21" s="318">
        <f>IF(J$3&gt;'Project Assumptions'!$I$15+1,0,IF(AND($C$5&lt;12,J3='Project Assumptions'!$I$15+1),0,((108.8*'Project Assumptions'!$I$8)+(94.3*'Project Assumptions'!$G$8))*'PPA Assumptions'!J26*'Project Assumptions'!$N$34/1000))</f>
        <v>147.29</v>
      </c>
      <c r="K21" s="318">
        <f>IF(K$3&gt;'Project Assumptions'!$I$15+1,0,IF(AND($C$5&lt;12,K3='Project Assumptions'!$I$15+1),0,((108.8*'Project Assumptions'!$I$8)+(94.3*'Project Assumptions'!$G$8))*'PPA Assumptions'!K26*'Project Assumptions'!$N$34/1000))</f>
        <v>150.68899999999999</v>
      </c>
      <c r="L21" s="318">
        <f>IF(L$3&gt;'Project Assumptions'!$I$15+1,0,IF(AND($C$5&lt;12,L3='Project Assumptions'!$I$15+1),0,((108.8*'Project Assumptions'!$I$8)+(94.3*'Project Assumptions'!$G$8))*'PPA Assumptions'!L26*'Project Assumptions'!$N$34/1000))</f>
        <v>155.22100000000003</v>
      </c>
      <c r="M21" s="318">
        <f>IF(M$3&gt;'Project Assumptions'!$I$15+1,0,IF(AND($C$5&lt;12,M3='Project Assumptions'!$I$15+1),0,((108.8*'Project Assumptions'!$I$8)+(94.3*'Project Assumptions'!$G$8))*'PPA Assumptions'!M26*'Project Assumptions'!$N$34/1000))</f>
        <v>159.75299999999999</v>
      </c>
      <c r="N21" s="318">
        <f>IF(N$3&gt;'Project Assumptions'!$I$15+1,0,IF(AND($C$5&lt;12,N3='Project Assumptions'!$I$15+1),0,((108.8*'Project Assumptions'!$I$8)+(94.3*'Project Assumptions'!$G$8))*'PPA Assumptions'!N26*'Project Assumptions'!$N$34/1000))</f>
        <v>164.85149999999999</v>
      </c>
      <c r="O21" s="318">
        <f>IF(O$3&gt;'Project Assumptions'!$I$15+1,0,IF(AND($C$5&lt;12,O3='Project Assumptions'!$I$15+1),0,((108.8*'Project Assumptions'!$I$8)+(94.3*'Project Assumptions'!$G$8))*'PPA Assumptions'!O26*'Project Assumptions'!$N$34/1000))</f>
        <v>169.38350000000003</v>
      </c>
      <c r="P21" s="318">
        <f>IF(P$3&gt;'Project Assumptions'!$I$15+1,0,IF(AND($C$5&lt;12,P3='Project Assumptions'!$I$15+1),0,((108.8*'Project Assumptions'!$I$8)+(94.3*'Project Assumptions'!$G$8))*'PPA Assumptions'!P26*'Project Assumptions'!$N$34/1000))</f>
        <v>173.91550000000001</v>
      </c>
      <c r="Q21" s="318">
        <f>IF(Q$3&gt;'Project Assumptions'!$I$15+1,0,IF(AND($C$5&lt;12,Q3='Project Assumptions'!$I$15+1),0,((108.8*'Project Assumptions'!$I$8)+(94.3*'Project Assumptions'!$G$8))*'PPA Assumptions'!Q26*'Project Assumptions'!$N$34/1000))</f>
        <v>179.01400000000001</v>
      </c>
      <c r="R21" s="318">
        <f>IF(R$3&gt;'Project Assumptions'!$I$15+1,0,IF(AND($C$5&lt;12,R3='Project Assumptions'!$I$15+1),0,((108.8*'Project Assumptions'!$I$8)+(94.3*'Project Assumptions'!$G$8))*'PPA Assumptions'!R26*'Project Assumptions'!$N$34/1000))</f>
        <v>0</v>
      </c>
      <c r="S21"/>
      <c r="T21"/>
      <c r="U21"/>
      <c r="V21"/>
      <c r="W21"/>
      <c r="X21"/>
      <c r="Y21"/>
      <c r="Z21"/>
      <c r="AA21"/>
      <c r="AD21" s="207"/>
    </row>
    <row r="22" spans="1:30" s="212" customFormat="1" ht="15">
      <c r="A22" s="214" t="s">
        <v>76</v>
      </c>
      <c r="C22" s="320">
        <f>Maint_Accrual</f>
        <v>544.88400000000001</v>
      </c>
      <c r="D22" s="320">
        <f>IF(D$3&gt;'Project Assumptions'!$I$15+1,0,IF(AND($C$5&lt;12,D3='Project Assumptions'!$I$15+1),0,C22*(1+'Project Assumptions'!$N$19)))</f>
        <v>555.78168000000005</v>
      </c>
      <c r="E22" s="320">
        <f>IF(E$3&gt;'Project Assumptions'!$I$15+1,0,IF(AND($C$5&lt;12,E3='Project Assumptions'!$I$15+1),0,D22*(1+'Project Assumptions'!$N$19)))</f>
        <v>566.89731360000007</v>
      </c>
      <c r="F22" s="320">
        <f>IF(F$3&gt;'Project Assumptions'!$I$15+1,0,IF(AND($C$5&lt;12,F3='Project Assumptions'!$I$15+1),0,E22*(1+'Project Assumptions'!$N$19)))</f>
        <v>578.23525987200014</v>
      </c>
      <c r="G22" s="320">
        <f>IF(G$3&gt;'Project Assumptions'!$I$15+1,0,IF(AND($C$5&lt;12,G3='Project Assumptions'!$I$15+1),0,F22*(1+'Project Assumptions'!$N$19)))</f>
        <v>589.79996506944019</v>
      </c>
      <c r="H22" s="320">
        <f>IF(H$3&gt;'Project Assumptions'!$I$15+1,0,IF(AND($C$5&lt;12,H3='Project Assumptions'!$I$15+1),0,G22*(1+'Project Assumptions'!$N$19)))</f>
        <v>601.59596437082905</v>
      </c>
      <c r="I22" s="320">
        <f>IF(I$3&gt;'Project Assumptions'!$I$15+1,0,IF(AND($C$5&lt;12,I3='Project Assumptions'!$I$15+1),0,H22*(1+'Project Assumptions'!$N$19)))</f>
        <v>613.62788365824565</v>
      </c>
      <c r="J22" s="320">
        <f>IF(J$3&gt;'Project Assumptions'!$I$15+1,0,IF(AND($C$5&lt;12,J3='Project Assumptions'!$I$15+1),0,I22*(1+'Project Assumptions'!$N$19)))</f>
        <v>625.90044133141055</v>
      </c>
      <c r="K22" s="320">
        <f>IF(K$3&gt;'Project Assumptions'!$I$15+1,0,IF(AND($C$5&lt;12,K3='Project Assumptions'!$I$15+1),0,J22*(1+'Project Assumptions'!$N$19)))</f>
        <v>638.41845015803881</v>
      </c>
      <c r="L22" s="320">
        <f>IF(L$3&gt;'Project Assumptions'!$I$15+1,0,IF(AND($C$5&lt;12,L3='Project Assumptions'!$I$15+1),0,K22*(1+'Project Assumptions'!$N$19)))</f>
        <v>651.18681916119965</v>
      </c>
      <c r="M22" s="320">
        <f>IF(M$3&gt;'Project Assumptions'!$I$15+1,0,IF(AND($C$5&lt;12,M3='Project Assumptions'!$I$15+1),0,L22*(1+'Project Assumptions'!$N$19)))</f>
        <v>664.21055554442364</v>
      </c>
      <c r="N22" s="320">
        <f>IF(N$3&gt;'Project Assumptions'!$I$15+1,0,IF(AND($C$5&lt;12,N3='Project Assumptions'!$I$15+1),0,M22*(1+'Project Assumptions'!$N$19)))</f>
        <v>677.49476665531211</v>
      </c>
      <c r="O22" s="320">
        <f>IF(O$3&gt;'Project Assumptions'!$I$15+1,0,IF(AND($C$5&lt;12,O3='Project Assumptions'!$I$15+1),0,N22*(1+'Project Assumptions'!$N$19)))</f>
        <v>691.0446619884184</v>
      </c>
      <c r="P22" s="320">
        <f>IF(P$3&gt;'Project Assumptions'!$I$15+1,0,IF(AND($C$5&lt;12,P3='Project Assumptions'!$I$15+1),0,O22*(1+'Project Assumptions'!$N$19)))</f>
        <v>704.86555522818674</v>
      </c>
      <c r="Q22" s="320">
        <f>IF(Q$3&gt;'Project Assumptions'!$I$15+1,0,IF(AND($C$5&lt;12,Q3='Project Assumptions'!$I$15+1),0,P22*(1+'Project Assumptions'!$N$19)))</f>
        <v>718.96286633275054</v>
      </c>
      <c r="R22" s="320">
        <f>IF(R$3&gt;'Project Assumptions'!$I$15+1,0,IF(AND($C$5&lt;12,R3='Project Assumptions'!$I$15+1),0,Q22*(1+'Project Assumptions'!$N$19)))</f>
        <v>0</v>
      </c>
      <c r="S22"/>
      <c r="T22"/>
      <c r="U22"/>
      <c r="V22"/>
      <c r="W22"/>
      <c r="X22"/>
      <c r="Y22"/>
      <c r="Z22"/>
      <c r="AA22"/>
      <c r="AD22" s="207"/>
    </row>
    <row r="23" spans="1:30" s="212" customFormat="1" ht="13.2">
      <c r="A23" s="81" t="s">
        <v>474</v>
      </c>
      <c r="C23" s="318">
        <f>SUM(C19:C22)</f>
        <v>1156.269</v>
      </c>
      <c r="D23" s="318">
        <f t="shared" ref="D23:R23" si="2">SUM(D19:D22)</f>
        <v>1178.5333000000001</v>
      </c>
      <c r="E23" s="318">
        <f t="shared" si="2"/>
        <v>1202.3418960000001</v>
      </c>
      <c r="F23" s="318">
        <f t="shared" si="2"/>
        <v>1225.43701392</v>
      </c>
      <c r="G23" s="318">
        <f t="shared" si="2"/>
        <v>1250.0930441984001</v>
      </c>
      <c r="H23" s="318">
        <f t="shared" si="2"/>
        <v>1274.0525450823684</v>
      </c>
      <c r="I23" s="318">
        <f t="shared" si="2"/>
        <v>1300.7232459840156</v>
      </c>
      <c r="J23" s="318">
        <f t="shared" si="2"/>
        <v>1328.414550903696</v>
      </c>
      <c r="K23" s="318">
        <f t="shared" si="2"/>
        <v>1355.4360419217701</v>
      </c>
      <c r="L23" s="318">
        <f t="shared" si="2"/>
        <v>1384.0629827602056</v>
      </c>
      <c r="M23" s="318">
        <f t="shared" si="2"/>
        <v>1413.1718224154097</v>
      </c>
      <c r="N23" s="318">
        <f t="shared" si="2"/>
        <v>1443.3386988637178</v>
      </c>
      <c r="O23" s="318">
        <f t="shared" si="2"/>
        <v>1473.4404428409923</v>
      </c>
      <c r="P23" s="318">
        <f t="shared" si="2"/>
        <v>1504.0535816978122</v>
      </c>
      <c r="Q23" s="318">
        <f t="shared" si="2"/>
        <v>1535.7548433317684</v>
      </c>
      <c r="R23" s="318">
        <f t="shared" si="2"/>
        <v>0</v>
      </c>
      <c r="S23"/>
      <c r="T23"/>
      <c r="U23"/>
      <c r="V23"/>
      <c r="W23"/>
      <c r="X23"/>
      <c r="Y23"/>
      <c r="Z23"/>
      <c r="AA23"/>
      <c r="AD23" s="207"/>
    </row>
    <row r="24" spans="1:30" s="212" customFormat="1" ht="13.2">
      <c r="A24" s="214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18"/>
      <c r="R24" s="318"/>
      <c r="S24"/>
      <c r="T24"/>
      <c r="U24"/>
      <c r="V24"/>
      <c r="W24"/>
      <c r="X24"/>
      <c r="Y24"/>
      <c r="Z24"/>
      <c r="AA24"/>
      <c r="AD24" s="207"/>
    </row>
    <row r="25" spans="1:30" s="212" customFormat="1" ht="13.2">
      <c r="A25" s="81" t="s">
        <v>472</v>
      </c>
      <c r="C25" s="318">
        <f>Fixed*C5/12</f>
        <v>222.22729375000003</v>
      </c>
      <c r="D25" s="318">
        <f>IF(D$3&lt;='Project Assumptions'!$I$15,C25*12/C$5*(1+'Project Assumptions'!$N$19),C25*D$5/12*(1+'Project Assumptions'!$N$19))</f>
        <v>430.04934000000003</v>
      </c>
      <c r="E25" s="318">
        <f>IF(E$3&lt;='Project Assumptions'!$I$15,D25*12/D$5*(1+'Project Assumptions'!$N$19),D25*E$5/12*(1+'Project Assumptions'!$N$19))</f>
        <v>438.65032680000002</v>
      </c>
      <c r="F25" s="318">
        <f>IF(F$3&lt;='Project Assumptions'!$I$15,E25*12/E$5*(1+'Project Assumptions'!$N$19),E25*F$5/12*(1+'Project Assumptions'!$N$19))</f>
        <v>447.42333333599998</v>
      </c>
      <c r="G25" s="318">
        <f>IF(G$3&lt;='Project Assumptions'!$I$15,F25*12/F$5*(1+'Project Assumptions'!$N$19),F25*G$5/12*(1+'Project Assumptions'!$N$19))</f>
        <v>456.37180000271997</v>
      </c>
      <c r="H25" s="318">
        <f>IF(H$3&lt;='Project Assumptions'!$I$15,G25*12/G$5*(1+'Project Assumptions'!$N$19),G25*H$5/12*(1+'Project Assumptions'!$N$19))</f>
        <v>465.49923600277435</v>
      </c>
      <c r="I25" s="318">
        <f>IF(I$3&lt;='Project Assumptions'!$I$15,H25*12/H$5*(1+'Project Assumptions'!$N$19),H25*I$5/12*(1+'Project Assumptions'!$N$19))</f>
        <v>474.80922072282982</v>
      </c>
      <c r="J25" s="318">
        <f>IF(J$3&lt;='Project Assumptions'!$I$15,I25*12/I$5*(1+'Project Assumptions'!$N$19),I25*J$5/12*(1+'Project Assumptions'!$N$19))</f>
        <v>484.30540513728641</v>
      </c>
      <c r="K25" s="318">
        <f>IF(K$3&lt;='Project Assumptions'!$I$15,J25*12/J$5*(1+'Project Assumptions'!$N$19),J25*K$5/12*(1+'Project Assumptions'!$N$19))</f>
        <v>493.99151324003213</v>
      </c>
      <c r="L25" s="318">
        <f>IF(L$3&lt;='Project Assumptions'!$I$15,K25*12/K$5*(1+'Project Assumptions'!$N$19),K25*L$5/12*(1+'Project Assumptions'!$N$19))</f>
        <v>503.87134350483279</v>
      </c>
      <c r="M25" s="318">
        <f>IF(M$3&lt;='Project Assumptions'!$I$15,L25*12/L$5*(1+'Project Assumptions'!$N$19),L25*M$5/12*(1+'Project Assumptions'!$N$19))</f>
        <v>513.9487703749295</v>
      </c>
      <c r="N25" s="318">
        <f>IF(N$3&lt;='Project Assumptions'!$I$15,M25*12/M$5*(1+'Project Assumptions'!$N$19),M25*N$5/12*(1+'Project Assumptions'!$N$19))</f>
        <v>524.22774578242809</v>
      </c>
      <c r="O25" s="318">
        <f>IF(O$3&lt;='Project Assumptions'!$I$15,N25*12/N$5*(1+'Project Assumptions'!$N$19),N25*O$5/12*(1+'Project Assumptions'!$N$19))</f>
        <v>534.71230069807666</v>
      </c>
      <c r="P25" s="318">
        <f>IF(P$3&lt;='Project Assumptions'!$I$15,O25*12/O$5*(1+'Project Assumptions'!$N$19),O25*P$5/12*(1+'Project Assumptions'!$N$19))</f>
        <v>545.40654671203822</v>
      </c>
      <c r="Q25" s="318">
        <f>IF(Q$3&lt;='Project Assumptions'!$I$15,P25*12/P$5*(1+'Project Assumptions'!$N$19),P25*Q$5/12*(1+'Project Assumptions'!$N$19))</f>
        <v>556.31467764627905</v>
      </c>
      <c r="R25" s="318">
        <f>IF(R$3&lt;='Project Assumptions'!$I$15,Q25*12/Q$5*(1+'Project Assumptions'!$N$19),Q25*R$5/12*(1+'Project Assumptions'!$N$19))</f>
        <v>378.29398079946975</v>
      </c>
      <c r="S25"/>
      <c r="T25"/>
      <c r="U25"/>
      <c r="V25"/>
      <c r="W25"/>
      <c r="X25"/>
      <c r="Y25"/>
      <c r="Z25"/>
      <c r="AA25"/>
      <c r="AD25" s="207"/>
    </row>
    <row r="26" spans="1:30" s="212" customFormat="1" ht="13.2">
      <c r="A26" s="214" t="s">
        <v>308</v>
      </c>
      <c r="C26" s="318">
        <f>Labor*C5/12</f>
        <v>388.27815125000006</v>
      </c>
      <c r="D26" s="318">
        <f>IF(D$3&lt;='Project Assumptions'!$I$15,C26*12/C$5*(1+'Project Assumptions'!$N$19),C26*D$5/12*(1+'Project Assumptions'!$N$19))</f>
        <v>751.38728400000002</v>
      </c>
      <c r="E26" s="318">
        <f>IF(E$3&lt;='Project Assumptions'!$I$15,D26*12/D$5*(1+'Project Assumptions'!$N$19),D26*E$5/12*(1+'Project Assumptions'!$N$19))</f>
        <v>766.41502968000009</v>
      </c>
      <c r="F26" s="318">
        <f>IF(F$3&lt;='Project Assumptions'!$I$15,E26*12/E$5*(1+'Project Assumptions'!$N$19),E26*F$5/12*(1+'Project Assumptions'!$N$19))</f>
        <v>781.74333027360024</v>
      </c>
      <c r="G26" s="318">
        <f>IF(G$3&lt;='Project Assumptions'!$I$15,F26*12/F$5*(1+'Project Assumptions'!$N$19),F26*G$5/12*(1+'Project Assumptions'!$N$19))</f>
        <v>797.37819687907222</v>
      </c>
      <c r="H26" s="318">
        <f>IF(H$3&lt;='Project Assumptions'!$I$15,G26*12/G$5*(1+'Project Assumptions'!$N$19),G26*H$5/12*(1+'Project Assumptions'!$N$19))</f>
        <v>813.32576081665366</v>
      </c>
      <c r="I26" s="318">
        <f>IF(I$3&lt;='Project Assumptions'!$I$15,H26*12/H$5*(1+'Project Assumptions'!$N$19),H26*I$5/12*(1+'Project Assumptions'!$N$19))</f>
        <v>829.59227603298677</v>
      </c>
      <c r="J26" s="318">
        <f>IF(J$3&lt;='Project Assumptions'!$I$15,I26*12/I$5*(1+'Project Assumptions'!$N$19),I26*J$5/12*(1+'Project Assumptions'!$N$19))</f>
        <v>846.18412155364649</v>
      </c>
      <c r="K26" s="318">
        <f>IF(K$3&lt;='Project Assumptions'!$I$15,J26*12/J$5*(1+'Project Assumptions'!$N$19),J26*K$5/12*(1+'Project Assumptions'!$N$19))</f>
        <v>863.10780398471945</v>
      </c>
      <c r="L26" s="318">
        <f>IF(L$3&lt;='Project Assumptions'!$I$15,K26*12/K$5*(1+'Project Assumptions'!$N$19),K26*L$5/12*(1+'Project Assumptions'!$N$19))</f>
        <v>880.36996006441382</v>
      </c>
      <c r="M26" s="318">
        <f>IF(M$3&lt;='Project Assumptions'!$I$15,L26*12/L$5*(1+'Project Assumptions'!$N$19),L26*M$5/12*(1+'Project Assumptions'!$N$19))</f>
        <v>897.97735926570203</v>
      </c>
      <c r="N26" s="318">
        <f>IF(N$3&lt;='Project Assumptions'!$I$15,M26*12/M$5*(1+'Project Assumptions'!$N$19),M26*N$5/12*(1+'Project Assumptions'!$N$19))</f>
        <v>915.93690645101606</v>
      </c>
      <c r="O26" s="318">
        <f>IF(O$3&lt;='Project Assumptions'!$I$15,N26*12/N$5*(1+'Project Assumptions'!$N$19),N26*O$5/12*(1+'Project Assumptions'!$N$19))</f>
        <v>934.25564458003635</v>
      </c>
      <c r="P26" s="318">
        <f>IF(P$3&lt;='Project Assumptions'!$I$15,O26*12/O$5*(1+'Project Assumptions'!$N$19),O26*P$5/12*(1+'Project Assumptions'!$N$19))</f>
        <v>952.94075747163708</v>
      </c>
      <c r="Q26" s="318">
        <f>IF(Q$3&lt;='Project Assumptions'!$I$15,P26*12/P$5*(1+'Project Assumptions'!$N$19),P26*Q$5/12*(1+'Project Assumptions'!$N$19))</f>
        <v>971.99957262106989</v>
      </c>
      <c r="R26" s="318">
        <f>IF(R$3&lt;='Project Assumptions'!$I$15,Q26*12/Q$5*(1+'Project Assumptions'!$N$19),Q26*R$5/12*(1+'Project Assumptions'!$N$19))</f>
        <v>660.95970938232756</v>
      </c>
      <c r="S26"/>
      <c r="T26"/>
      <c r="U26"/>
      <c r="V26"/>
      <c r="W26"/>
      <c r="X26"/>
      <c r="Y26"/>
      <c r="Z26"/>
      <c r="AA26"/>
      <c r="AD26" s="207"/>
    </row>
    <row r="27" spans="1:30" s="212" customFormat="1" ht="13.2">
      <c r="A27" s="214" t="s">
        <v>43</v>
      </c>
      <c r="C27" s="318">
        <v>0</v>
      </c>
      <c r="D27" s="318">
        <f>IF(D3&gt;'Project Assumptions'!$I$15+1,0,IF(D3&lt;='Project Assumptions'!$I$15,Depreciation!E48,Depreciation!E48))*(1+Opcostescalation)*D$5/12</f>
        <v>563.99874725376003</v>
      </c>
      <c r="E27" s="318">
        <f>IF(E3&gt;'Project Assumptions'!$I$15+1,0,IF(E3&lt;='Project Assumptions'!$I$15,Depreciation!F48,Depreciation!F48))*(1+Opcostescalation)*E$5/12</f>
        <v>623.65246090560004</v>
      </c>
      <c r="F27" s="318">
        <f>IF(F3&gt;'Project Assumptions'!$I$15+1,0,IF(F3&lt;='Project Assumptions'!$I$15,Depreciation!G48,Depreciation!G48))*(1+Opcostescalation)*F$5/12</f>
        <v>676.07542138752001</v>
      </c>
      <c r="G27" s="318">
        <f>IF(G3&gt;'Project Assumptions'!$I$15+1,0,IF(G3&lt;='Project Assumptions'!$I$15,Depreciation!H48,Depreciation!H48))*(1+Opcostescalation)*G$5/12</f>
        <v>683.30617455743993</v>
      </c>
      <c r="H27" s="318">
        <f>IF(H3&gt;'Project Assumptions'!$I$15+1,0,IF(H3&lt;='Project Assumptions'!$I$15,Depreciation!I48,Depreciation!I48))*(1+Opcostescalation)*H$5/12</f>
        <v>686.92155114240006</v>
      </c>
      <c r="I27" s="318">
        <f>IF(I3&gt;'Project Assumptions'!$I$15+1,0,IF(I3&lt;='Project Assumptions'!$I$15,Depreciation!J48,Depreciation!J48))*(1+Opcostescalation)*I$5/12</f>
        <v>686.92155114239995</v>
      </c>
      <c r="J27" s="318">
        <f>IF(J3&gt;'Project Assumptions'!$I$15+1,0,IF(J3&lt;='Project Assumptions'!$I$15,Depreciation!K48,Depreciation!K48))*(1+Opcostescalation)*J$5/12</f>
        <v>650.76778529279989</v>
      </c>
      <c r="K27" s="318">
        <f>IF(K3&gt;'Project Assumptions'!$I$15+1,0,IF(K3&lt;='Project Assumptions'!$I$15,Depreciation!L48,Depreciation!L48))*(1+Opcostescalation)*K$5/12</f>
        <v>614.61401944320005</v>
      </c>
      <c r="L27" s="318">
        <f>IF(L3&gt;'Project Assumptions'!$I$15+1,0,IF(L3&lt;='Project Assumptions'!$I$15,Depreciation!M48,Depreciation!M48))*(1+Opcostescalation)*L$5/12</f>
        <v>578.46025359359999</v>
      </c>
      <c r="M27" s="318">
        <f>IF(M3&gt;'Project Assumptions'!$I$15+1,0,IF(M3&lt;='Project Assumptions'!$I$15,Depreciation!N48,Depreciation!N48))*(1+Opcostescalation)*M$5/12</f>
        <v>542.30648774400004</v>
      </c>
      <c r="N27" s="318">
        <f>IF(N3&gt;'Project Assumptions'!$I$15+1,0,IF(N3&lt;='Project Assumptions'!$I$15,Depreciation!O48,Depreciation!O48))*(1+Opcostescalation)*N$5/12</f>
        <v>506.15272189440003</v>
      </c>
      <c r="O27" s="318">
        <f>IF(O3&gt;'Project Assumptions'!$I$15+1,0,IF(O3&lt;='Project Assumptions'!$I$15,Depreciation!P48,Depreciation!P48))*(1+Opcostescalation)*O$5/12</f>
        <v>469.99895604479997</v>
      </c>
      <c r="P27" s="318">
        <f>IF(P3&gt;'Project Assumptions'!$I$15+1,0,IF(P3&lt;='Project Assumptions'!$I$15,Depreciation!Q48,Depreciation!Q48))*(1+Opcostescalation)*P$5/12</f>
        <v>433.84519019520002</v>
      </c>
      <c r="Q27" s="318">
        <f>IF(Q3&gt;'Project Assumptions'!$I$15+1,0,IF(Q3&lt;='Project Assumptions'!$I$15,Depreciation!R48,Depreciation!R48))*(1+Opcostescalation)*Q$5/12</f>
        <v>397.69142434560007</v>
      </c>
      <c r="R27" s="318">
        <f>IF(R3&gt;'Project Assumptions'!$I$15+1,0,IF(R3&lt;='Project Assumptions'!$I$15,Depreciation!S48,Depreciation!S48))*(1+Opcostescalation)*R$5/12</f>
        <v>241.02510566399999</v>
      </c>
      <c r="S27"/>
      <c r="T27"/>
      <c r="U27"/>
      <c r="V27"/>
      <c r="W27"/>
      <c r="X27"/>
      <c r="Y27"/>
      <c r="Z27"/>
      <c r="AA27"/>
      <c r="AD27" s="207"/>
    </row>
    <row r="28" spans="1:30" s="212" customFormat="1" ht="13.2">
      <c r="A28" s="214" t="s">
        <v>87</v>
      </c>
      <c r="C28" s="318">
        <f>C7*'Project Assumptions'!$M$12</f>
        <v>31.219187999999999</v>
      </c>
      <c r="D28" s="318">
        <f>IF(D3&gt;'Project Assumptions'!$I$15+1,0,D7*'Project Assumptions'!$M$12)</f>
        <v>59.230080000000001</v>
      </c>
      <c r="E28" s="318">
        <f>IF(E3&gt;'Project Assumptions'!$I$15+1,0,E7*'Project Assumptions'!$M$12)</f>
        <v>59.230080000000001</v>
      </c>
      <c r="F28" s="318">
        <f>IF(F3&gt;'Project Assumptions'!$I$15+1,0,F7*'Project Assumptions'!$M$12)</f>
        <v>59.230080000000001</v>
      </c>
      <c r="G28" s="318">
        <f>IF(G3&gt;'Project Assumptions'!$I$15+1,0,G7*'Project Assumptions'!$M$12)</f>
        <v>59.230080000000001</v>
      </c>
      <c r="H28" s="318">
        <f>IF(H3&gt;'Project Assumptions'!$I$15+1,0,H7*'Project Assumptions'!$M$12)</f>
        <v>59.230080000000001</v>
      </c>
      <c r="I28" s="318">
        <f>IF(I3&gt;'Project Assumptions'!$I$15+1,0,I7*'Project Assumptions'!$M$12)</f>
        <v>59.230080000000001</v>
      </c>
      <c r="J28" s="318">
        <f>IF(J3&gt;'Project Assumptions'!$I$15+1,0,J7*'Project Assumptions'!$M$12)</f>
        <v>59.230080000000001</v>
      </c>
      <c r="K28" s="318">
        <f>IF(K3&gt;'Project Assumptions'!$I$15+1,0,K7*'Project Assumptions'!$M$12)</f>
        <v>59.230080000000001</v>
      </c>
      <c r="L28" s="318">
        <f>IF(L3&gt;'Project Assumptions'!$I$15+1,0,L7*'Project Assumptions'!$M$12)</f>
        <v>59.230080000000001</v>
      </c>
      <c r="M28" s="318">
        <f>IF(M3&gt;'Project Assumptions'!$I$15+1,0,M7*'Project Assumptions'!$M$12)</f>
        <v>59.230080000000001</v>
      </c>
      <c r="N28" s="318">
        <f>IF(N3&gt;'Project Assumptions'!$I$15+1,0,N7*'Project Assumptions'!$M$12)</f>
        <v>59.230080000000001</v>
      </c>
      <c r="O28" s="318">
        <f>IF(O3&gt;'Project Assumptions'!$I$15+1,0,O7*'Project Assumptions'!$M$12)</f>
        <v>59.230080000000001</v>
      </c>
      <c r="P28" s="318">
        <f>IF(P3&gt;'Project Assumptions'!$I$15+1,0,P7*'Project Assumptions'!$M$12)</f>
        <v>59.230080000000001</v>
      </c>
      <c r="Q28" s="318">
        <f>IF(Q3&gt;'Project Assumptions'!$I$15+1,0,Q7*'Project Assumptions'!$M$12)</f>
        <v>59.230080000000001</v>
      </c>
      <c r="R28" s="318">
        <f>IF(R3&gt;'Project Assumptions'!$I$15+1,0,R7*'Project Assumptions'!$M$12)</f>
        <v>39.486719999999998</v>
      </c>
      <c r="S28"/>
      <c r="T28"/>
      <c r="U28"/>
      <c r="V28"/>
      <c r="W28"/>
      <c r="X28"/>
      <c r="Y28"/>
      <c r="Z28"/>
      <c r="AA28"/>
      <c r="AD28" s="207"/>
    </row>
    <row r="29" spans="1:30" s="212" customFormat="1" ht="15">
      <c r="A29" s="214" t="s">
        <v>88</v>
      </c>
      <c r="C29" s="320">
        <f>Depreciation!D39*'Project Assumptions'!$M$13*C5/12</f>
        <v>94.988749879615696</v>
      </c>
      <c r="D29" s="320">
        <f>IF(D$3&lt;='Project Assumptions'!$I$15,C29*12/C$5*(1+Opcostescalation),C29*D$5/12*(1+Opcostescalation))</f>
        <v>183.8201262492484</v>
      </c>
      <c r="E29" s="320">
        <f>IF(E3&lt;='Project Assumptions'!$I$15,D29*12/D5*(1+Opcostescalation),D29*E5/12*(1+Opcostescalation))</f>
        <v>187.49652877423335</v>
      </c>
      <c r="F29" s="320">
        <f>IF(F3&lt;='Project Assumptions'!$I$15,E29*12/E5*(1+Opcostescalation),E29*F5/12*(1+Opcostescalation))</f>
        <v>191.24645934971801</v>
      </c>
      <c r="G29" s="320">
        <f>IF(G3&lt;='Project Assumptions'!$I$15,F29*12/F5*(1+Opcostescalation),F29*G5/12*(1+Opcostescalation))</f>
        <v>195.07138853671239</v>
      </c>
      <c r="H29" s="320">
        <f>IF(H3&lt;='Project Assumptions'!$I$15,G29*12/G5*(1+Opcostescalation),G29*H5/12*(1+Opcostescalation))</f>
        <v>198.97281630744661</v>
      </c>
      <c r="I29" s="320">
        <f>IF(I3&lt;='Project Assumptions'!$I$15,H29*12/H5*(1+Opcostescalation),H29*I5/12*(1+Opcostescalation))</f>
        <v>202.95227263359556</v>
      </c>
      <c r="J29" s="320">
        <f>IF(J3&lt;='Project Assumptions'!$I$15,I29*12/I5*(1+Opcostescalation),I29*J5/12*(1+Opcostescalation))</f>
        <v>207.01131808626744</v>
      </c>
      <c r="K29" s="320">
        <f>IF(K3&lt;='Project Assumptions'!$I$15,J29*12/J5*(1+Opcostescalation),J29*K5/12*(1+Opcostescalation))</f>
        <v>211.15154444799279</v>
      </c>
      <c r="L29" s="320">
        <f>IF(L3&lt;='Project Assumptions'!$I$15,K29*12/K5*(1+Opcostescalation),K29*L5/12*(1+Opcostescalation))</f>
        <v>215.37457533695266</v>
      </c>
      <c r="M29" s="320">
        <f>IF(M3&lt;='Project Assumptions'!$I$15,L29*12/L5*(1+Opcostescalation),L29*M5/12*(1+Opcostescalation))</f>
        <v>219.68206684369176</v>
      </c>
      <c r="N29" s="320">
        <f>IF(N3&lt;='Project Assumptions'!$I$15,M29*12/M5*(1+Opcostescalation),M29*N5/12*(1+Opcostescalation))</f>
        <v>224.07570818056561</v>
      </c>
      <c r="O29" s="320">
        <f>IF(O3&lt;='Project Assumptions'!$I$15,N29*12/N5*(1+Opcostescalation),N29*O5/12*(1+Opcostescalation))</f>
        <v>228.55722234417692</v>
      </c>
      <c r="P29" s="320">
        <f>IF(P3&lt;='Project Assumptions'!$I$15,O29*12/O5*(1+Opcostescalation),O29*P5/12*(1+Opcostescalation))</f>
        <v>233.12836679106047</v>
      </c>
      <c r="Q29" s="320">
        <f>IF(Q3&lt;='Project Assumptions'!$I$15,P29*12/P5*(1+Opcostescalation),P29*Q5/12*(1+Opcostescalation))</f>
        <v>237.79093412688169</v>
      </c>
      <c r="R29" s="320">
        <f>IF(R3&lt;='Project Assumptions'!$I$15,Q29*12/Q5*(1+Opcostescalation),Q29*R5/12*(1+Opcostescalation))</f>
        <v>161.69783520627956</v>
      </c>
      <c r="S29"/>
      <c r="T29"/>
      <c r="U29"/>
      <c r="V29"/>
      <c r="W29"/>
      <c r="X29"/>
      <c r="Y29"/>
      <c r="Z29"/>
      <c r="AA29"/>
      <c r="AD29" s="207"/>
    </row>
    <row r="30" spans="1:30" s="212" customFormat="1" ht="13.2">
      <c r="A30" s="81" t="s">
        <v>473</v>
      </c>
      <c r="C30" s="213">
        <f>SUM(C25:C29)</f>
        <v>736.71338287961589</v>
      </c>
      <c r="D30" s="213">
        <f t="shared" ref="D30:R30" si="3">SUM(D25:D29)</f>
        <v>1988.4855775030085</v>
      </c>
      <c r="E30" s="213">
        <f t="shared" si="3"/>
        <v>2075.4444261598333</v>
      </c>
      <c r="F30" s="213">
        <f t="shared" si="3"/>
        <v>2155.7186243468382</v>
      </c>
      <c r="G30" s="213">
        <f t="shared" si="3"/>
        <v>2191.3576399759445</v>
      </c>
      <c r="H30" s="213">
        <f t="shared" si="3"/>
        <v>2223.9494442692749</v>
      </c>
      <c r="I30" s="213">
        <f t="shared" si="3"/>
        <v>2253.505400531812</v>
      </c>
      <c r="J30" s="213">
        <f t="shared" si="3"/>
        <v>2247.4987100700005</v>
      </c>
      <c r="K30" s="213">
        <f t="shared" si="3"/>
        <v>2242.0949611159444</v>
      </c>
      <c r="L30" s="213">
        <f t="shared" si="3"/>
        <v>2237.3062124997996</v>
      </c>
      <c r="M30" s="213">
        <f t="shared" si="3"/>
        <v>2233.1447642283238</v>
      </c>
      <c r="N30" s="213">
        <f t="shared" si="3"/>
        <v>2229.6231623084095</v>
      </c>
      <c r="O30" s="213">
        <f t="shared" si="3"/>
        <v>2226.7542036670898</v>
      </c>
      <c r="P30" s="213">
        <f t="shared" si="3"/>
        <v>2224.5509411699359</v>
      </c>
      <c r="Q30" s="213">
        <f t="shared" si="3"/>
        <v>2223.0266887398311</v>
      </c>
      <c r="R30" s="213">
        <f t="shared" si="3"/>
        <v>1481.4633510520769</v>
      </c>
      <c r="S30"/>
      <c r="T30"/>
      <c r="U30"/>
      <c r="V30"/>
      <c r="W30"/>
      <c r="X30"/>
      <c r="Y30"/>
      <c r="Z30"/>
      <c r="AA30"/>
      <c r="AD30" s="207"/>
    </row>
    <row r="31" spans="1:30" s="212" customFormat="1" ht="13.2">
      <c r="A31" s="214"/>
      <c r="C31" s="319"/>
      <c r="D31" s="319"/>
      <c r="E31" s="319"/>
      <c r="F31" s="319"/>
      <c r="G31" s="319"/>
      <c r="H31" s="319"/>
      <c r="I31" s="319"/>
      <c r="J31" s="319"/>
      <c r="K31" s="319"/>
      <c r="L31" s="319"/>
      <c r="M31" s="319"/>
      <c r="N31" s="319"/>
      <c r="O31" s="319"/>
      <c r="P31" s="319"/>
      <c r="Q31" s="319"/>
      <c r="R31" s="319"/>
      <c r="S31"/>
      <c r="T31"/>
      <c r="U31"/>
      <c r="V31"/>
      <c r="W31"/>
      <c r="X31"/>
      <c r="Y31"/>
      <c r="Z31"/>
      <c r="AA31"/>
      <c r="AD31" s="207"/>
    </row>
    <row r="32" spans="1:30" s="212" customFormat="1" ht="13.2">
      <c r="A32" s="211" t="s">
        <v>326</v>
      </c>
      <c r="B32" s="327"/>
      <c r="C32" s="319"/>
      <c r="D32" s="350">
        <v>1</v>
      </c>
      <c r="E32" s="350">
        <v>2</v>
      </c>
      <c r="F32" s="350">
        <v>3</v>
      </c>
      <c r="G32" s="350">
        <v>4</v>
      </c>
      <c r="H32" s="350">
        <v>5</v>
      </c>
      <c r="I32" s="350">
        <v>6</v>
      </c>
      <c r="J32" s="350">
        <v>7</v>
      </c>
      <c r="K32" s="350">
        <v>8</v>
      </c>
      <c r="L32" s="350">
        <v>9</v>
      </c>
      <c r="M32" s="350">
        <v>10</v>
      </c>
      <c r="N32" s="350">
        <v>11</v>
      </c>
      <c r="O32" s="350">
        <v>12</v>
      </c>
      <c r="P32" s="350">
        <v>13</v>
      </c>
      <c r="Q32" s="350">
        <v>14</v>
      </c>
      <c r="R32" s="350">
        <v>15</v>
      </c>
      <c r="S32"/>
      <c r="T32"/>
      <c r="U32"/>
      <c r="V32"/>
      <c r="W32"/>
      <c r="X32"/>
      <c r="Y32"/>
      <c r="Z32"/>
      <c r="AA32"/>
      <c r="AD32" s="207"/>
    </row>
    <row r="33" spans="1:30" s="212" customFormat="1" ht="13.2">
      <c r="A33" s="214" t="s">
        <v>128</v>
      </c>
      <c r="C33" s="319">
        <f>Asset_Mgt*C5/12</f>
        <v>65.885416666666671</v>
      </c>
      <c r="D33" s="318">
        <f>IF(D$3&lt;='Project Assumptions'!$I$15,Asset_Mgt*(1+'Project Assumptions'!$N$19),C33*D$5/12*(1+'Project Assumptions'!$N$19))</f>
        <v>127.5</v>
      </c>
      <c r="E33" s="318">
        <f>IF(E$3&lt;='Project Assumptions'!$I$15,D33*12/D$5*(1+'Project Assumptions'!$N$19),D33*E$5/12*(1+'Project Assumptions'!$N$19))</f>
        <v>130.05000000000001</v>
      </c>
      <c r="F33" s="318">
        <f>IF(F$3&lt;='Project Assumptions'!$I$15,E33*12/E$5*(1+'Project Assumptions'!$N$19),E33*F$5/12*(1+'Project Assumptions'!$N$19))</f>
        <v>132.65100000000001</v>
      </c>
      <c r="G33" s="318">
        <f>IF(G$3&lt;='Project Assumptions'!$I$15,F33*12/F$5*(1+'Project Assumptions'!$N$19),F33*G$5/12*(1+'Project Assumptions'!$N$19))</f>
        <v>135.30402000000001</v>
      </c>
      <c r="H33" s="318">
        <f>IF(H$3&lt;='Project Assumptions'!$I$15,G33*12/G$5*(1+'Project Assumptions'!$N$19),G33*H$5/12*(1+'Project Assumptions'!$N$19))</f>
        <v>138.0101004</v>
      </c>
      <c r="I33" s="318">
        <f>IF(I$3&lt;='Project Assumptions'!$I$15,H33*12/H$5*(1+'Project Assumptions'!$N$19),H33*I$5/12*(1+'Project Assumptions'!$N$19))</f>
        <v>140.77030240799999</v>
      </c>
      <c r="J33" s="318">
        <f>IF(J$3&lt;='Project Assumptions'!$I$15,I33*12/I$5*(1+'Project Assumptions'!$N$19),I33*J$5/12*(1+'Project Assumptions'!$N$19))</f>
        <v>143.58570845616001</v>
      </c>
      <c r="K33" s="318">
        <f>IF(K$3&lt;='Project Assumptions'!$I$15,J33*12/J$5*(1+'Project Assumptions'!$N$19),J33*K$5/12*(1+'Project Assumptions'!$N$19))</f>
        <v>146.45742262528321</v>
      </c>
      <c r="L33" s="318">
        <f>IF(L$3&lt;='Project Assumptions'!$I$15,K33*12/K$5*(1+'Project Assumptions'!$N$19),K33*L$5/12*(1+'Project Assumptions'!$N$19))</f>
        <v>149.38657107778889</v>
      </c>
      <c r="M33" s="318">
        <f>IF(M$3&lt;='Project Assumptions'!$I$15,L33*12/L$5*(1+'Project Assumptions'!$N$19),L33*M$5/12*(1+'Project Assumptions'!$N$19))</f>
        <v>152.37430249934468</v>
      </c>
      <c r="N33" s="318">
        <f>IF(N$3&lt;='Project Assumptions'!$I$15,M33*12/M$5*(1+'Project Assumptions'!$N$19),M33*N$5/12*(1+'Project Assumptions'!$N$19))</f>
        <v>155.42178854933158</v>
      </c>
      <c r="O33" s="318">
        <f>IF(O$3&lt;='Project Assumptions'!$I$15,N33*12/N$5*(1+'Project Assumptions'!$N$19),N33*O$5/12*(1+'Project Assumptions'!$N$19))</f>
        <v>158.53022432031821</v>
      </c>
      <c r="P33" s="318">
        <f>IF(P$3&lt;='Project Assumptions'!$I$15,O33*12/O$5*(1+'Project Assumptions'!$N$19),O33*P$5/12*(1+'Project Assumptions'!$N$19))</f>
        <v>161.70082880672459</v>
      </c>
      <c r="Q33" s="318">
        <f>IF(Q$3&lt;='Project Assumptions'!$I$15,P33*12/P$5*(1+'Project Assumptions'!$N$19),P33*Q$5/12*(1+'Project Assumptions'!$N$19))</f>
        <v>164.93484538285909</v>
      </c>
      <c r="R33" s="318">
        <f>IF(R$3&lt;='Project Assumptions'!$I$15,Q33*12/Q$5*(1+'Project Assumptions'!$N$19),Q33*R$5/12*(1+'Project Assumptions'!$N$19))</f>
        <v>112.1556948603442</v>
      </c>
      <c r="S33"/>
      <c r="T33"/>
      <c r="U33"/>
      <c r="V33"/>
      <c r="W33"/>
      <c r="X33"/>
      <c r="Y33"/>
      <c r="Z33"/>
      <c r="AA33"/>
      <c r="AD33" s="207"/>
    </row>
    <row r="34" spans="1:30" s="212" customFormat="1" ht="13.2">
      <c r="A34" s="214" t="s">
        <v>311</v>
      </c>
      <c r="C34" s="319">
        <f>OM_Fee*C5/12</f>
        <v>80.643749999999997</v>
      </c>
      <c r="D34" s="318">
        <f>IF(D$3&lt;='Project Assumptions'!$I$15,OM_Fee*(1+'Project Assumptions'!$N$19),C34*D$5/12*(1+'Project Assumptions'!$N$19))</f>
        <v>156.06</v>
      </c>
      <c r="E34" s="318">
        <f>IF(E$3&lt;='Project Assumptions'!$I$15,D34*12/D$5*(1+'Project Assumptions'!$N$19),D34*E$5/12*(1+'Project Assumptions'!$N$19))</f>
        <v>159.18120000000002</v>
      </c>
      <c r="F34" s="318">
        <f>IF(F$3&lt;='Project Assumptions'!$I$15,E34*12/E$5*(1+'Project Assumptions'!$N$19),E34*F$5/12*(1+'Project Assumptions'!$N$19))</f>
        <v>162.36482400000003</v>
      </c>
      <c r="G34" s="318">
        <f>IF(G$3&lt;='Project Assumptions'!$I$15,F34*12/F$5*(1+'Project Assumptions'!$N$19),F34*G$5/12*(1+'Project Assumptions'!$N$19))</f>
        <v>165.61212048000004</v>
      </c>
      <c r="H34" s="318">
        <f>IF(H$3&lt;='Project Assumptions'!$I$15,G34*12/G$5*(1+'Project Assumptions'!$N$19),G34*H$5/12*(1+'Project Assumptions'!$N$19))</f>
        <v>168.92436288960005</v>
      </c>
      <c r="I34" s="318">
        <f>IF(I$3&lt;='Project Assumptions'!$I$15,H34*12/H$5*(1+'Project Assumptions'!$N$19),H34*I$5/12*(1+'Project Assumptions'!$N$19))</f>
        <v>172.30285014739206</v>
      </c>
      <c r="J34" s="318">
        <f>IF(J$3&lt;='Project Assumptions'!$I$15,I34*12/I$5*(1+'Project Assumptions'!$N$19),I34*J$5/12*(1+'Project Assumptions'!$N$19))</f>
        <v>175.7489071503399</v>
      </c>
      <c r="K34" s="318">
        <f>IF(K$3&lt;='Project Assumptions'!$I$15,J34*12/J$5*(1+'Project Assumptions'!$N$19),J34*K$5/12*(1+'Project Assumptions'!$N$19))</f>
        <v>179.26388529334673</v>
      </c>
      <c r="L34" s="318">
        <f>IF(L$3&lt;='Project Assumptions'!$I$15,K34*12/K$5*(1+'Project Assumptions'!$N$19),K34*L$5/12*(1+'Project Assumptions'!$N$19))</f>
        <v>182.84916299921369</v>
      </c>
      <c r="M34" s="318">
        <f>IF(M$3&lt;='Project Assumptions'!$I$15,L34*12/L$5*(1+'Project Assumptions'!$N$19),L34*M$5/12*(1+'Project Assumptions'!$N$19))</f>
        <v>186.50614625919798</v>
      </c>
      <c r="N34" s="318">
        <f>IF(N$3&lt;='Project Assumptions'!$I$15,M34*12/M$5*(1+'Project Assumptions'!$N$19),M34*N$5/12*(1+'Project Assumptions'!$N$19))</f>
        <v>190.23626918438194</v>
      </c>
      <c r="O34" s="318">
        <f>IF(O$3&lt;='Project Assumptions'!$I$15,N34*12/N$5*(1+'Project Assumptions'!$N$19),N34*O$5/12*(1+'Project Assumptions'!$N$19))</f>
        <v>194.04099456806958</v>
      </c>
      <c r="P34" s="318">
        <f>IF(P$3&lt;='Project Assumptions'!$I$15,O34*12/O$5*(1+'Project Assumptions'!$N$19),O34*P$5/12*(1+'Project Assumptions'!$N$19))</f>
        <v>197.92181445943098</v>
      </c>
      <c r="Q34" s="318">
        <f>IF(Q$3&lt;='Project Assumptions'!$I$15,P34*12/P$5*(1+'Project Assumptions'!$N$19),P34*Q$5/12*(1+'Project Assumptions'!$N$19))</f>
        <v>201.8802507486196</v>
      </c>
      <c r="R34" s="318">
        <f>IF(R$3&lt;='Project Assumptions'!$I$15,Q34*12/Q$5*(1+'Project Assumptions'!$N$19),Q34*R$5/12*(1+'Project Assumptions'!$N$19))</f>
        <v>137.27857050906135</v>
      </c>
      <c r="S34"/>
      <c r="T34"/>
      <c r="U34"/>
      <c r="V34"/>
      <c r="W34"/>
      <c r="X34"/>
      <c r="Y34"/>
      <c r="Z34"/>
      <c r="AA34"/>
      <c r="AD34" s="207"/>
    </row>
    <row r="35" spans="1:30" s="212" customFormat="1" ht="15">
      <c r="A35" s="214" t="s">
        <v>344</v>
      </c>
      <c r="C35" s="320">
        <f>'Project Assumptions'!$N$24</f>
        <v>0</v>
      </c>
      <c r="D35" s="320">
        <f>IF(D$3&lt;='Project Assumptions'!$I$15,C35*(1+'Project Assumptions'!$N$19),C35*(1+'Project Assumptions'!$N$19))</f>
        <v>0</v>
      </c>
      <c r="E35" s="320">
        <f>IF(E$3&lt;='Project Assumptions'!$I$15,D35*(1+'Project Assumptions'!$N$19),D35*(1+'Project Assumptions'!$N$19))</f>
        <v>0</v>
      </c>
      <c r="F35" s="320">
        <f>IF(F$3&lt;='Project Assumptions'!$I$15,E35*(1+'Project Assumptions'!$N$19),E35*(1+'Project Assumptions'!$N$19))</f>
        <v>0</v>
      </c>
      <c r="G35" s="320">
        <f>IF(G$3&lt;='Project Assumptions'!$I$15,F35*(1+'Project Assumptions'!$N$19),F35*(1+'Project Assumptions'!$N$19))</f>
        <v>0</v>
      </c>
      <c r="H35" s="320">
        <f>IF(H$3&lt;='Project Assumptions'!$I$15,G35*(1+'Project Assumptions'!$N$19),G35*(1+'Project Assumptions'!$N$19))</f>
        <v>0</v>
      </c>
      <c r="I35" s="320">
        <f>IF(I$3&lt;='Project Assumptions'!$I$15,H35*(1+'Project Assumptions'!$N$19),H35*(1+'Project Assumptions'!$N$19))</f>
        <v>0</v>
      </c>
      <c r="J35" s="320">
        <f>IF(J$3&lt;='Project Assumptions'!$I$15,I35*(1+'Project Assumptions'!$N$19),I35*(1+'Project Assumptions'!$N$19))</f>
        <v>0</v>
      </c>
      <c r="K35" s="320">
        <f>IF(K$3&lt;='Project Assumptions'!$I$15,J35*(1+'Project Assumptions'!$N$19),J35*(1+'Project Assumptions'!$N$19))</f>
        <v>0</v>
      </c>
      <c r="L35" s="320">
        <f>IF(L$3&lt;='Project Assumptions'!$I$15,K35*(1+'Project Assumptions'!$N$19),K35*(1+'Project Assumptions'!$N$19))</f>
        <v>0</v>
      </c>
      <c r="M35" s="320">
        <f>IF(M$3&lt;='Project Assumptions'!$I$15,L35*(1+'Project Assumptions'!$N$19),L35*(1+'Project Assumptions'!$N$19))</f>
        <v>0</v>
      </c>
      <c r="N35" s="320">
        <f>IF(N$3&lt;='Project Assumptions'!$I$15,M35*(1+'Project Assumptions'!$N$19),M35*(1+'Project Assumptions'!$N$19))</f>
        <v>0</v>
      </c>
      <c r="O35" s="320">
        <f>IF(O$3&lt;='Project Assumptions'!$I$15,N35*(1+'Project Assumptions'!$N$19),N35*(1+'Project Assumptions'!$N$19))</f>
        <v>0</v>
      </c>
      <c r="P35" s="320">
        <f>IF(P$3&lt;='Project Assumptions'!$I$15,O35*(1+'Project Assumptions'!$N$19),O35*(1+'Project Assumptions'!$N$19))</f>
        <v>0</v>
      </c>
      <c r="Q35" s="320">
        <f>IF(Q$3&lt;='Project Assumptions'!$I$15,P35*(1+'Project Assumptions'!$N$19),P35*(1+'Project Assumptions'!$N$19))</f>
        <v>0</v>
      </c>
      <c r="R35" s="320">
        <f>IF(R$3&lt;='Project Assumptions'!$I$15,Q35*(1+'Project Assumptions'!$N$19),Q35*(1+'Project Assumptions'!$N$19))</f>
        <v>0</v>
      </c>
      <c r="S35"/>
      <c r="T35"/>
      <c r="U35"/>
      <c r="V35"/>
      <c r="W35"/>
      <c r="X35"/>
      <c r="Y35"/>
      <c r="Z35"/>
      <c r="AA35"/>
      <c r="AD35" s="207"/>
    </row>
    <row r="36" spans="1:30" s="212" customFormat="1" ht="13.2">
      <c r="A36" s="214" t="s">
        <v>327</v>
      </c>
      <c r="B36" s="327"/>
      <c r="C36" s="213">
        <f>SUM(C33:C35)</f>
        <v>146.52916666666667</v>
      </c>
      <c r="D36" s="213">
        <f t="shared" ref="D36:R36" si="4">SUM(D33:D35)</f>
        <v>283.56</v>
      </c>
      <c r="E36" s="458">
        <f t="shared" si="4"/>
        <v>289.23120000000006</v>
      </c>
      <c r="F36" s="458">
        <f t="shared" si="4"/>
        <v>295.01582400000007</v>
      </c>
      <c r="G36" s="458">
        <f t="shared" si="4"/>
        <v>300.91614048000008</v>
      </c>
      <c r="H36" s="458">
        <f t="shared" si="4"/>
        <v>306.93446328960005</v>
      </c>
      <c r="I36" s="458">
        <f t="shared" si="4"/>
        <v>313.07315255539208</v>
      </c>
      <c r="J36" s="458">
        <f t="shared" si="4"/>
        <v>319.33461560649994</v>
      </c>
      <c r="K36" s="458">
        <f t="shared" si="4"/>
        <v>325.72130791862992</v>
      </c>
      <c r="L36" s="458">
        <f t="shared" si="4"/>
        <v>332.23573407700258</v>
      </c>
      <c r="M36" s="458">
        <f t="shared" si="4"/>
        <v>338.88044875854268</v>
      </c>
      <c r="N36" s="458">
        <f t="shared" si="4"/>
        <v>345.65805773371352</v>
      </c>
      <c r="O36" s="458">
        <f t="shared" si="4"/>
        <v>352.57121888838776</v>
      </c>
      <c r="P36" s="458">
        <f t="shared" si="4"/>
        <v>359.62264326615559</v>
      </c>
      <c r="Q36" s="458">
        <f t="shared" si="4"/>
        <v>366.8150961314787</v>
      </c>
      <c r="R36" s="458">
        <f t="shared" si="4"/>
        <v>249.43426536940555</v>
      </c>
      <c r="S36"/>
      <c r="T36"/>
      <c r="U36"/>
      <c r="V36"/>
      <c r="W36"/>
      <c r="X36"/>
      <c r="Y36"/>
      <c r="Z36"/>
      <c r="AA36"/>
      <c r="AD36" s="207"/>
    </row>
    <row r="37" spans="1:30" s="212" customFormat="1" ht="15">
      <c r="A37" s="214"/>
      <c r="C37" s="320"/>
      <c r="D37" s="320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/>
      <c r="T37"/>
      <c r="U37"/>
      <c r="V37"/>
      <c r="W37"/>
      <c r="X37"/>
      <c r="Y37"/>
      <c r="Z37"/>
      <c r="AA37"/>
      <c r="AD37" s="207"/>
    </row>
    <row r="38" spans="1:30" s="212" customFormat="1" ht="15">
      <c r="A38" s="211" t="s">
        <v>328</v>
      </c>
      <c r="C38" s="351">
        <f>C15+C17+C23+C30+C36</f>
        <v>15016.225349546283</v>
      </c>
      <c r="D38" s="351">
        <f t="shared" ref="D38:R38" si="5">D15+D17+D23+D30+D36</f>
        <v>16428.306577503008</v>
      </c>
      <c r="E38" s="351">
        <f t="shared" si="5"/>
        <v>16828.10172215983</v>
      </c>
      <c r="F38" s="351">
        <f t="shared" si="5"/>
        <v>17107.26956226684</v>
      </c>
      <c r="G38" s="351">
        <f t="shared" si="5"/>
        <v>17456.821424654343</v>
      </c>
      <c r="H38" s="351">
        <f t="shared" si="5"/>
        <v>17689.404952641242</v>
      </c>
      <c r="I38" s="351">
        <f t="shared" si="5"/>
        <v>18148.469399071219</v>
      </c>
      <c r="J38" s="351">
        <f t="shared" si="5"/>
        <v>18629.785876580194</v>
      </c>
      <c r="K38" s="351">
        <f t="shared" si="5"/>
        <v>18997.818110956341</v>
      </c>
      <c r="L38" s="351">
        <f t="shared" si="5"/>
        <v>19481.541129337005</v>
      </c>
      <c r="M38" s="351">
        <f t="shared" si="5"/>
        <v>19966.503635402274</v>
      </c>
      <c r="N38" s="351">
        <f t="shared" si="5"/>
        <v>20509.968218905837</v>
      </c>
      <c r="O38" s="351">
        <f t="shared" si="5"/>
        <v>20997.484565396466</v>
      </c>
      <c r="P38" s="351">
        <f t="shared" si="5"/>
        <v>21486.316266133901</v>
      </c>
      <c r="Q38" s="351">
        <f t="shared" si="5"/>
        <v>22033.727428203078</v>
      </c>
      <c r="R38" s="351">
        <f t="shared" si="5"/>
        <v>1730.8976164214823</v>
      </c>
      <c r="S38"/>
      <c r="T38"/>
      <c r="U38"/>
      <c r="V38"/>
      <c r="W38"/>
      <c r="X38"/>
      <c r="Y38"/>
      <c r="Z38"/>
      <c r="AA38"/>
      <c r="AD38" s="207"/>
    </row>
    <row r="39" spans="1:30" s="212" customFormat="1" ht="13.2">
      <c r="A39" s="211"/>
      <c r="R39" s="217"/>
      <c r="S39"/>
      <c r="T39"/>
      <c r="U39"/>
      <c r="V39"/>
      <c r="W39"/>
      <c r="X39"/>
      <c r="Y39"/>
      <c r="Z39"/>
      <c r="AA39"/>
      <c r="AD39" s="207"/>
    </row>
    <row r="40" spans="1:30" s="212" customFormat="1" ht="13.2">
      <c r="A40" s="211" t="s">
        <v>2</v>
      </c>
      <c r="C40" s="213">
        <f>C12-C38</f>
        <v>6111.0756333333302</v>
      </c>
      <c r="D40" s="213">
        <f>IF(D3&gt;'Project Assumptions'!$I$15+1,0,D12-D38)</f>
        <v>11917.004119999998</v>
      </c>
      <c r="E40" s="213">
        <f>IF(E3&gt;'Project Assumptions'!$I$15+1,0,E12-E38)</f>
        <v>11918.185952400003</v>
      </c>
      <c r="F40" s="213">
        <f>IF(F3&gt;'Project Assumptions'!$I$15+1,0,F12-F38)</f>
        <v>11920.581071447996</v>
      </c>
      <c r="G40" s="213">
        <f>IF(G3&gt;'Project Assumptions'!$I$15+1,0,G12-G38)</f>
        <v>11921.925082876958</v>
      </c>
      <c r="H40" s="213">
        <f>IF(H3&gt;'Project Assumptions'!$I$15+1,0,H12-H38)</f>
        <v>11924.4856245345</v>
      </c>
      <c r="I40" s="213">
        <f>IF(I3&gt;'Project Assumptions'!$I$15+1,0,I12-I38)</f>
        <v>11924.865367025188</v>
      </c>
      <c r="J40" s="213">
        <f>IF(J3&gt;'Project Assumptions'!$I$15+1,0,J12-J38)</f>
        <v>11924.765514365692</v>
      </c>
      <c r="K40" s="213">
        <f>IF(K3&gt;'Project Assumptions'!$I$15+1,0,K12-K38)</f>
        <v>11925.88730465301</v>
      </c>
      <c r="L40" s="213">
        <f>IF(L3&gt;'Project Assumptions'!$I$15+1,0,L12-L38)</f>
        <v>11925.966510746064</v>
      </c>
      <c r="M40" s="213">
        <f>IF(M3&gt;'Project Assumptions'!$I$15+1,0,M12-M38)</f>
        <v>11926.137940960987</v>
      </c>
      <c r="N40" s="213">
        <f>IF(N3&gt;'Project Assumptions'!$I$15+1,0,N12-N38)</f>
        <v>11925.836939780209</v>
      </c>
      <c r="O40" s="213">
        <f>IF(O3&gt;'Project Assumptions'!$I$15+1,0,O12-O38)</f>
        <v>11926.198388575816</v>
      </c>
      <c r="P40" s="213">
        <f>IF(P3&gt;'Project Assumptions'!$I$15+1,0,P12-P38)</f>
        <v>11926.657706347323</v>
      </c>
      <c r="Q40" s="213">
        <f>IF(Q3&gt;'Project Assumptions'!$I$15+1,0,Q12-Q38)</f>
        <v>11926.650350474272</v>
      </c>
      <c r="R40" s="213">
        <f>IF(R3&gt;'Project Assumptions'!$I$15+1,0,R12-R38)</f>
        <v>17959.031426664304</v>
      </c>
      <c r="S40"/>
      <c r="T40"/>
      <c r="U40"/>
      <c r="V40"/>
      <c r="W40"/>
      <c r="X40"/>
      <c r="Y40"/>
      <c r="Z40"/>
      <c r="AA40"/>
      <c r="AD40" s="207"/>
    </row>
    <row r="41" spans="1:30" s="212" customFormat="1" ht="13.2">
      <c r="A41" s="214"/>
      <c r="C41" s="352"/>
      <c r="D41" s="352"/>
      <c r="E41" s="352"/>
      <c r="F41" s="352"/>
      <c r="G41" s="352"/>
      <c r="H41" s="352"/>
      <c r="I41" s="352"/>
      <c r="J41" s="352"/>
      <c r="K41" s="352"/>
      <c r="L41" s="352"/>
      <c r="M41" s="352"/>
      <c r="N41" s="352"/>
      <c r="O41" s="352"/>
      <c r="P41" s="352"/>
      <c r="Q41" s="352"/>
      <c r="R41" s="352"/>
      <c r="S41"/>
      <c r="T41"/>
      <c r="U41"/>
      <c r="V41"/>
      <c r="W41"/>
      <c r="X41"/>
      <c r="Y41"/>
      <c r="Z41"/>
      <c r="AA41"/>
      <c r="AD41" s="207"/>
    </row>
    <row r="42" spans="1:30" s="212" customFormat="1" ht="15">
      <c r="A42" s="214" t="s">
        <v>44</v>
      </c>
      <c r="C42" s="351">
        <f>Depreciation!D37</f>
        <v>3730.4583505384367</v>
      </c>
      <c r="D42" s="351">
        <f>IF(D3&gt;'Project Assumptions'!$I$15+1,0,Depreciation!E37)</f>
        <v>7460.9167010768733</v>
      </c>
      <c r="E42" s="351">
        <f>IF(E3&gt;'Project Assumptions'!$I$15+1,0,Depreciation!F37)</f>
        <v>7460.9167010768733</v>
      </c>
      <c r="F42" s="351">
        <f>IF(F3&gt;'Project Assumptions'!$I$15+1,0,Depreciation!G37)</f>
        <v>7460.9167010768733</v>
      </c>
      <c r="G42" s="351">
        <f>IF(G3&gt;'Project Assumptions'!$I$15+1,0,Depreciation!H37)</f>
        <v>7460.9167010768733</v>
      </c>
      <c r="H42" s="351">
        <f>IF(H3&gt;'Project Assumptions'!$I$15+1,0,Depreciation!I37)</f>
        <v>7183.4961568049766</v>
      </c>
      <c r="I42" s="351">
        <f>IF(I3&gt;'Project Assumptions'!$I$15+1,0,Depreciation!J37)</f>
        <v>6906.075612533079</v>
      </c>
      <c r="J42" s="351">
        <f>IF(J3&gt;'Project Assumptions'!$I$15+1,0,Depreciation!K37)</f>
        <v>6906.075612533079</v>
      </c>
      <c r="K42" s="351">
        <f>IF(K3&gt;'Project Assumptions'!$I$15+1,0,Depreciation!L37)</f>
        <v>6906.075612533079</v>
      </c>
      <c r="L42" s="351">
        <f>IF(L3&gt;'Project Assumptions'!$I$15+1,0,Depreciation!M37)</f>
        <v>6906.075612533079</v>
      </c>
      <c r="M42" s="351">
        <f>IF(M3&gt;'Project Assumptions'!$I$15+1,0,Depreciation!N37)</f>
        <v>6906.075612533079</v>
      </c>
      <c r="N42" s="351">
        <f>IF(N3&gt;'Project Assumptions'!$I$15+1,0,Depreciation!O37)</f>
        <v>6906.075612533079</v>
      </c>
      <c r="O42" s="351">
        <f>IF(O3&gt;'Project Assumptions'!$I$15+1,0,Depreciation!P37)</f>
        <v>6906.075612533079</v>
      </c>
      <c r="P42" s="351">
        <f>IF(P3&gt;'Project Assumptions'!$I$15+1,0,Depreciation!Q37)</f>
        <v>6906.075612533079</v>
      </c>
      <c r="Q42" s="351">
        <f>IF(Q3&gt;'Project Assumptions'!$I$15+1,0,Depreciation!R37)</f>
        <v>6906.075612533079</v>
      </c>
      <c r="R42" s="351">
        <f>IF(R3&gt;'Project Assumptions'!$I$15+1,0,Depreciation!S37)</f>
        <v>3453.0378062665395</v>
      </c>
      <c r="S42"/>
      <c r="T42"/>
      <c r="U42"/>
      <c r="V42"/>
      <c r="W42"/>
      <c r="X42"/>
      <c r="Y42"/>
      <c r="Z42"/>
      <c r="AA42"/>
      <c r="AD42" s="207"/>
    </row>
    <row r="43" spans="1:30" s="212" customFormat="1" ht="13.2">
      <c r="A43" s="211" t="s">
        <v>3</v>
      </c>
      <c r="C43" s="213">
        <f>C40-C42</f>
        <v>2380.6172827948935</v>
      </c>
      <c r="D43" s="213">
        <f>IF(D3&gt;'Project Assumptions'!$I$15+1,0,D40-D42)</f>
        <v>4456.0874189231245</v>
      </c>
      <c r="E43" s="213">
        <f>IF(E3&gt;'Project Assumptions'!$I$15+1,0,E40-E42)</f>
        <v>4457.2692513231295</v>
      </c>
      <c r="F43" s="213">
        <f>IF(F3&gt;'Project Assumptions'!$I$15+1,0,F40-F42)</f>
        <v>4459.6643703711225</v>
      </c>
      <c r="G43" s="213">
        <f>IF(G3&gt;'Project Assumptions'!$I$15+1,0,G40-G42)</f>
        <v>4461.0083818000849</v>
      </c>
      <c r="H43" s="213">
        <f>IF(H3&gt;'Project Assumptions'!$I$15+1,0,H40-H42)</f>
        <v>4740.9894677295233</v>
      </c>
      <c r="I43" s="213">
        <f>IF(I3&gt;'Project Assumptions'!$I$15+1,0,I40-I42)</f>
        <v>5018.7897544921088</v>
      </c>
      <c r="J43" s="213">
        <f>IF(J3&gt;'Project Assumptions'!$I$15+1,0,J40-J42)</f>
        <v>5018.689901832613</v>
      </c>
      <c r="K43" s="213">
        <f>IF(K3&gt;'Project Assumptions'!$I$15+1,0,K40-K42)</f>
        <v>5019.8116921199307</v>
      </c>
      <c r="L43" s="213">
        <f>IF(L3&gt;'Project Assumptions'!$I$15+1,0,L40-L42)</f>
        <v>5019.8908982129851</v>
      </c>
      <c r="M43" s="213">
        <f>IF(M3&gt;'Project Assumptions'!$I$15+1,0,M40-M42)</f>
        <v>5020.0623284279081</v>
      </c>
      <c r="N43" s="213">
        <f>IF(N3&gt;'Project Assumptions'!$I$15+1,0,N40-N42)</f>
        <v>5019.7613272471299</v>
      </c>
      <c r="O43" s="213">
        <f>IF(O3&gt;'Project Assumptions'!$I$15+1,0,O40-O42)</f>
        <v>5020.1227760427373</v>
      </c>
      <c r="P43" s="213">
        <f>IF(P3&gt;'Project Assumptions'!$I$15+1,0,P40-P42)</f>
        <v>5020.5820938142442</v>
      </c>
      <c r="Q43" s="213">
        <f>IF(Q3&gt;'Project Assumptions'!$I$15+1,0,Q40-Q42)</f>
        <v>5020.5747379411932</v>
      </c>
      <c r="R43" s="213">
        <f>IF(R3&gt;'Project Assumptions'!$I$15+1,0,R40-R42)</f>
        <v>14505.993620397763</v>
      </c>
      <c r="S43"/>
      <c r="T43"/>
      <c r="U43"/>
      <c r="V43"/>
      <c r="W43"/>
      <c r="X43"/>
      <c r="Y43"/>
      <c r="Z43"/>
      <c r="AA43"/>
      <c r="AD43" s="207"/>
    </row>
    <row r="44" spans="1:30" s="212" customFormat="1" ht="13.2">
      <c r="S44"/>
      <c r="T44"/>
      <c r="U44"/>
      <c r="V44"/>
      <c r="W44"/>
      <c r="X44"/>
      <c r="Y44"/>
      <c r="Z44"/>
      <c r="AA44"/>
      <c r="AD44" s="207"/>
    </row>
    <row r="45" spans="1:30" s="212" customFormat="1" ht="13.2">
      <c r="A45" s="214" t="s">
        <v>45</v>
      </c>
      <c r="C45" s="213">
        <f>'Debt Amortization'!D$83+IDC!Y32+IDC!Z32</f>
        <v>2831.0797281819778</v>
      </c>
      <c r="D45" s="213">
        <f>'Debt Amortization'!E$83</f>
        <v>6632.4963585981131</v>
      </c>
      <c r="E45" s="213">
        <f>'Debt Amortization'!F$83</f>
        <v>6332.0734818390529</v>
      </c>
      <c r="F45" s="213">
        <f>'Debt Amortization'!G$83</f>
        <v>6013.3548518853659</v>
      </c>
      <c r="G45" s="213">
        <f>'Debt Amortization'!H$83</f>
        <v>5675.2262573674989</v>
      </c>
      <c r="H45" s="213">
        <f>'Debt Amortization'!I$83</f>
        <v>5316.5056314434933</v>
      </c>
      <c r="I45" s="213">
        <f>'Debt Amortization'!J$83</f>
        <v>4935.9389194007172</v>
      </c>
      <c r="J45" s="213">
        <f>'Debt Amortization'!K$83</f>
        <v>4532.1956945945349</v>
      </c>
      <c r="K45" s="213">
        <f>'Debt Amortization'!L$83</f>
        <v>4103.8645073976559</v>
      </c>
      <c r="L45" s="213">
        <f>'Debt Amortization'!M$83</f>
        <v>3649.4479509004877</v>
      </c>
      <c r="M45" s="213">
        <f>'Debt Amortization'!N$83</f>
        <v>3167.3574261126423</v>
      </c>
      <c r="N45" s="213">
        <f>'Debt Amortization'!O$83</f>
        <v>2655.9075883652172</v>
      </c>
      <c r="O45" s="213">
        <f>'Debt Amortization'!P$83</f>
        <v>2113.3104554989718</v>
      </c>
      <c r="P45" s="213">
        <f>'Debt Amortization'!Q$83</f>
        <v>1537.6691572411737</v>
      </c>
      <c r="Q45" s="213">
        <f>'Debt Amortization'!R$83</f>
        <v>926.97130391947508</v>
      </c>
      <c r="R45" s="213">
        <f>'Debt Amortization'!S$83</f>
        <v>279.08195133048662</v>
      </c>
      <c r="S45"/>
      <c r="T45"/>
      <c r="U45"/>
      <c r="V45"/>
      <c r="W45"/>
      <c r="X45"/>
      <c r="Y45"/>
      <c r="Z45"/>
      <c r="AA45"/>
      <c r="AB45" s="352"/>
      <c r="AD45" s="207"/>
    </row>
    <row r="46" spans="1:30" s="212" customFormat="1" ht="13.2">
      <c r="A46" s="214" t="s">
        <v>46</v>
      </c>
      <c r="C46" s="318">
        <f>'Project Assumptions'!$N$58*C40</f>
        <v>91.666134499999956</v>
      </c>
      <c r="D46" s="318">
        <f>IF(D3&gt;'Project Assumptions'!$I$15+1,0,'Project Assumptions'!$N$58*D40)</f>
        <v>178.75506179999996</v>
      </c>
      <c r="E46" s="318">
        <f>IF(E3&gt;'Project Assumptions'!$I$15+1,0,'Project Assumptions'!$N$58*E40)</f>
        <v>178.77278928600003</v>
      </c>
      <c r="F46" s="318">
        <f>IF(F3&gt;'Project Assumptions'!$I$15+1,0,'Project Assumptions'!$N$58*F40)</f>
        <v>178.80871607171994</v>
      </c>
      <c r="G46" s="318">
        <f>IF(G3&gt;'Project Assumptions'!$I$15+1,0,'Project Assumptions'!$N$58*G40)</f>
        <v>178.82887624315435</v>
      </c>
      <c r="H46" s="318">
        <f>IF(H3&gt;'Project Assumptions'!$I$15+1,0,'Project Assumptions'!$N$58*H40)</f>
        <v>178.86728436801749</v>
      </c>
      <c r="I46" s="318">
        <f>IF(I3&gt;'Project Assumptions'!$I$15+1,0,'Project Assumptions'!$N$58*I40)</f>
        <v>178.87298050537783</v>
      </c>
      <c r="J46" s="318">
        <f>IF(J3&gt;'Project Assumptions'!$I$15+1,0,'Project Assumptions'!$N$58*J40)</f>
        <v>178.87148271548537</v>
      </c>
      <c r="K46" s="318">
        <f>IF(K3&gt;'Project Assumptions'!$I$15+1,0,'Project Assumptions'!$N$58*K40)</f>
        <v>178.88830956979513</v>
      </c>
      <c r="L46" s="318">
        <f>IF(L3&gt;'Project Assumptions'!$I$15+1,0,'Project Assumptions'!$N$58*L40)</f>
        <v>178.88949766119094</v>
      </c>
      <c r="M46" s="318">
        <f>IF(M3&gt;'Project Assumptions'!$I$15+1,0,'Project Assumptions'!$N$58*M40)</f>
        <v>178.8920691144148</v>
      </c>
      <c r="N46" s="318">
        <f>IF(N3&gt;'Project Assumptions'!$I$15+1,0,'Project Assumptions'!$N$58*N40)</f>
        <v>178.88755409670313</v>
      </c>
      <c r="O46" s="318">
        <f>IF(O3&gt;'Project Assumptions'!$I$15+1,0,'Project Assumptions'!$N$58*O40)</f>
        <v>178.89297582863725</v>
      </c>
      <c r="P46" s="318">
        <f>IF(P3&gt;'Project Assumptions'!$I$15+1,0,'Project Assumptions'!$N$58*P40)</f>
        <v>178.89986559520983</v>
      </c>
      <c r="Q46" s="318">
        <f>IF(Q3&gt;'Project Assumptions'!$I$15+1,0,'Project Assumptions'!$N$58*Q40)</f>
        <v>178.89975525711407</v>
      </c>
      <c r="R46" s="318">
        <f>IF(R3&gt;'Project Assumptions'!$I$15+1,0,'Project Assumptions'!$N$58*R40)</f>
        <v>269.38547139996456</v>
      </c>
      <c r="S46"/>
      <c r="T46"/>
      <c r="U46"/>
      <c r="V46"/>
      <c r="W46"/>
      <c r="X46"/>
      <c r="Y46"/>
      <c r="Z46"/>
      <c r="AA46"/>
      <c r="AD46" s="207"/>
    </row>
    <row r="47" spans="1:30" s="212" customFormat="1" ht="15">
      <c r="A47" s="214" t="s">
        <v>47</v>
      </c>
      <c r="C47" s="320">
        <f>C45-C46</f>
        <v>2739.413593681978</v>
      </c>
      <c r="D47" s="320">
        <f t="shared" ref="D47:R47" si="6">D45-D46</f>
        <v>6453.7412967981136</v>
      </c>
      <c r="E47" s="320">
        <f t="shared" si="6"/>
        <v>6153.3006925530526</v>
      </c>
      <c r="F47" s="320">
        <f t="shared" si="6"/>
        <v>5834.5461358136463</v>
      </c>
      <c r="G47" s="320">
        <f t="shared" si="6"/>
        <v>5496.397381124345</v>
      </c>
      <c r="H47" s="320">
        <f t="shared" si="6"/>
        <v>5137.6383470754754</v>
      </c>
      <c r="I47" s="320">
        <f t="shared" si="6"/>
        <v>4757.0659388953391</v>
      </c>
      <c r="J47" s="320">
        <f t="shared" si="6"/>
        <v>4353.3242118790495</v>
      </c>
      <c r="K47" s="320">
        <f t="shared" si="6"/>
        <v>3924.9761978278607</v>
      </c>
      <c r="L47" s="320">
        <f t="shared" si="6"/>
        <v>3470.5584532392968</v>
      </c>
      <c r="M47" s="320">
        <f t="shared" si="6"/>
        <v>2988.4653569982274</v>
      </c>
      <c r="N47" s="320">
        <f t="shared" si="6"/>
        <v>2477.0200342685139</v>
      </c>
      <c r="O47" s="320">
        <f t="shared" si="6"/>
        <v>1934.4174796703346</v>
      </c>
      <c r="P47" s="320">
        <f t="shared" si="6"/>
        <v>1358.7692916459639</v>
      </c>
      <c r="Q47" s="320">
        <f t="shared" si="6"/>
        <v>748.07154866236101</v>
      </c>
      <c r="R47" s="320">
        <f t="shared" si="6"/>
        <v>9.6964799305220595</v>
      </c>
      <c r="S47"/>
      <c r="T47"/>
      <c r="U47"/>
      <c r="V47"/>
      <c r="W47"/>
      <c r="X47"/>
      <c r="Y47"/>
      <c r="Z47"/>
      <c r="AA47"/>
      <c r="AD47" s="207"/>
    </row>
    <row r="48" spans="1:30" s="212" customFormat="1" ht="13.2">
      <c r="A48" s="211" t="s">
        <v>207</v>
      </c>
      <c r="C48" s="213">
        <f>C43-C47</f>
        <v>-358.79631088708447</v>
      </c>
      <c r="D48" s="213">
        <f>IF(D3&gt;'Project Assumptions'!$I$15+1,0,D43-D47)</f>
        <v>-1997.6538778749891</v>
      </c>
      <c r="E48" s="213">
        <f>IF(E3&gt;'Project Assumptions'!$I$15+1,0,E43-E47)</f>
        <v>-1696.0314412299231</v>
      </c>
      <c r="F48" s="213">
        <f>IF(F3&gt;'Project Assumptions'!$I$15+1,0,F43-F47)</f>
        <v>-1374.8817654425238</v>
      </c>
      <c r="G48" s="213">
        <f>IF(G3&gt;'Project Assumptions'!$I$15+1,0,G43-G47)</f>
        <v>-1035.3889993242601</v>
      </c>
      <c r="H48" s="213">
        <f>IF(H3&gt;'Project Assumptions'!$I$15+1,0,H43-H47)</f>
        <v>-396.64887934595208</v>
      </c>
      <c r="I48" s="213">
        <f>IF(I3&gt;'Project Assumptions'!$I$15+1,0,I43-I47)</f>
        <v>261.72381559676978</v>
      </c>
      <c r="J48" s="213">
        <f>IF(J3&gt;'Project Assumptions'!$I$15+1,0,J43-J47)</f>
        <v>665.36568995356356</v>
      </c>
      <c r="K48" s="213">
        <f>IF(K3&gt;'Project Assumptions'!$I$15+1,0,K43-K47)</f>
        <v>1094.8354942920701</v>
      </c>
      <c r="L48" s="213">
        <f>IF(L3&gt;'Project Assumptions'!$I$15+1,0,L43-L47)</f>
        <v>1549.3324449736883</v>
      </c>
      <c r="M48" s="213">
        <f>IF(M3&gt;'Project Assumptions'!$I$15+1,0,M43-M47)</f>
        <v>2031.5969714296807</v>
      </c>
      <c r="N48" s="213">
        <f>IF(N3&gt;'Project Assumptions'!$I$15+1,0,N43-N47)</f>
        <v>2542.741292978616</v>
      </c>
      <c r="O48" s="213">
        <f>IF(O3&gt;'Project Assumptions'!$I$15+1,0,O43-O47)</f>
        <v>3085.7052963724027</v>
      </c>
      <c r="P48" s="213">
        <f>IF(P3&gt;'Project Assumptions'!$I$15+1,0,P43-P47)</f>
        <v>3661.8128021682805</v>
      </c>
      <c r="Q48" s="213">
        <f>IF(Q3&gt;'Project Assumptions'!$I$15+1,0,Q43-Q47)</f>
        <v>4272.503189278832</v>
      </c>
      <c r="R48" s="213">
        <f>IF(R3&gt;'Project Assumptions'!$I$15+1,0,R43-R47)</f>
        <v>14496.297140467241</v>
      </c>
      <c r="S48"/>
      <c r="T48"/>
      <c r="U48"/>
      <c r="V48"/>
      <c r="W48"/>
      <c r="X48"/>
      <c r="Y48"/>
      <c r="Z48"/>
      <c r="AA48"/>
      <c r="AD48" s="207"/>
    </row>
    <row r="49" spans="1:30" s="212" customFormat="1" ht="13.2">
      <c r="A49" s="211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/>
      <c r="T49"/>
      <c r="U49"/>
      <c r="V49"/>
      <c r="W49"/>
      <c r="X49"/>
      <c r="Y49"/>
      <c r="Z49"/>
      <c r="AA49"/>
      <c r="AD49" s="207"/>
    </row>
    <row r="50" spans="1:30" s="212" customFormat="1" ht="15">
      <c r="A50" s="214" t="s">
        <v>48</v>
      </c>
      <c r="C50" s="320">
        <f>C48*'Project Assumptions'!$N$40</f>
        <v>-139.57176493507583</v>
      </c>
      <c r="D50" s="320">
        <f>D48*'Project Assumptions'!$N$40</f>
        <v>-777.08735849337063</v>
      </c>
      <c r="E50" s="320">
        <f>E48*'Project Assumptions'!$N$40</f>
        <v>-659.75623063844</v>
      </c>
      <c r="F50" s="320">
        <f>F48*'Project Assumptions'!$N$40</f>
        <v>-534.82900675714166</v>
      </c>
      <c r="G50" s="320">
        <f>G48*'Project Assumptions'!$N$40</f>
        <v>-402.76632073713716</v>
      </c>
      <c r="H50" s="320">
        <f>H48*'Project Assumptions'!$N$40</f>
        <v>-154.29641406557533</v>
      </c>
      <c r="I50" s="320">
        <f>I48*'Project Assumptions'!$N$40</f>
        <v>101.81056426714343</v>
      </c>
      <c r="J50" s="320">
        <f>J48*'Project Assumptions'!$N$40</f>
        <v>258.82725339193621</v>
      </c>
      <c r="K50" s="320">
        <f>K48*'Project Assumptions'!$N$40</f>
        <v>425.89100727961522</v>
      </c>
      <c r="L50" s="320">
        <f>L48*'Project Assumptions'!$N$40</f>
        <v>602.69032109476473</v>
      </c>
      <c r="M50" s="320">
        <f>M48*'Project Assumptions'!$N$40</f>
        <v>790.29122188614576</v>
      </c>
      <c r="N50" s="320">
        <f>N48*'Project Assumptions'!$N$40</f>
        <v>989.12636296868152</v>
      </c>
      <c r="O50" s="320">
        <f>O48*'Project Assumptions'!$N$40</f>
        <v>1200.3393602888646</v>
      </c>
      <c r="P50" s="320">
        <f>P48*'Project Assumptions'!$N$40</f>
        <v>1424.4451800434611</v>
      </c>
      <c r="Q50" s="320">
        <f>Q48*'Project Assumptions'!$N$40</f>
        <v>1662.0037406294655</v>
      </c>
      <c r="R50" s="320">
        <f>R48*'Project Assumptions'!$N$40</f>
        <v>5639.0595876417565</v>
      </c>
      <c r="S50"/>
      <c r="T50"/>
      <c r="U50"/>
      <c r="V50"/>
      <c r="W50"/>
      <c r="X50"/>
      <c r="Y50"/>
      <c r="Z50"/>
      <c r="AA50"/>
      <c r="AD50" s="207"/>
    </row>
    <row r="51" spans="1:30" s="212" customFormat="1" ht="15">
      <c r="A51" s="211" t="s">
        <v>23</v>
      </c>
      <c r="C51" s="354">
        <f>C48-C50</f>
        <v>-219.22454595200864</v>
      </c>
      <c r="D51" s="354">
        <f>IF(D3&gt;'Project Assumptions'!$I$15+1,0,D48-D50)</f>
        <v>-1220.5665193816185</v>
      </c>
      <c r="E51" s="354">
        <f>IF(E3&gt;'Project Assumptions'!$I$15+1,0,E48-E50)</f>
        <v>-1036.2752105914831</v>
      </c>
      <c r="F51" s="354">
        <f>IF(F3&gt;'Project Assumptions'!$I$15+1,0,F48-F50)</f>
        <v>-840.05275868538217</v>
      </c>
      <c r="G51" s="354">
        <f>IF(G3&gt;'Project Assumptions'!$I$15+1,0,G48-G50)</f>
        <v>-632.62267858712289</v>
      </c>
      <c r="H51" s="354">
        <f>IF(H3&gt;'Project Assumptions'!$I$15+1,0,H48-H50)</f>
        <v>-242.35246528037675</v>
      </c>
      <c r="I51" s="354">
        <f>IF(I3&gt;'Project Assumptions'!$I$15+1,0,I48-I50)</f>
        <v>159.91325132962635</v>
      </c>
      <c r="J51" s="354">
        <f>IF(J3&gt;'Project Assumptions'!$I$15+1,0,J48-J50)</f>
        <v>406.53843656162735</v>
      </c>
      <c r="K51" s="354">
        <f>IF(K3&gt;'Project Assumptions'!$I$15+1,0,K48-K50)</f>
        <v>668.94448701245483</v>
      </c>
      <c r="L51" s="354">
        <f>IF(L3&gt;'Project Assumptions'!$I$15+1,0,L48-L50)</f>
        <v>946.6421238789236</v>
      </c>
      <c r="M51" s="354">
        <f>IF(M3&gt;'Project Assumptions'!$I$15+1,0,M48-M50)</f>
        <v>1241.3057495435351</v>
      </c>
      <c r="N51" s="354">
        <f>IF(N3&gt;'Project Assumptions'!$I$15+1,0,N48-N50)</f>
        <v>1553.6149300099346</v>
      </c>
      <c r="O51" s="354">
        <f>IF(O3&gt;'Project Assumptions'!$I$15+1,0,O48-O50)</f>
        <v>1885.3659360835381</v>
      </c>
      <c r="P51" s="354">
        <f>IF(P3&gt;'Project Assumptions'!$I$15+1,0,P48-P50)</f>
        <v>2237.3676221248197</v>
      </c>
      <c r="Q51" s="354">
        <f>IF(Q3&gt;'Project Assumptions'!$I$15+1,0,Q48-Q50)</f>
        <v>2610.4994486493665</v>
      </c>
      <c r="R51" s="354">
        <f>IF(R3&gt;'Project Assumptions'!$I$15+1,0,R48-R50)</f>
        <v>8857.2375528254852</v>
      </c>
      <c r="S51"/>
      <c r="T51"/>
      <c r="U51"/>
      <c r="V51"/>
      <c r="W51"/>
      <c r="X51"/>
      <c r="Y51"/>
      <c r="Z51"/>
      <c r="AA51"/>
      <c r="AD51" s="207"/>
    </row>
    <row r="52" spans="1:30" s="212" customFormat="1" ht="13.2">
      <c r="A52" s="329"/>
      <c r="B52" s="327"/>
      <c r="C52" s="352"/>
      <c r="D52" s="352"/>
      <c r="E52" s="352"/>
      <c r="F52" s="352"/>
      <c r="G52" s="352"/>
      <c r="H52" s="352"/>
      <c r="I52" s="352"/>
      <c r="J52" s="352"/>
      <c r="K52" s="352"/>
      <c r="L52" s="352"/>
      <c r="M52" s="352"/>
      <c r="N52" s="352"/>
      <c r="O52" s="352"/>
      <c r="P52" s="352"/>
      <c r="Q52" s="352"/>
      <c r="R52" s="352"/>
      <c r="S52"/>
      <c r="T52"/>
      <c r="U52"/>
      <c r="V52"/>
      <c r="W52"/>
      <c r="X52"/>
      <c r="Y52"/>
      <c r="Z52"/>
      <c r="AA52"/>
      <c r="AD52" s="207"/>
    </row>
    <row r="53" spans="1:30" s="212" customFormat="1" ht="15">
      <c r="A53" s="214" t="s">
        <v>469</v>
      </c>
      <c r="B53" s="326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/>
      <c r="T53"/>
      <c r="U53"/>
      <c r="V53"/>
      <c r="W53"/>
      <c r="X53"/>
      <c r="Y53"/>
      <c r="Z53"/>
      <c r="AA53"/>
      <c r="AD53" s="207"/>
    </row>
    <row r="54" spans="1:30" s="212" customFormat="1" ht="13.2">
      <c r="A54" s="214" t="s">
        <v>272</v>
      </c>
      <c r="B54" s="318">
        <v>0</v>
      </c>
      <c r="C54" s="318">
        <f>B57</f>
        <v>0</v>
      </c>
      <c r="D54" s="318">
        <f t="shared" ref="D54:R54" si="7">C57</f>
        <v>-389.38190882783465</v>
      </c>
      <c r="E54" s="318">
        <f t="shared" si="7"/>
        <v>-1935.3135512274634</v>
      </c>
      <c r="F54" s="318">
        <f t="shared" si="7"/>
        <v>-3078.8612384466019</v>
      </c>
      <c r="G54" s="318">
        <f t="shared" si="7"/>
        <v>-4059.4342341039369</v>
      </c>
      <c r="H54" s="318">
        <f t="shared" si="7"/>
        <v>-4848.3468288463382</v>
      </c>
      <c r="I54" s="318">
        <f t="shared" si="7"/>
        <v>-5317.3811501983082</v>
      </c>
      <c r="J54" s="318">
        <f t="shared" si="7"/>
        <v>-5455.6141551004612</v>
      </c>
      <c r="K54" s="318">
        <f t="shared" si="7"/>
        <v>-5373.8986646747235</v>
      </c>
      <c r="L54" s="318">
        <f t="shared" si="7"/>
        <v>-5078.0175806505458</v>
      </c>
      <c r="M54" s="318">
        <f t="shared" si="7"/>
        <v>-4554.9282183777841</v>
      </c>
      <c r="N54" s="318">
        <f t="shared" si="7"/>
        <v>-3790.7935937110988</v>
      </c>
      <c r="O54" s="318">
        <f t="shared" si="7"/>
        <v>-2770.9340501707015</v>
      </c>
      <c r="P54" s="318">
        <f t="shared" si="7"/>
        <v>-1479.7759401971825</v>
      </c>
      <c r="Q54" s="318">
        <f t="shared" si="7"/>
        <v>99.20281890523529</v>
      </c>
      <c r="R54" s="318">
        <f t="shared" si="7"/>
        <v>1983.5305046685035</v>
      </c>
      <c r="S54"/>
      <c r="T54"/>
      <c r="U54"/>
      <c r="V54"/>
      <c r="W54"/>
      <c r="X54"/>
      <c r="Y54"/>
      <c r="Z54"/>
      <c r="AA54"/>
      <c r="AD54" s="207"/>
    </row>
    <row r="55" spans="1:30" s="212" customFormat="1" ht="13.2">
      <c r="A55" s="214" t="s">
        <v>273</v>
      </c>
      <c r="B55" s="318">
        <v>0</v>
      </c>
      <c r="C55" s="318">
        <f>C48*'Project Assumptions'!$N$59</f>
        <v>-179.39815544354224</v>
      </c>
      <c r="D55" s="318">
        <f>D48*'Project Assumptions'!$N$59</f>
        <v>-998.82693893749456</v>
      </c>
      <c r="E55" s="318">
        <f>E48*'Project Assumptions'!$N$59</f>
        <v>-848.01572061496154</v>
      </c>
      <c r="F55" s="318">
        <f>F48*'Project Assumptions'!$N$59</f>
        <v>-687.44088272126191</v>
      </c>
      <c r="G55" s="318">
        <f>G48*'Project Assumptions'!$N$59</f>
        <v>-517.69449966213006</v>
      </c>
      <c r="H55" s="318">
        <f>H48*'Project Assumptions'!$N$59</f>
        <v>-198.32443967297604</v>
      </c>
      <c r="I55" s="318">
        <f>I48*'Project Assumptions'!$N$59</f>
        <v>130.86190779838489</v>
      </c>
      <c r="J55" s="318">
        <f>J48*'Project Assumptions'!$N$59</f>
        <v>332.68284497678178</v>
      </c>
      <c r="K55" s="318">
        <f>K48*'Project Assumptions'!$N$59</f>
        <v>547.41774714603503</v>
      </c>
      <c r="L55" s="318">
        <f>L48*'Project Assumptions'!$N$59</f>
        <v>774.66622248684416</v>
      </c>
      <c r="M55" s="318">
        <f>M48*'Project Assumptions'!$N$59</f>
        <v>1015.7984857148404</v>
      </c>
      <c r="N55" s="318">
        <f>N48*'Project Assumptions'!$N$59</f>
        <v>1271.370646489308</v>
      </c>
      <c r="O55" s="318">
        <f>O48*'Project Assumptions'!$N$59</f>
        <v>1542.8526481862013</v>
      </c>
      <c r="P55" s="318">
        <f>P48*'Project Assumptions'!$N$59</f>
        <v>1830.9064010841403</v>
      </c>
      <c r="Q55" s="318">
        <f>Q48*'Project Assumptions'!$N$59</f>
        <v>2136.251594639416</v>
      </c>
      <c r="R55" s="318">
        <f>R48*'Project Assumptions'!$N$59</f>
        <v>7248.1485702336204</v>
      </c>
      <c r="S55"/>
      <c r="T55"/>
      <c r="U55"/>
      <c r="V55"/>
      <c r="W55"/>
      <c r="X55"/>
      <c r="Y55"/>
      <c r="Z55"/>
      <c r="AA55"/>
      <c r="AD55" s="207"/>
    </row>
    <row r="56" spans="1:30" s="212" customFormat="1" ht="15">
      <c r="A56" s="214" t="s">
        <v>274</v>
      </c>
      <c r="B56" s="320">
        <v>0</v>
      </c>
      <c r="C56" s="320">
        <f>'Cash Flow Statement'!D19*'Project Assumptions'!$N$59</f>
        <v>209.98375338429241</v>
      </c>
      <c r="D56" s="320">
        <f>'Cash Flow Statement'!E19*'Project Assumptions'!$N$59</f>
        <v>547.10470346213424</v>
      </c>
      <c r="E56" s="320">
        <f>'Cash Flow Statement'!F19*'Project Assumptions'!$N$59</f>
        <v>295.53196660417689</v>
      </c>
      <c r="F56" s="320">
        <f>'Cash Flow Statement'!G19*'Project Assumptions'!$N$59</f>
        <v>293.1321129360731</v>
      </c>
      <c r="G56" s="320">
        <f>'Cash Flow Statement'!H19*'Project Assumptions'!$N$59</f>
        <v>271.21809508027127</v>
      </c>
      <c r="H56" s="320">
        <f>'Cash Flow Statement'!I19*'Project Assumptions'!$N$59</f>
        <v>270.70988167899395</v>
      </c>
      <c r="I56" s="320">
        <f>'Cash Flow Statement'!J19*'Project Assumptions'!$N$59</f>
        <v>269.09491270053786</v>
      </c>
      <c r="J56" s="320">
        <f>'Cash Flow Statement'!K19*'Project Assumptions'!$N$59</f>
        <v>250.96735455104408</v>
      </c>
      <c r="K56" s="320">
        <f>'Cash Flow Statement'!L19*'Project Assumptions'!$N$59</f>
        <v>251.5366631218576</v>
      </c>
      <c r="L56" s="320">
        <f>'Cash Flow Statement'!M19*'Project Assumptions'!$N$59</f>
        <v>251.57686021408244</v>
      </c>
      <c r="M56" s="320">
        <f>'Cash Flow Statement'!N19*'Project Assumptions'!$N$59</f>
        <v>251.66386104815501</v>
      </c>
      <c r="N56" s="320">
        <f>'Cash Flow Statement'!O19*'Project Assumptions'!$N$59</f>
        <v>251.51110294891078</v>
      </c>
      <c r="O56" s="320">
        <f>'Cash Flow Statement'!P19*'Project Assumptions'!$N$59</f>
        <v>251.69453821268235</v>
      </c>
      <c r="P56" s="320">
        <f>'Cash Flow Statement'!Q19*'Project Assumptions'!$N$59</f>
        <v>251.92764198172245</v>
      </c>
      <c r="Q56" s="320">
        <f>'Cash Flow Statement'!R19*'Project Assumptions'!$N$59</f>
        <v>251.92390887614783</v>
      </c>
      <c r="R56" s="320">
        <f>'Cash Flow Statement'!S19*'Project Assumptions'!$N$59</f>
        <v>6144.4881591589601</v>
      </c>
      <c r="S56"/>
      <c r="T56"/>
      <c r="U56"/>
      <c r="V56"/>
      <c r="W56"/>
      <c r="X56"/>
      <c r="Y56"/>
      <c r="Z56"/>
      <c r="AA56"/>
      <c r="AD56" s="207"/>
    </row>
    <row r="57" spans="1:30" s="212" customFormat="1" ht="13.2">
      <c r="A57" s="214" t="s">
        <v>276</v>
      </c>
      <c r="B57" s="318">
        <f>SUM(B54:B56)</f>
        <v>0</v>
      </c>
      <c r="C57" s="318">
        <f>C54+C55-C56</f>
        <v>-389.38190882783465</v>
      </c>
      <c r="D57" s="318">
        <f t="shared" ref="D57:R57" si="8">D54+D55-D56</f>
        <v>-1935.3135512274634</v>
      </c>
      <c r="E57" s="318">
        <f t="shared" si="8"/>
        <v>-3078.8612384466019</v>
      </c>
      <c r="F57" s="318">
        <f t="shared" si="8"/>
        <v>-4059.4342341039369</v>
      </c>
      <c r="G57" s="318">
        <f t="shared" si="8"/>
        <v>-4848.3468288463382</v>
      </c>
      <c r="H57" s="318">
        <f t="shared" si="8"/>
        <v>-5317.3811501983082</v>
      </c>
      <c r="I57" s="318">
        <f t="shared" si="8"/>
        <v>-5455.6141551004612</v>
      </c>
      <c r="J57" s="318">
        <f t="shared" si="8"/>
        <v>-5373.8986646747235</v>
      </c>
      <c r="K57" s="318">
        <f t="shared" si="8"/>
        <v>-5078.0175806505458</v>
      </c>
      <c r="L57" s="318">
        <f t="shared" si="8"/>
        <v>-4554.9282183777841</v>
      </c>
      <c r="M57" s="318">
        <f t="shared" si="8"/>
        <v>-3790.7935937110988</v>
      </c>
      <c r="N57" s="318">
        <f t="shared" si="8"/>
        <v>-2770.9340501707015</v>
      </c>
      <c r="O57" s="318">
        <f t="shared" si="8"/>
        <v>-1479.7759401971825</v>
      </c>
      <c r="P57" s="318">
        <f t="shared" si="8"/>
        <v>99.20281890523529</v>
      </c>
      <c r="Q57" s="318">
        <f t="shared" si="8"/>
        <v>1983.5305046685035</v>
      </c>
      <c r="R57" s="318">
        <f t="shared" si="8"/>
        <v>3087.1909157431637</v>
      </c>
      <c r="S57"/>
      <c r="T57"/>
      <c r="U57"/>
      <c r="V57"/>
      <c r="W57"/>
      <c r="X57"/>
      <c r="Y57"/>
      <c r="Z57"/>
      <c r="AA57"/>
      <c r="AD57" s="207"/>
    </row>
    <row r="58" spans="1:30" s="212" customFormat="1" ht="13.2">
      <c r="A58" s="211"/>
      <c r="B58" s="154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/>
      <c r="T58"/>
      <c r="U58"/>
      <c r="V58"/>
      <c r="W58"/>
      <c r="X58"/>
      <c r="Y58"/>
      <c r="Z58"/>
      <c r="AA58"/>
      <c r="AD58" s="207"/>
    </row>
    <row r="59" spans="1:30" s="212" customFormat="1" ht="13.2">
      <c r="A59" s="214" t="s">
        <v>470</v>
      </c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18"/>
      <c r="N59" s="318"/>
      <c r="O59" s="318"/>
      <c r="P59" s="318"/>
      <c r="Q59" s="318"/>
      <c r="R59" s="318"/>
      <c r="S59"/>
      <c r="T59"/>
      <c r="U59"/>
      <c r="V59"/>
      <c r="W59"/>
      <c r="X59"/>
      <c r="Y59"/>
      <c r="Z59"/>
      <c r="AA59"/>
      <c r="AD59" s="207"/>
    </row>
    <row r="60" spans="1:30" s="212" customFormat="1" ht="13.2">
      <c r="A60" s="214" t="s">
        <v>272</v>
      </c>
      <c r="B60" s="318">
        <f>+'Project Assumptions'!C9</f>
        <v>3313.3769250269975</v>
      </c>
      <c r="C60" s="318">
        <f t="shared" ref="C60:R60" si="9">B63</f>
        <v>3313.3769250269975</v>
      </c>
      <c r="D60" s="318">
        <f t="shared" si="9"/>
        <v>2923.9950161991628</v>
      </c>
      <c r="E60" s="318">
        <f t="shared" si="9"/>
        <v>1378.063373799534</v>
      </c>
      <c r="F60" s="318">
        <f t="shared" si="9"/>
        <v>234.5156865803956</v>
      </c>
      <c r="G60" s="318">
        <f t="shared" si="9"/>
        <v>-746.05730907693942</v>
      </c>
      <c r="H60" s="318">
        <f t="shared" si="9"/>
        <v>-1534.9699038193407</v>
      </c>
      <c r="I60" s="318">
        <f t="shared" si="9"/>
        <v>-2004.0042251713107</v>
      </c>
      <c r="J60" s="318">
        <f t="shared" si="9"/>
        <v>-2142.2372300734637</v>
      </c>
      <c r="K60" s="318">
        <f t="shared" si="9"/>
        <v>-2060.521739647726</v>
      </c>
      <c r="L60" s="318">
        <f t="shared" si="9"/>
        <v>-1764.6406556235486</v>
      </c>
      <c r="M60" s="318">
        <f t="shared" si="9"/>
        <v>-1241.5512933507869</v>
      </c>
      <c r="N60" s="318">
        <f t="shared" si="9"/>
        <v>-477.41666868410152</v>
      </c>
      <c r="O60" s="318">
        <f t="shared" si="9"/>
        <v>542.4428748562957</v>
      </c>
      <c r="P60" s="318">
        <f t="shared" si="9"/>
        <v>1833.6009848298145</v>
      </c>
      <c r="Q60" s="318">
        <f t="shared" si="9"/>
        <v>3412.5797439322323</v>
      </c>
      <c r="R60" s="318">
        <f t="shared" si="9"/>
        <v>5296.9074296955005</v>
      </c>
      <c r="S60"/>
      <c r="T60"/>
      <c r="U60"/>
      <c r="V60"/>
      <c r="W60"/>
      <c r="X60"/>
      <c r="Y60"/>
      <c r="Z60"/>
      <c r="AA60"/>
      <c r="AD60" s="207"/>
    </row>
    <row r="61" spans="1:30" s="212" customFormat="1" ht="13.2">
      <c r="A61" s="214" t="s">
        <v>273</v>
      </c>
      <c r="B61" s="318">
        <v>0</v>
      </c>
      <c r="C61" s="318">
        <f>C48*'Project Assumptions'!$N$60</f>
        <v>-179.39815544354224</v>
      </c>
      <c r="D61" s="318">
        <f>D48*'Project Assumptions'!$N$60</f>
        <v>-998.82693893749456</v>
      </c>
      <c r="E61" s="318">
        <f>E48*'Project Assumptions'!$N$60</f>
        <v>-848.01572061496154</v>
      </c>
      <c r="F61" s="318">
        <f>F48*'Project Assumptions'!$N$60</f>
        <v>-687.44088272126191</v>
      </c>
      <c r="G61" s="318">
        <f>G48*'Project Assumptions'!$N$60</f>
        <v>-517.69449966213006</v>
      </c>
      <c r="H61" s="318">
        <f>H48*'Project Assumptions'!$N$60</f>
        <v>-198.32443967297604</v>
      </c>
      <c r="I61" s="318">
        <f>I48*'Project Assumptions'!$N$60</f>
        <v>130.86190779838489</v>
      </c>
      <c r="J61" s="318">
        <f>J48*'Project Assumptions'!$N$60</f>
        <v>332.68284497678178</v>
      </c>
      <c r="K61" s="318">
        <f>K48*'Project Assumptions'!$N$60</f>
        <v>547.41774714603503</v>
      </c>
      <c r="L61" s="318">
        <f>L48*'Project Assumptions'!$N$60</f>
        <v>774.66622248684416</v>
      </c>
      <c r="M61" s="318">
        <f>M48*'Project Assumptions'!$N$60</f>
        <v>1015.7984857148404</v>
      </c>
      <c r="N61" s="318">
        <f>N48*'Project Assumptions'!$N$60</f>
        <v>1271.370646489308</v>
      </c>
      <c r="O61" s="318">
        <f>O48*'Project Assumptions'!$N$60</f>
        <v>1542.8526481862013</v>
      </c>
      <c r="P61" s="318">
        <f>P48*'Project Assumptions'!$N$60</f>
        <v>1830.9064010841403</v>
      </c>
      <c r="Q61" s="318">
        <f>Q48*'Project Assumptions'!$N$60</f>
        <v>2136.251594639416</v>
      </c>
      <c r="R61" s="318">
        <f>R48*'Project Assumptions'!$N$60</f>
        <v>7248.1485702336204</v>
      </c>
      <c r="S61"/>
      <c r="T61"/>
      <c r="U61"/>
      <c r="V61"/>
      <c r="W61"/>
      <c r="X61"/>
      <c r="Y61"/>
      <c r="Z61"/>
      <c r="AA61"/>
      <c r="AD61" s="207"/>
    </row>
    <row r="62" spans="1:30" s="212" customFormat="1" ht="15">
      <c r="A62" s="214" t="s">
        <v>274</v>
      </c>
      <c r="B62" s="320">
        <v>0</v>
      </c>
      <c r="C62" s="320">
        <f>'Cash Flow Statement'!D19*'Project Assumptions'!$N$60</f>
        <v>209.98375338429241</v>
      </c>
      <c r="D62" s="320">
        <f>'Cash Flow Statement'!E19*'Project Assumptions'!$N$60</f>
        <v>547.10470346213424</v>
      </c>
      <c r="E62" s="320">
        <f>'Cash Flow Statement'!F19*'Project Assumptions'!$N$60</f>
        <v>295.53196660417689</v>
      </c>
      <c r="F62" s="320">
        <f>'Cash Flow Statement'!G19*'Project Assumptions'!$N$60</f>
        <v>293.1321129360731</v>
      </c>
      <c r="G62" s="320">
        <f>'Cash Flow Statement'!H19*'Project Assumptions'!$N$60</f>
        <v>271.21809508027127</v>
      </c>
      <c r="H62" s="320">
        <f>'Cash Flow Statement'!I19*'Project Assumptions'!$N$60</f>
        <v>270.70988167899395</v>
      </c>
      <c r="I62" s="320">
        <f>'Cash Flow Statement'!J19*'Project Assumptions'!$N$60</f>
        <v>269.09491270053786</v>
      </c>
      <c r="J62" s="320">
        <f>'Cash Flow Statement'!K19*'Project Assumptions'!$N$60</f>
        <v>250.96735455104408</v>
      </c>
      <c r="K62" s="320">
        <f>'Cash Flow Statement'!L19*'Project Assumptions'!$N$60</f>
        <v>251.5366631218576</v>
      </c>
      <c r="L62" s="320">
        <f>'Cash Flow Statement'!M19*'Project Assumptions'!$N$60</f>
        <v>251.57686021408244</v>
      </c>
      <c r="M62" s="320">
        <f>'Cash Flow Statement'!N19*'Project Assumptions'!$N$60</f>
        <v>251.66386104815501</v>
      </c>
      <c r="N62" s="320">
        <f>'Cash Flow Statement'!O19*'Project Assumptions'!$N$60</f>
        <v>251.51110294891078</v>
      </c>
      <c r="O62" s="320">
        <f>'Cash Flow Statement'!P19*'Project Assumptions'!$N$60</f>
        <v>251.69453821268235</v>
      </c>
      <c r="P62" s="320">
        <f>'Cash Flow Statement'!Q19*'Project Assumptions'!$N$60</f>
        <v>251.92764198172245</v>
      </c>
      <c r="Q62" s="320">
        <f>'Cash Flow Statement'!R19*'Project Assumptions'!$N$60</f>
        <v>251.92390887614783</v>
      </c>
      <c r="R62" s="320">
        <f>'Cash Flow Statement'!S19*'Project Assumptions'!$N$60</f>
        <v>6144.4881591589601</v>
      </c>
      <c r="S62"/>
      <c r="T62"/>
      <c r="U62"/>
      <c r="V62"/>
      <c r="W62"/>
      <c r="X62"/>
      <c r="Y62"/>
      <c r="Z62"/>
      <c r="AA62"/>
      <c r="AD62" s="207"/>
    </row>
    <row r="63" spans="1:30" s="212" customFormat="1" ht="13.2">
      <c r="A63" s="214" t="s">
        <v>276</v>
      </c>
      <c r="B63" s="318">
        <f>SUM(B60:B62)</f>
        <v>3313.3769250269975</v>
      </c>
      <c r="C63" s="318">
        <f t="shared" ref="C63:R63" si="10">C60+C61-C62</f>
        <v>2923.9950161991628</v>
      </c>
      <c r="D63" s="318">
        <f t="shared" si="10"/>
        <v>1378.063373799534</v>
      </c>
      <c r="E63" s="318">
        <f t="shared" si="10"/>
        <v>234.5156865803956</v>
      </c>
      <c r="F63" s="318">
        <f t="shared" si="10"/>
        <v>-746.05730907693942</v>
      </c>
      <c r="G63" s="318">
        <f t="shared" si="10"/>
        <v>-1534.9699038193407</v>
      </c>
      <c r="H63" s="318">
        <f t="shared" si="10"/>
        <v>-2004.0042251713107</v>
      </c>
      <c r="I63" s="318">
        <f t="shared" si="10"/>
        <v>-2142.2372300734637</v>
      </c>
      <c r="J63" s="318">
        <f t="shared" si="10"/>
        <v>-2060.521739647726</v>
      </c>
      <c r="K63" s="318">
        <f t="shared" si="10"/>
        <v>-1764.6406556235486</v>
      </c>
      <c r="L63" s="318">
        <f t="shared" si="10"/>
        <v>-1241.5512933507869</v>
      </c>
      <c r="M63" s="318">
        <f t="shared" si="10"/>
        <v>-477.41666868410152</v>
      </c>
      <c r="N63" s="318">
        <f t="shared" si="10"/>
        <v>542.4428748562957</v>
      </c>
      <c r="O63" s="318">
        <f t="shared" si="10"/>
        <v>1833.6009848298145</v>
      </c>
      <c r="P63" s="318">
        <f t="shared" si="10"/>
        <v>3412.5797439322323</v>
      </c>
      <c r="Q63" s="318">
        <f t="shared" si="10"/>
        <v>5296.9074296955005</v>
      </c>
      <c r="R63" s="318">
        <f t="shared" si="10"/>
        <v>6400.5678407701616</v>
      </c>
      <c r="S63"/>
      <c r="T63"/>
      <c r="U63"/>
      <c r="V63"/>
      <c r="W63"/>
      <c r="X63"/>
      <c r="Y63"/>
      <c r="Z63"/>
      <c r="AA63"/>
      <c r="AD63" s="207"/>
    </row>
    <row r="64" spans="1:30" s="207" customFormat="1" ht="13.2">
      <c r="S64"/>
      <c r="T64"/>
      <c r="U64"/>
      <c r="V64"/>
      <c r="W64"/>
      <c r="X64"/>
      <c r="Y64"/>
      <c r="Z64"/>
      <c r="AA64"/>
    </row>
    <row r="65" spans="1:30" s="207" customFormat="1" ht="13.2">
      <c r="A65" s="294" t="s">
        <v>317</v>
      </c>
      <c r="S65"/>
      <c r="T65"/>
      <c r="U65"/>
      <c r="V65"/>
      <c r="W65"/>
      <c r="X65"/>
      <c r="Y65"/>
      <c r="Z65"/>
      <c r="AA65"/>
    </row>
    <row r="66" spans="1:30" s="212" customFormat="1" ht="13.2">
      <c r="A66" s="214" t="str">
        <f>'Project Assumptions'!K10</f>
        <v>Fixed Maintenance</v>
      </c>
      <c r="C66" s="318">
        <f>Fixed*C5/12</f>
        <v>222.22729375000003</v>
      </c>
      <c r="D66" s="318">
        <f>IF(D$3&lt;='Project Assumptions'!$I$15,C66*12/C$5*(1+'Project Assumptions'!$N$19),C66*D$5/12*(1+'Project Assumptions'!$N$19))</f>
        <v>430.04934000000003</v>
      </c>
      <c r="E66" s="318">
        <f>IF(E$3&lt;='Project Assumptions'!$I$15,D66*12/D$5*(1+'Project Assumptions'!$N$19),D66*E$5/12*(1+'Project Assumptions'!$N$19))</f>
        <v>438.65032680000002</v>
      </c>
      <c r="F66" s="318">
        <f>IF(F$3&lt;='Project Assumptions'!$I$15,E66*12/E$5*(1+'Project Assumptions'!$N$19),E66*F$5/12*(1+'Project Assumptions'!$N$19))</f>
        <v>447.42333333599998</v>
      </c>
      <c r="G66" s="318">
        <f>IF(G$3&lt;='Project Assumptions'!$I$15,F66*12/F$5*(1+'Project Assumptions'!$N$19),F66*G$5/12*(1+'Project Assumptions'!$N$19))</f>
        <v>456.37180000271997</v>
      </c>
      <c r="H66" s="318">
        <f>IF(H$3&lt;='Project Assumptions'!$I$15,G66*12/G$5*(1+'Project Assumptions'!$N$19),G66*H$5/12*(1+'Project Assumptions'!$N$19))</f>
        <v>465.49923600277435</v>
      </c>
      <c r="I66" s="318">
        <f>IF(I$3&lt;='Project Assumptions'!$I$15,H66*12/H$5*(1+'Project Assumptions'!$N$19),H66*I$5/12*(1+'Project Assumptions'!$N$19))</f>
        <v>474.80922072282982</v>
      </c>
      <c r="J66" s="318">
        <f>IF(J$3&lt;='Project Assumptions'!$I$15,I66*12/I$5*(1+'Project Assumptions'!$N$19),I66*J$5/12*(1+'Project Assumptions'!$N$19))</f>
        <v>484.30540513728641</v>
      </c>
      <c r="K66" s="318">
        <f>IF(K$3&lt;='Project Assumptions'!$I$15,J66*12/J$5*(1+'Project Assumptions'!$N$19),J66*K$5/12*(1+'Project Assumptions'!$N$19))</f>
        <v>493.99151324003213</v>
      </c>
      <c r="L66" s="318">
        <f>IF(L$3&lt;='Project Assumptions'!$I$15,K66*12/K$5*(1+'Project Assumptions'!$N$19),K66*L$5/12*(1+'Project Assumptions'!$N$19))</f>
        <v>503.87134350483279</v>
      </c>
      <c r="M66" s="318">
        <f>IF(M$3&lt;='Project Assumptions'!$I$15,L66*12/L$5*(1+'Project Assumptions'!$N$19),L66*M$5/12*(1+'Project Assumptions'!$N$19))</f>
        <v>513.9487703749295</v>
      </c>
      <c r="N66" s="318">
        <f>IF(N$3&lt;='Project Assumptions'!$I$15,M66*12/M$5*(1+'Project Assumptions'!$N$19),M66*N$5/12*(1+'Project Assumptions'!$N$19))</f>
        <v>524.22774578242809</v>
      </c>
      <c r="O66" s="318">
        <f>IF(O$3&lt;='Project Assumptions'!$I$15,N66*12/N$5*(1+'Project Assumptions'!$N$19),N66*O$5/12*(1+'Project Assumptions'!$N$19))</f>
        <v>534.71230069807666</v>
      </c>
      <c r="P66" s="318">
        <f>IF(P$3&lt;='Project Assumptions'!$I$15,O66*12/O$5*(1+'Project Assumptions'!$N$19),O66*P$5/12*(1+'Project Assumptions'!$N$19))</f>
        <v>545.40654671203822</v>
      </c>
      <c r="Q66" s="318">
        <f>IF(Q$3&lt;='Project Assumptions'!$I$15,P66*12/P$5*(1+'Project Assumptions'!$N$19),P66*Q$5/12*(1+'Project Assumptions'!$N$19))</f>
        <v>556.31467764627905</v>
      </c>
      <c r="R66" s="318">
        <f>IF(R$3&lt;='Project Assumptions'!$I$15,Q66*12/Q$5*(1+'Project Assumptions'!$N$19),Q66*R$5/12*(1+'Project Assumptions'!$N$19))</f>
        <v>378.29398079946975</v>
      </c>
      <c r="S66"/>
      <c r="T66"/>
      <c r="U66"/>
      <c r="V66"/>
      <c r="W66"/>
      <c r="X66"/>
      <c r="Y66"/>
      <c r="Z66"/>
      <c r="AA66"/>
      <c r="AD66" s="207"/>
    </row>
    <row r="67" spans="1:30" s="212" customFormat="1" ht="13.2">
      <c r="A67" s="214" t="str">
        <f>'Project Assumptions'!K11</f>
        <v>Labor</v>
      </c>
      <c r="C67" s="318">
        <f>Labor*C5/12</f>
        <v>388.27815125000006</v>
      </c>
      <c r="D67" s="318">
        <f>IF(D$3&lt;='Project Assumptions'!$I$15,C67*12/C$5*(1+'Project Assumptions'!$N$19),C67*D$5/12*(1+'Project Assumptions'!$N$19))</f>
        <v>751.38728400000002</v>
      </c>
      <c r="E67" s="318">
        <f>IF(E$3&lt;='Project Assumptions'!$I$15,D67*12/D$5*(1+'Project Assumptions'!$N$19),D67*E$5/12*(1+'Project Assumptions'!$N$19))</f>
        <v>766.41502968000009</v>
      </c>
      <c r="F67" s="318">
        <f>IF(F$3&lt;='Project Assumptions'!$I$15,E67*12/E$5*(1+'Project Assumptions'!$N$19),E67*F$5/12*(1+'Project Assumptions'!$N$19))</f>
        <v>781.74333027360024</v>
      </c>
      <c r="G67" s="318">
        <f>IF(G$3&lt;='Project Assumptions'!$I$15,F67*12/F$5*(1+'Project Assumptions'!$N$19),F67*G$5/12*(1+'Project Assumptions'!$N$19))</f>
        <v>797.37819687907222</v>
      </c>
      <c r="H67" s="318">
        <f>IF(H$3&lt;='Project Assumptions'!$I$15,G67*12/G$5*(1+'Project Assumptions'!$N$19),G67*H$5/12*(1+'Project Assumptions'!$N$19))</f>
        <v>813.32576081665366</v>
      </c>
      <c r="I67" s="318">
        <f>IF(I$3&lt;='Project Assumptions'!$I$15,H67*12/H$5*(1+'Project Assumptions'!$N$19),H67*I$5/12*(1+'Project Assumptions'!$N$19))</f>
        <v>829.59227603298677</v>
      </c>
      <c r="J67" s="318">
        <f>IF(J$3&lt;='Project Assumptions'!$I$15,I67*12/I$5*(1+'Project Assumptions'!$N$19),I67*J$5/12*(1+'Project Assumptions'!$N$19))</f>
        <v>846.18412155364649</v>
      </c>
      <c r="K67" s="318">
        <f>IF(K$3&lt;='Project Assumptions'!$I$15,J67*12/J$5*(1+'Project Assumptions'!$N$19),J67*K$5/12*(1+'Project Assumptions'!$N$19))</f>
        <v>863.10780398471945</v>
      </c>
      <c r="L67" s="318">
        <f>IF(L$3&lt;='Project Assumptions'!$I$15,K67*12/K$5*(1+'Project Assumptions'!$N$19),K67*L$5/12*(1+'Project Assumptions'!$N$19))</f>
        <v>880.36996006441382</v>
      </c>
      <c r="M67" s="318">
        <f>IF(M$3&lt;='Project Assumptions'!$I$15,L67*12/L$5*(1+'Project Assumptions'!$N$19),L67*M$5/12*(1+'Project Assumptions'!$N$19))</f>
        <v>897.97735926570203</v>
      </c>
      <c r="N67" s="318">
        <f>IF(N$3&lt;='Project Assumptions'!$I$15,M67*12/M$5*(1+'Project Assumptions'!$N$19),M67*N$5/12*(1+'Project Assumptions'!$N$19))</f>
        <v>915.93690645101606</v>
      </c>
      <c r="O67" s="318">
        <f>IF(O$3&lt;='Project Assumptions'!$I$15,N67*12/N$5*(1+'Project Assumptions'!$N$19),N67*O$5/12*(1+'Project Assumptions'!$N$19))</f>
        <v>934.25564458003635</v>
      </c>
      <c r="P67" s="318">
        <f>IF(P$3&lt;='Project Assumptions'!$I$15,O67*12/O$5*(1+'Project Assumptions'!$N$19),O67*P$5/12*(1+'Project Assumptions'!$N$19))</f>
        <v>952.94075747163708</v>
      </c>
      <c r="Q67" s="318">
        <f>IF(Q$3&lt;='Project Assumptions'!$I$15,P67*12/P$5*(1+'Project Assumptions'!$N$19),P67*Q$5/12*(1+'Project Assumptions'!$N$19))</f>
        <v>971.99957262106989</v>
      </c>
      <c r="R67" s="318">
        <f>IF(R$3&lt;='Project Assumptions'!$I$15,Q67*12/Q$5*(1+'Project Assumptions'!$N$19),Q67*R$5/12*(1+'Project Assumptions'!$N$19))</f>
        <v>660.95970938232756</v>
      </c>
      <c r="S67"/>
      <c r="T67"/>
      <c r="U67"/>
      <c r="V67"/>
      <c r="W67"/>
      <c r="X67"/>
      <c r="Y67"/>
      <c r="Z67"/>
      <c r="AA67"/>
      <c r="AD67" s="207"/>
    </row>
    <row r="68" spans="1:30" s="212" customFormat="1" ht="13.2">
      <c r="A68" s="214" t="str">
        <f>'Project Assumptions'!K15</f>
        <v>Startup Power (estimate)</v>
      </c>
      <c r="C68" s="318">
        <f>'Project Assumptions'!$N$15</f>
        <v>200</v>
      </c>
      <c r="D68" s="318">
        <f>IF(D$3&gt;'Project Assumptions'!$I$15+1,0,IF(AND($C$5&lt;12,D3='Project Assumptions'!$I$15+1),0,C68*(1+'Project Assumptions'!$N$19)))</f>
        <v>204</v>
      </c>
      <c r="E68" s="318">
        <f>IF(E$3&gt;'Project Assumptions'!$I$15+1,0,IF(AND($C$5&lt;12,E3='Project Assumptions'!$I$15+1),0,D68*(1+'Project Assumptions'!$N$19)))</f>
        <v>208.08</v>
      </c>
      <c r="F68" s="318">
        <f>IF(F$3&gt;'Project Assumptions'!$I$15+1,0,IF(AND($C$5&lt;12,F3='Project Assumptions'!$I$15+1),0,E68*(1+'Project Assumptions'!$N$19)))</f>
        <v>212.24160000000001</v>
      </c>
      <c r="G68" s="318">
        <f>IF(G$3&gt;'Project Assumptions'!$I$15+1,0,IF(AND($C$5&lt;12,G3='Project Assumptions'!$I$15+1),0,F68*(1+'Project Assumptions'!$N$19)))</f>
        <v>216.48643200000001</v>
      </c>
      <c r="H68" s="318">
        <f>IF(H$3&gt;'Project Assumptions'!$I$15+1,0,IF(AND($C$5&lt;12,H3='Project Assumptions'!$I$15+1),0,G68*(1+'Project Assumptions'!$N$19)))</f>
        <v>220.81616064000002</v>
      </c>
      <c r="I68" s="318">
        <f>IF(I$3&gt;'Project Assumptions'!$I$15+1,0,IF(AND($C$5&lt;12,I3='Project Assumptions'!$I$15+1),0,H68*(1+'Project Assumptions'!$N$19)))</f>
        <v>225.23248385280002</v>
      </c>
      <c r="J68" s="318">
        <f>IF(J$3&gt;'Project Assumptions'!$I$15+1,0,IF(AND($C$5&lt;12,J3='Project Assumptions'!$I$15+1),0,I68*(1+'Project Assumptions'!$N$19)))</f>
        <v>229.73713352985601</v>
      </c>
      <c r="K68" s="318">
        <f>IF(K$3&gt;'Project Assumptions'!$I$15+1,0,IF(AND($C$5&lt;12,K3='Project Assumptions'!$I$15+1),0,J68*(1+'Project Assumptions'!$N$19)))</f>
        <v>234.33187620045314</v>
      </c>
      <c r="L68" s="318">
        <f>IF(L$3&gt;'Project Assumptions'!$I$15+1,0,IF(AND($C$5&lt;12,L3='Project Assumptions'!$I$15+1),0,K68*(1+'Project Assumptions'!$N$19)))</f>
        <v>239.0185137244622</v>
      </c>
      <c r="M68" s="318">
        <f>IF(M$3&gt;'Project Assumptions'!$I$15+1,0,IF(AND($C$5&lt;12,M3='Project Assumptions'!$I$15+1),0,L68*(1+'Project Assumptions'!$N$19)))</f>
        <v>243.79888399895145</v>
      </c>
      <c r="N68" s="318">
        <f>IF(N$3&gt;'Project Assumptions'!$I$15+1,0,IF(AND($C$5&lt;12,N3='Project Assumptions'!$I$15+1),0,M68*(1+'Project Assumptions'!$N$19)))</f>
        <v>248.67486167893048</v>
      </c>
      <c r="O68" s="318">
        <f>IF(O$3&gt;'Project Assumptions'!$I$15+1,0,IF(AND($C$5&lt;12,O3='Project Assumptions'!$I$15+1),0,N68*(1+'Project Assumptions'!$N$19)))</f>
        <v>253.64835891250911</v>
      </c>
      <c r="P68" s="318">
        <f>IF(P$3&gt;'Project Assumptions'!$I$15+1,0,IF(AND($C$5&lt;12,P3='Project Assumptions'!$I$15+1),0,O68*(1+'Project Assumptions'!$N$19)))</f>
        <v>258.72132609075931</v>
      </c>
      <c r="Q68" s="318">
        <f>IF(Q$3&gt;'Project Assumptions'!$I$15+1,0,IF(AND($C$5&lt;12,Q3='Project Assumptions'!$I$15+1),0,P68*(1+'Project Assumptions'!$N$19)))</f>
        <v>263.89575261257448</v>
      </c>
      <c r="R68" s="318">
        <f>IF(R$3&gt;'Project Assumptions'!$I$15+1,0,IF(AND($C$5&lt;12,R3='Project Assumptions'!$I$15+1),0,Q68*(1+'Project Assumptions'!$N$19)))</f>
        <v>0</v>
      </c>
      <c r="S68"/>
      <c r="T68"/>
      <c r="U68"/>
      <c r="V68"/>
      <c r="W68"/>
      <c r="X68"/>
      <c r="Y68"/>
      <c r="Z68"/>
      <c r="AA68"/>
      <c r="AD68" s="207"/>
    </row>
    <row r="69" spans="1:30" s="212" customFormat="1" ht="13.2">
      <c r="A69" s="214" t="str">
        <f>'Project Assumptions'!K16</f>
        <v>Fuel Losses During Starts/Stops (calculated figure)</v>
      </c>
      <c r="C69" s="318">
        <f>'Project Assumptions'!$N$16</f>
        <v>128.02900000000002</v>
      </c>
      <c r="D69" s="318">
        <f>IF(D$3&gt;'Project Assumptions'!$I$15+1,0,IF(AND($C$5&lt;12,D3='Project Assumptions'!$I$15+1),0,C69*(1+'Project Assumptions'!$N$19)))</f>
        <v>130.58958000000004</v>
      </c>
      <c r="E69" s="318">
        <f>IF(E$3&gt;'Project Assumptions'!$I$15+1,0,IF(AND($C$5&lt;12,E3='Project Assumptions'!$I$15+1),0,D69*(1+'Project Assumptions'!$N$19)))</f>
        <v>133.20137160000004</v>
      </c>
      <c r="F69" s="318">
        <f>IF(F$3&gt;'Project Assumptions'!$I$15+1,0,IF(AND($C$5&lt;12,F3='Project Assumptions'!$I$15+1),0,E69*(1+'Project Assumptions'!$N$19)))</f>
        <v>135.86539903200006</v>
      </c>
      <c r="G69" s="318">
        <f>IF(G$3&gt;'Project Assumptions'!$I$15+1,0,IF(AND($C$5&lt;12,G3='Project Assumptions'!$I$15+1),0,F69*(1+'Project Assumptions'!$N$19)))</f>
        <v>138.58270701264007</v>
      </c>
      <c r="H69" s="318">
        <f>IF(H$3&gt;'Project Assumptions'!$I$15+1,0,IF(AND($C$5&lt;12,H3='Project Assumptions'!$I$15+1),0,G69*(1+'Project Assumptions'!$N$19)))</f>
        <v>141.35436115289286</v>
      </c>
      <c r="I69" s="318">
        <f>IF(I$3&gt;'Project Assumptions'!$I$15+1,0,IF(AND($C$5&lt;12,I3='Project Assumptions'!$I$15+1),0,H69*(1+'Project Assumptions'!$N$19)))</f>
        <v>144.18144837595074</v>
      </c>
      <c r="J69" s="318">
        <f>IF(J$3&gt;'Project Assumptions'!$I$15+1,0,IF(AND($C$5&lt;12,J3='Project Assumptions'!$I$15+1),0,I69*(1+'Project Assumptions'!$N$19)))</f>
        <v>147.06507734346977</v>
      </c>
      <c r="K69" s="318">
        <f>IF(K$3&gt;'Project Assumptions'!$I$15+1,0,IF(AND($C$5&lt;12,K3='Project Assumptions'!$I$15+1),0,J69*(1+'Project Assumptions'!$N$19)))</f>
        <v>150.00637889033916</v>
      </c>
      <c r="L69" s="318">
        <f>IF(L$3&gt;'Project Assumptions'!$I$15+1,0,IF(AND($C$5&lt;12,L3='Project Assumptions'!$I$15+1),0,K69*(1+'Project Assumptions'!$N$19)))</f>
        <v>153.00650646814594</v>
      </c>
      <c r="M69" s="318">
        <f>IF(M$3&gt;'Project Assumptions'!$I$15+1,0,IF(AND($C$5&lt;12,M3='Project Assumptions'!$I$15+1),0,L69*(1+'Project Assumptions'!$N$19)))</f>
        <v>156.06663659750888</v>
      </c>
      <c r="N69" s="318">
        <f>IF(N$3&gt;'Project Assumptions'!$I$15+1,0,IF(AND($C$5&lt;12,N3='Project Assumptions'!$I$15+1),0,M69*(1+'Project Assumptions'!$N$19)))</f>
        <v>159.18796932945907</v>
      </c>
      <c r="O69" s="318">
        <f>IF(O$3&gt;'Project Assumptions'!$I$15+1,0,IF(AND($C$5&lt;12,O3='Project Assumptions'!$I$15+1),0,N69*(1+'Project Assumptions'!$N$19)))</f>
        <v>162.37172871604824</v>
      </c>
      <c r="P69" s="318">
        <f>IF(P$3&gt;'Project Assumptions'!$I$15+1,0,IF(AND($C$5&lt;12,P3='Project Assumptions'!$I$15+1),0,O69*(1+'Project Assumptions'!$N$19)))</f>
        <v>165.61916329036922</v>
      </c>
      <c r="Q69" s="318">
        <f>IF(Q$3&gt;'Project Assumptions'!$I$15+1,0,IF(AND($C$5&lt;12,Q3='Project Assumptions'!$I$15+1),0,P69*(1+'Project Assumptions'!$N$19)))</f>
        <v>168.93154655617661</v>
      </c>
      <c r="R69" s="318">
        <f>IF(R$3&gt;'Project Assumptions'!$I$15+1,0,IF(AND($C$5&lt;12,R3='Project Assumptions'!$I$15+1),0,Q69*(1+'Project Assumptions'!$N$19)))</f>
        <v>0</v>
      </c>
      <c r="S69"/>
      <c r="T69"/>
      <c r="U69"/>
      <c r="V69"/>
      <c r="W69"/>
      <c r="X69"/>
      <c r="Y69"/>
      <c r="Z69"/>
      <c r="AA69"/>
      <c r="AD69" s="207"/>
    </row>
    <row r="70" spans="1:30" s="212" customFormat="1" ht="13.2">
      <c r="A70" s="214" t="str">
        <f>'Project Assumptions'!K12</f>
        <v>Business Interruption Insurance (% of Rev)</v>
      </c>
      <c r="C70" s="318">
        <f>C7*'Project Assumptions'!$M$12</f>
        <v>31.219187999999999</v>
      </c>
      <c r="D70" s="318">
        <f>IF(D3&gt;'Project Assumptions'!$I$15+1,0,D7*'Project Assumptions'!$M$12)</f>
        <v>59.230080000000001</v>
      </c>
      <c r="E70" s="318">
        <f>IF(E3&gt;'Project Assumptions'!$I$15+1,0,E7*'Project Assumptions'!$M$12)</f>
        <v>59.230080000000001</v>
      </c>
      <c r="F70" s="318">
        <f>IF(F3&gt;'Project Assumptions'!$I$15+1,0,F7*'Project Assumptions'!$M$12)</f>
        <v>59.230080000000001</v>
      </c>
      <c r="G70" s="318">
        <f>IF(G3&gt;'Project Assumptions'!$I$15+1,0,G7*'Project Assumptions'!$M$12)</f>
        <v>59.230080000000001</v>
      </c>
      <c r="H70" s="318">
        <f>IF(H3&gt;'Project Assumptions'!$I$15+1,0,H7*'Project Assumptions'!$M$12)</f>
        <v>59.230080000000001</v>
      </c>
      <c r="I70" s="318">
        <f>IF(I3&gt;'Project Assumptions'!$I$15+1,0,I7*'Project Assumptions'!$M$12)</f>
        <v>59.230080000000001</v>
      </c>
      <c r="J70" s="318">
        <f>IF(J3&gt;'Project Assumptions'!$I$15+1,0,J7*'Project Assumptions'!$M$12)</f>
        <v>59.230080000000001</v>
      </c>
      <c r="K70" s="318">
        <f>IF(K3&gt;'Project Assumptions'!$I$15+1,0,K7*'Project Assumptions'!$M$12)</f>
        <v>59.230080000000001</v>
      </c>
      <c r="L70" s="318">
        <f>IF(L3&gt;'Project Assumptions'!$I$15+1,0,L7*'Project Assumptions'!$M$12)</f>
        <v>59.230080000000001</v>
      </c>
      <c r="M70" s="318">
        <f>IF(M3&gt;'Project Assumptions'!$I$15+1,0,M7*'Project Assumptions'!$M$12)</f>
        <v>59.230080000000001</v>
      </c>
      <c r="N70" s="318">
        <f>IF(N3&gt;'Project Assumptions'!$I$15+1,0,N7*'Project Assumptions'!$M$12)</f>
        <v>59.230080000000001</v>
      </c>
      <c r="O70" s="318">
        <f>IF(O3&gt;'Project Assumptions'!$I$15+1,0,O7*'Project Assumptions'!$M$12)</f>
        <v>59.230080000000001</v>
      </c>
      <c r="P70" s="318">
        <f>IF(P3&gt;'Project Assumptions'!$I$15+1,0,P7*'Project Assumptions'!$M$12)</f>
        <v>59.230080000000001</v>
      </c>
      <c r="Q70" s="318">
        <f>IF(Q3&gt;'Project Assumptions'!$I$15+1,0,Q7*'Project Assumptions'!$M$12)</f>
        <v>59.230080000000001</v>
      </c>
      <c r="R70" s="318">
        <f>IF(R3&gt;'Project Assumptions'!$I$15+1,0,R7*'Project Assumptions'!$M$12)</f>
        <v>39.486719999999998</v>
      </c>
      <c r="S70"/>
      <c r="T70"/>
      <c r="U70"/>
      <c r="V70"/>
      <c r="W70"/>
      <c r="X70"/>
      <c r="Y70"/>
      <c r="Z70"/>
      <c r="AA70"/>
      <c r="AD70" s="207"/>
    </row>
    <row r="71" spans="1:30" s="212" customFormat="1" ht="13.2">
      <c r="A71" s="214" t="str">
        <f>'Project Assumptions'!K13</f>
        <v>Ops and Mach Insurance (% of book value)</v>
      </c>
      <c r="C71" s="318">
        <f>Depreciation!D39*'Project Assumptions'!$M$13*C5/12</f>
        <v>94.988749879615696</v>
      </c>
      <c r="D71" s="318">
        <f>IF(D$3&lt;='Project Assumptions'!$I$15,C71*12/C$5*(1+Opcostescalation),C71*D$5/12*(1+Opcostescalation))</f>
        <v>183.8201262492484</v>
      </c>
      <c r="E71" s="318">
        <f>IF(E$3&lt;='Project Assumptions'!$I$15,D71*12/D$5*(1+Opcostescalation),D71*E$5/12*(1+Opcostescalation))</f>
        <v>187.49652877423335</v>
      </c>
      <c r="F71" s="318">
        <f>IF(F$3&lt;='Project Assumptions'!$I$15,E71*12/E$5*(1+Opcostescalation),E71*F$5/12*(1+Opcostescalation))</f>
        <v>191.24645934971801</v>
      </c>
      <c r="G71" s="318">
        <f>IF(G$3&lt;='Project Assumptions'!$I$15,F71*12/F$5*(1+Opcostescalation),F71*G$5/12*(1+Opcostescalation))</f>
        <v>195.07138853671239</v>
      </c>
      <c r="H71" s="318">
        <f>IF(H$3&lt;='Project Assumptions'!$I$15,G71*12/G$5*(1+Opcostescalation),G71*H$5/12*(1+Opcostescalation))</f>
        <v>198.97281630744661</v>
      </c>
      <c r="I71" s="318">
        <f>IF(I$3&lt;='Project Assumptions'!$I$15,H71*12/H$5*(1+Opcostescalation),H71*I$5/12*(1+Opcostescalation))</f>
        <v>202.95227263359556</v>
      </c>
      <c r="J71" s="318">
        <f>IF(J$3&lt;='Project Assumptions'!$I$15,I71*12/I$5*(1+Opcostescalation),I71*J$5/12*(1+Opcostescalation))</f>
        <v>207.01131808626744</v>
      </c>
      <c r="K71" s="318">
        <f>IF(K$3&lt;='Project Assumptions'!$I$15,J71*12/J$5*(1+Opcostescalation),J71*K$5/12*(1+Opcostescalation))</f>
        <v>211.15154444799279</v>
      </c>
      <c r="L71" s="318">
        <f>IF(L$3&lt;='Project Assumptions'!$I$15,K71*12/K$5*(1+Opcostescalation),K71*L$5/12*(1+Opcostescalation))</f>
        <v>215.37457533695266</v>
      </c>
      <c r="M71" s="318">
        <f>IF(M$3&lt;='Project Assumptions'!$I$15,L71*12/L$5*(1+Opcostescalation),L71*M$5/12*(1+Opcostescalation))</f>
        <v>219.68206684369176</v>
      </c>
      <c r="N71" s="318">
        <f>IF(N$3&lt;='Project Assumptions'!$I$15,M71*12/M$5*(1+Opcostescalation),M71*N$5/12*(1+Opcostescalation))</f>
        <v>224.07570818056561</v>
      </c>
      <c r="O71" s="318">
        <f>IF(O$3&lt;='Project Assumptions'!$I$15,N71*12/N$5*(1+Opcostescalation),N71*O$5/12*(1+Opcostescalation))</f>
        <v>228.55722234417692</v>
      </c>
      <c r="P71" s="318">
        <f>IF(P$3&lt;='Project Assumptions'!$I$15,O71*12/O$5*(1+Opcostescalation),O71*P$5/12*(1+Opcostescalation))</f>
        <v>233.12836679106047</v>
      </c>
      <c r="Q71" s="318">
        <f>IF(Q$3&lt;='Project Assumptions'!$I$15,P71*12/P$5*(1+Opcostescalation),P71*Q$5/12*(1+Opcostescalation))</f>
        <v>237.79093412688169</v>
      </c>
      <c r="R71" s="318">
        <f>IF(R$3&lt;='Project Assumptions'!$I$15,Q71*12/Q$5*(1+Opcostescalation),Q71*R$5/12*(1+Opcostescalation))</f>
        <v>161.69783520627956</v>
      </c>
      <c r="S71"/>
      <c r="T71"/>
      <c r="U71"/>
      <c r="V71"/>
      <c r="W71"/>
      <c r="X71"/>
      <c r="Y71"/>
      <c r="Z71"/>
      <c r="AA71"/>
      <c r="AD71" s="207"/>
    </row>
    <row r="72" spans="1:30" s="212" customFormat="1" ht="15">
      <c r="A72" s="214" t="s">
        <v>297</v>
      </c>
      <c r="C72" s="320">
        <v>0</v>
      </c>
      <c r="D72" s="320">
        <f>IF(D3&gt;'Project Assumptions'!$I$15+1,0,IF(D3&lt;='Project Assumptions'!$I$15,Depreciation!E48,Depreciation!E48))*(1+Opcostescalation)*D$5/12</f>
        <v>563.99874725376003</v>
      </c>
      <c r="E72" s="320">
        <f>IF(E3&gt;'Project Assumptions'!$I$15+1,0,IF(E3&lt;='Project Assumptions'!$I$15,Depreciation!F48,Depreciation!F48))*(1+Opcostescalation)*E$5/12</f>
        <v>623.65246090560004</v>
      </c>
      <c r="F72" s="320">
        <f>IF(F3&gt;'Project Assumptions'!$I$15+1,0,IF(F3&lt;='Project Assumptions'!$I$15,Depreciation!G48,Depreciation!G48))*(1+Opcostescalation)*F$5/12</f>
        <v>676.07542138752001</v>
      </c>
      <c r="G72" s="320">
        <f>IF(G3&gt;'Project Assumptions'!$I$15+1,0,IF(G3&lt;='Project Assumptions'!$I$15,Depreciation!H48,Depreciation!H48))*(1+Opcostescalation)*G$5/12</f>
        <v>683.30617455743993</v>
      </c>
      <c r="H72" s="320">
        <f>IF(H3&gt;'Project Assumptions'!$I$15+1,0,IF(H3&lt;='Project Assumptions'!$I$15,Depreciation!I48,Depreciation!I48))*(1+Opcostescalation)*H$5/12</f>
        <v>686.92155114240006</v>
      </c>
      <c r="I72" s="320">
        <f>IF(I3&gt;'Project Assumptions'!$I$15+1,0,IF(I3&lt;='Project Assumptions'!$I$15,Depreciation!J48,Depreciation!J48))*(1+Opcostescalation)*I$5/12</f>
        <v>686.92155114239995</v>
      </c>
      <c r="J72" s="320">
        <f>IF(J3&gt;'Project Assumptions'!$I$15+1,0,IF(J3&lt;='Project Assumptions'!$I$15,Depreciation!K48,Depreciation!K48))*(1+Opcostescalation)*J$5/12</f>
        <v>650.76778529279989</v>
      </c>
      <c r="K72" s="320">
        <f>IF(K3&gt;'Project Assumptions'!$I$15+1,0,IF(K3&lt;='Project Assumptions'!$I$15,Depreciation!L48,Depreciation!L48))*(1+Opcostescalation)*K$5/12</f>
        <v>614.61401944320005</v>
      </c>
      <c r="L72" s="320">
        <f>IF(L3&gt;'Project Assumptions'!$I$15+1,0,IF(L3&lt;='Project Assumptions'!$I$15,Depreciation!M48,Depreciation!M48))*(1+Opcostescalation)*L$5/12</f>
        <v>578.46025359359999</v>
      </c>
      <c r="M72" s="320">
        <f>IF(M3&gt;'Project Assumptions'!$I$15+1,0,IF(M3&lt;='Project Assumptions'!$I$15,Depreciation!N48,Depreciation!N48))*(1+Opcostescalation)*M$5/12</f>
        <v>542.30648774400004</v>
      </c>
      <c r="N72" s="320">
        <f>IF(N3&gt;'Project Assumptions'!$I$15+1,0,IF(N3&lt;='Project Assumptions'!$I$15,Depreciation!O48,Depreciation!O48))*(1+Opcostescalation)*N$5/12</f>
        <v>506.15272189440003</v>
      </c>
      <c r="O72" s="320">
        <f>IF(O3&gt;'Project Assumptions'!$I$15+1,0,IF(O3&lt;='Project Assumptions'!$I$15,Depreciation!P48,Depreciation!P48))*(1+Opcostescalation)*O$5/12</f>
        <v>469.99895604479997</v>
      </c>
      <c r="P72" s="320">
        <f>IF(P3&gt;'Project Assumptions'!$I$15+1,0,IF(P3&lt;='Project Assumptions'!$I$15,Depreciation!Q48,Depreciation!Q48))*(1+Opcostescalation)*P$5/12</f>
        <v>433.84519019520002</v>
      </c>
      <c r="Q72" s="320">
        <f>IF(Q3&gt;'Project Assumptions'!$I$15+1,0,IF(Q3&lt;='Project Assumptions'!$I$15,Depreciation!R48,Depreciation!R48))*(1+Opcostescalation)*Q$5/12</f>
        <v>397.69142434560007</v>
      </c>
      <c r="R72" s="320">
        <f>IF(R3&gt;'Project Assumptions'!$I$15+1,0,IF(R3&lt;='Project Assumptions'!$I$15,Depreciation!S48,Depreciation!S48))*(1+Opcostescalation)*R$5/12</f>
        <v>241.02510566399999</v>
      </c>
      <c r="S72"/>
      <c r="T72"/>
      <c r="U72"/>
      <c r="V72"/>
      <c r="W72"/>
      <c r="X72"/>
      <c r="Y72"/>
      <c r="Z72"/>
      <c r="AA72"/>
      <c r="AD72" s="207"/>
    </row>
    <row r="73" spans="1:30" s="207" customFormat="1" ht="13.2">
      <c r="A73" s="214" t="s">
        <v>293</v>
      </c>
      <c r="C73" s="321">
        <f>SUM(C66:C72)</f>
        <v>1064.7423828796159</v>
      </c>
      <c r="D73" s="321">
        <f t="shared" ref="D73:R73" si="11">SUM(D66:D72)</f>
        <v>2323.0751575030085</v>
      </c>
      <c r="E73" s="321">
        <f t="shared" si="11"/>
        <v>2416.7257977598338</v>
      </c>
      <c r="F73" s="321">
        <f t="shared" si="11"/>
        <v>2503.8256233788384</v>
      </c>
      <c r="G73" s="321">
        <f t="shared" si="11"/>
        <v>2546.4267789885848</v>
      </c>
      <c r="H73" s="321">
        <f t="shared" si="11"/>
        <v>2586.1199660621678</v>
      </c>
      <c r="I73" s="321">
        <f t="shared" si="11"/>
        <v>2622.9193327605631</v>
      </c>
      <c r="J73" s="321">
        <f t="shared" si="11"/>
        <v>2624.3009209433262</v>
      </c>
      <c r="K73" s="321">
        <f t="shared" si="11"/>
        <v>2626.4332162067367</v>
      </c>
      <c r="L73" s="321">
        <f t="shared" si="11"/>
        <v>2629.3312326924074</v>
      </c>
      <c r="M73" s="321">
        <f t="shared" si="11"/>
        <v>2633.0102848247839</v>
      </c>
      <c r="N73" s="321">
        <f t="shared" si="11"/>
        <v>2637.4859933167995</v>
      </c>
      <c r="O73" s="321">
        <f t="shared" si="11"/>
        <v>2642.7742912956469</v>
      </c>
      <c r="P73" s="321">
        <f t="shared" si="11"/>
        <v>2648.8914305510643</v>
      </c>
      <c r="Q73" s="321">
        <f t="shared" si="11"/>
        <v>2655.853987908582</v>
      </c>
      <c r="R73" s="321">
        <f t="shared" si="11"/>
        <v>1481.4633510520769</v>
      </c>
      <c r="S73"/>
      <c r="T73"/>
      <c r="U73"/>
      <c r="V73"/>
      <c r="W73"/>
      <c r="X73"/>
      <c r="Y73"/>
      <c r="Z73"/>
      <c r="AA73"/>
    </row>
    <row r="74" spans="1:30" s="212" customFormat="1" ht="13.2">
      <c r="A74" s="214"/>
      <c r="C74" s="318"/>
      <c r="D74" s="318"/>
      <c r="E74" s="353"/>
      <c r="F74" s="353"/>
      <c r="G74" s="353"/>
      <c r="H74" s="353"/>
      <c r="I74" s="353"/>
      <c r="J74" s="353"/>
      <c r="K74" s="353"/>
      <c r="L74" s="353"/>
      <c r="M74" s="353"/>
      <c r="N74" s="353"/>
      <c r="O74" s="353"/>
      <c r="P74" s="353"/>
      <c r="Q74" s="353"/>
      <c r="R74" s="318"/>
      <c r="S74"/>
      <c r="T74"/>
      <c r="U74"/>
      <c r="V74"/>
      <c r="W74"/>
      <c r="X74"/>
      <c r="Y74"/>
      <c r="Z74"/>
      <c r="AA74"/>
      <c r="AD74" s="207"/>
    </row>
    <row r="75" spans="1:30" s="207" customFormat="1" ht="13.2">
      <c r="A75" s="214" t="s">
        <v>294</v>
      </c>
      <c r="C75" s="450">
        <f>C73/('Project Assumptions'!$I$12*'Book Income Statement'!C5)</f>
        <v>0.50100808530002627</v>
      </c>
      <c r="D75" s="450">
        <f>D73/('Project Assumptions'!$I$12*'Book Income Statement'!D5)</f>
        <v>0.57615951326959536</v>
      </c>
      <c r="E75" s="450">
        <f>E73/('Project Assumptions'!$I$12*'Book Income Statement'!E5)</f>
        <v>0.59938635857138733</v>
      </c>
      <c r="F75" s="450">
        <f>F73/('Project Assumptions'!$I$12*'Book Income Statement'!F5)</f>
        <v>0.62098849786181509</v>
      </c>
      <c r="G75" s="450">
        <f>G73/('Project Assumptions'!$I$12*'Book Income Statement'!G5)</f>
        <v>0.63155426066185139</v>
      </c>
      <c r="H75" s="450">
        <f>H73/('Project Assumptions'!$I$12*'Book Income Statement'!H5)</f>
        <v>0.64139880110668845</v>
      </c>
      <c r="I75" s="450">
        <f>I73/('Project Assumptions'!$I$12*'Book Income Statement'!I5)</f>
        <v>0.65052562816482218</v>
      </c>
      <c r="J75" s="450">
        <f>J73/('Project Assumptions'!$I$12*'Book Income Statement'!J5)</f>
        <v>0.65086828396411855</v>
      </c>
      <c r="K75" s="450">
        <f>K73/('Project Assumptions'!$I$12*'Book Income Statement'!K5)</f>
        <v>0.65139712703540098</v>
      </c>
      <c r="L75" s="450">
        <f>L73/('Project Assumptions'!$I$12*'Book Income Statement'!L5)</f>
        <v>0.65211588112410901</v>
      </c>
      <c r="M75" s="450">
        <f>M73/('Project Assumptions'!$I$12*'Book Income Statement'!M5)</f>
        <v>0.65302834445059121</v>
      </c>
      <c r="N75" s="450">
        <f>N73/('Project Assumptions'!$I$12*'Book Income Statement'!N5)</f>
        <v>0.65413839119960304</v>
      </c>
      <c r="O75" s="450">
        <f>O73/('Project Assumptions'!$I$12*'Book Income Statement'!O5)</f>
        <v>0.65544997303959496</v>
      </c>
      <c r="P75" s="450">
        <f>P73/('Project Assumptions'!$I$12*'Book Income Statement'!P5)</f>
        <v>0.65696712067238694</v>
      </c>
      <c r="Q75" s="450">
        <f>Q73/('Project Assumptions'!$I$12*'Book Income Statement'!Q5)</f>
        <v>0.65869394541383486</v>
      </c>
      <c r="R75" s="450">
        <f>R73/('Project Assumptions'!$I$12*'Book Income Statement'!R5)</f>
        <v>0.55113963952830236</v>
      </c>
      <c r="S75"/>
      <c r="T75"/>
      <c r="U75"/>
      <c r="V75"/>
      <c r="W75"/>
      <c r="X75"/>
      <c r="Y75"/>
      <c r="Z75"/>
      <c r="AA75"/>
    </row>
    <row r="76" spans="1:30" s="207" customFormat="1" ht="13.2">
      <c r="A76" s="214"/>
      <c r="C76" s="323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/>
      <c r="T76"/>
      <c r="U76"/>
      <c r="V76"/>
      <c r="W76"/>
      <c r="X76"/>
      <c r="Y76"/>
      <c r="Z76"/>
      <c r="AA76"/>
    </row>
    <row r="77" spans="1:30" s="207" customFormat="1" ht="13.2">
      <c r="A77" s="294" t="s">
        <v>318</v>
      </c>
      <c r="S77"/>
      <c r="T77"/>
      <c r="U77"/>
      <c r="V77"/>
      <c r="W77"/>
      <c r="X77"/>
      <c r="Y77"/>
      <c r="Z77"/>
      <c r="AA77"/>
    </row>
    <row r="78" spans="1:30" s="212" customFormat="1" ht="13.2">
      <c r="A78" s="214" t="str">
        <f>'Project Assumptions'!K24</f>
        <v>Owner's contingency</v>
      </c>
      <c r="C78" s="318">
        <f>'Project Assumptions'!$N$24</f>
        <v>0</v>
      </c>
      <c r="D78" s="318">
        <f>IF(D$3&lt;='Project Assumptions'!$I$15,C78*(1+'Project Assumptions'!$N$19),C78*(1+'Project Assumptions'!$N$19))</f>
        <v>0</v>
      </c>
      <c r="E78" s="318">
        <f>IF(E$3&lt;='Project Assumptions'!$I$15,D78*(1+'Project Assumptions'!$N$19),D78*(1+'Project Assumptions'!$N$19))</f>
        <v>0</v>
      </c>
      <c r="F78" s="318">
        <f>IF(F$3&lt;='Project Assumptions'!$I$15,E78*(1+'Project Assumptions'!$N$19),E78*(1+'Project Assumptions'!$N$19))</f>
        <v>0</v>
      </c>
      <c r="G78" s="318">
        <f>IF(G$3&lt;='Project Assumptions'!$I$15,F78*(1+'Project Assumptions'!$N$19),F78*(1+'Project Assumptions'!$N$19))</f>
        <v>0</v>
      </c>
      <c r="H78" s="318">
        <f>IF(H$3&lt;='Project Assumptions'!$I$15,G78*(1+'Project Assumptions'!$N$19),G78*(1+'Project Assumptions'!$N$19))</f>
        <v>0</v>
      </c>
      <c r="I78" s="318">
        <f>IF(I$3&lt;='Project Assumptions'!$I$15,H78*(1+'Project Assumptions'!$N$19),H78*(1+'Project Assumptions'!$N$19))</f>
        <v>0</v>
      </c>
      <c r="J78" s="318">
        <f>IF(J$3&lt;='Project Assumptions'!$I$15,I78*(1+'Project Assumptions'!$N$19),I78*(1+'Project Assumptions'!$N$19))</f>
        <v>0</v>
      </c>
      <c r="K78" s="318">
        <f>IF(K$3&lt;='Project Assumptions'!$I$15,J78*(1+'Project Assumptions'!$N$19),J78*(1+'Project Assumptions'!$N$19))</f>
        <v>0</v>
      </c>
      <c r="L78" s="318">
        <f>IF(L$3&lt;='Project Assumptions'!$I$15,K78*(1+'Project Assumptions'!$N$19),K78*(1+'Project Assumptions'!$N$19))</f>
        <v>0</v>
      </c>
      <c r="M78" s="318">
        <f>IF(M$3&lt;='Project Assumptions'!$I$15,L78*(1+'Project Assumptions'!$N$19),L78*(1+'Project Assumptions'!$N$19))</f>
        <v>0</v>
      </c>
      <c r="N78" s="318">
        <f>IF(N$3&lt;='Project Assumptions'!$I$15,M78*(1+'Project Assumptions'!$N$19),M78*(1+'Project Assumptions'!$N$19))</f>
        <v>0</v>
      </c>
      <c r="O78" s="318">
        <f>IF(O$3&lt;='Project Assumptions'!$I$15,N78*(1+'Project Assumptions'!$N$19),N78*(1+'Project Assumptions'!$N$19))</f>
        <v>0</v>
      </c>
      <c r="P78" s="318">
        <f>IF(P$3&lt;='Project Assumptions'!$I$15,O78*(1+'Project Assumptions'!$N$19),O78*(1+'Project Assumptions'!$N$19))</f>
        <v>0</v>
      </c>
      <c r="Q78" s="318">
        <f>IF(Q$3&lt;='Project Assumptions'!$I$15,P78*(1+'Project Assumptions'!$N$19),P78*(1+'Project Assumptions'!$N$19))</f>
        <v>0</v>
      </c>
      <c r="R78" s="318">
        <f>IF(R$3&lt;='Project Assumptions'!$I$15,Q78*(1+'Project Assumptions'!$N$19),Q78*(1+'Project Assumptions'!$N$19))</f>
        <v>0</v>
      </c>
      <c r="S78"/>
      <c r="T78"/>
      <c r="U78"/>
      <c r="V78"/>
      <c r="W78"/>
      <c r="X78"/>
      <c r="Y78"/>
      <c r="Z78"/>
      <c r="AA78"/>
      <c r="AD78" s="207"/>
    </row>
    <row r="79" spans="1:30" s="212" customFormat="1" ht="13.2">
      <c r="A79" s="214" t="str">
        <f>'Project Assumptions'!K23</f>
        <v>Asset Management Fee</v>
      </c>
      <c r="C79" s="319">
        <f>Asset_Mgt*C5/12</f>
        <v>65.885416666666671</v>
      </c>
      <c r="D79" s="318">
        <f>IF(D$3&lt;='Project Assumptions'!$I$15,C79*12/C$5*(1+'Project Assumptions'!$N$19),C79*D$5/12*(1+'Project Assumptions'!$N$19))</f>
        <v>127.5</v>
      </c>
      <c r="E79" s="318">
        <f>IF(E$3&lt;='Project Assumptions'!$I$15,D79*12/D$5*(1+'Project Assumptions'!$N$19),D79*E$5/12*(1+'Project Assumptions'!$N$19))</f>
        <v>130.05000000000001</v>
      </c>
      <c r="F79" s="318">
        <f>IF(F$3&lt;='Project Assumptions'!$I$15,E79*12/E$5*(1+'Project Assumptions'!$N$19),E79*F$5/12*(1+'Project Assumptions'!$N$19))</f>
        <v>132.65100000000001</v>
      </c>
      <c r="G79" s="318">
        <f>IF(G$3&lt;='Project Assumptions'!$I$15,F79*12/F$5*(1+'Project Assumptions'!$N$19),F79*G$5/12*(1+'Project Assumptions'!$N$19))</f>
        <v>135.30402000000001</v>
      </c>
      <c r="H79" s="318">
        <f>IF(H$3&lt;='Project Assumptions'!$I$15,G79*12/G$5*(1+'Project Assumptions'!$N$19),G79*H$5/12*(1+'Project Assumptions'!$N$19))</f>
        <v>138.0101004</v>
      </c>
      <c r="I79" s="318">
        <f>IF(I$3&lt;='Project Assumptions'!$I$15,H79*12/H$5*(1+'Project Assumptions'!$N$19),H79*I$5/12*(1+'Project Assumptions'!$N$19))</f>
        <v>140.77030240799999</v>
      </c>
      <c r="J79" s="318">
        <f>IF(J$3&lt;='Project Assumptions'!$I$15,I79*12/I$5*(1+'Project Assumptions'!$N$19),I79*J$5/12*(1+'Project Assumptions'!$N$19))</f>
        <v>143.58570845616001</v>
      </c>
      <c r="K79" s="318">
        <f>IF(K$3&lt;='Project Assumptions'!$I$15,J79*12/J$5*(1+'Project Assumptions'!$N$19),J79*K$5/12*(1+'Project Assumptions'!$N$19))</f>
        <v>146.45742262528321</v>
      </c>
      <c r="L79" s="318">
        <f>IF(L$3&lt;='Project Assumptions'!$I$15,K79*12/K$5*(1+'Project Assumptions'!$N$19),K79*L$5/12*(1+'Project Assumptions'!$N$19))</f>
        <v>149.38657107778889</v>
      </c>
      <c r="M79" s="318">
        <f>IF(M$3&lt;='Project Assumptions'!$I$15,L79*12/L$5*(1+'Project Assumptions'!$N$19),L79*M$5/12*(1+'Project Assumptions'!$N$19))</f>
        <v>152.37430249934468</v>
      </c>
      <c r="N79" s="318">
        <f>IF(N$3&lt;='Project Assumptions'!$I$15,M79*12/M$5*(1+'Project Assumptions'!$N$19),M79*N$5/12*(1+'Project Assumptions'!$N$19))</f>
        <v>155.42178854933158</v>
      </c>
      <c r="O79" s="318">
        <f>IF(O$3&lt;='Project Assumptions'!$I$15,N79*12/N$5*(1+'Project Assumptions'!$N$19),N79*O$5/12*(1+'Project Assumptions'!$N$19))</f>
        <v>158.53022432031821</v>
      </c>
      <c r="P79" s="318">
        <f>IF(P$3&lt;='Project Assumptions'!$I$15,O79*12/O$5*(1+'Project Assumptions'!$N$19),O79*P$5/12*(1+'Project Assumptions'!$N$19))</f>
        <v>161.70082880672459</v>
      </c>
      <c r="Q79" s="318">
        <f>IF(Q$3&lt;='Project Assumptions'!$I$15,P79*12/P$5*(1+'Project Assumptions'!$N$19),P79*Q$5/12*(1+'Project Assumptions'!$N$19))</f>
        <v>164.93484538285909</v>
      </c>
      <c r="R79" s="318">
        <f>IF(R$3&lt;='Project Assumptions'!$I$15,Q79*12/Q$5*(1+'Project Assumptions'!$N$19),Q79*R$5/12*(1+'Project Assumptions'!$N$19))</f>
        <v>112.1556948603442</v>
      </c>
      <c r="S79"/>
      <c r="T79"/>
      <c r="U79"/>
      <c r="V79"/>
      <c r="W79"/>
      <c r="X79"/>
      <c r="Y79"/>
      <c r="Z79"/>
      <c r="AA79"/>
      <c r="AD79" s="207"/>
    </row>
    <row r="80" spans="1:30" s="212" customFormat="1" ht="15">
      <c r="A80" s="214" t="str">
        <f>'Project Assumptions'!K22</f>
        <v>Operation &amp; Maintenance Fee</v>
      </c>
      <c r="C80" s="320">
        <f>OM_Fee*C5/12</f>
        <v>80.643749999999997</v>
      </c>
      <c r="D80" s="320">
        <f>IF(D$3&lt;='Project Assumptions'!$I$15,C80*12/C$5*(1+'Project Assumptions'!$N$19),C80*D$5/12*(1+'Project Assumptions'!$N$19))</f>
        <v>156.05999999999997</v>
      </c>
      <c r="E80" s="320">
        <f>IF(E$3&lt;='Project Assumptions'!$I$15,D80*12/D$5*(1+'Project Assumptions'!$N$19),D80*E$5/12*(1+'Project Assumptions'!$N$19))</f>
        <v>159.18119999999999</v>
      </c>
      <c r="F80" s="320">
        <f>IF(F$3&lt;='Project Assumptions'!$I$15,E80*12/E$5*(1+'Project Assumptions'!$N$19),E80*F$5/12*(1+'Project Assumptions'!$N$19))</f>
        <v>162.364824</v>
      </c>
      <c r="G80" s="320">
        <f>IF(G$3&lt;='Project Assumptions'!$I$15,F80*12/F$5*(1+'Project Assumptions'!$N$19),F80*G$5/12*(1+'Project Assumptions'!$N$19))</f>
        <v>165.61212048000002</v>
      </c>
      <c r="H80" s="320">
        <f>IF(H$3&lt;='Project Assumptions'!$I$15,G80*12/G$5*(1+'Project Assumptions'!$N$19),G80*H$5/12*(1+'Project Assumptions'!$N$19))</f>
        <v>168.92436288960002</v>
      </c>
      <c r="I80" s="320">
        <f>IF(I$3&lt;='Project Assumptions'!$I$15,H80*12/H$5*(1+'Project Assumptions'!$N$19),H80*I$5/12*(1+'Project Assumptions'!$N$19))</f>
        <v>172.30285014739204</v>
      </c>
      <c r="J80" s="320">
        <f>IF(J$3&lt;='Project Assumptions'!$I$15,I80*12/I$5*(1+'Project Assumptions'!$N$19),I80*J$5/12*(1+'Project Assumptions'!$N$19))</f>
        <v>175.74890715033987</v>
      </c>
      <c r="K80" s="320">
        <f>IF(K$3&lt;='Project Assumptions'!$I$15,J80*12/J$5*(1+'Project Assumptions'!$N$19),J80*K$5/12*(1+'Project Assumptions'!$N$19))</f>
        <v>179.26388529334668</v>
      </c>
      <c r="L80" s="320">
        <f>IF(L$3&lt;='Project Assumptions'!$I$15,K80*12/K$5*(1+'Project Assumptions'!$N$19),K80*L$5/12*(1+'Project Assumptions'!$N$19))</f>
        <v>182.8491629992136</v>
      </c>
      <c r="M80" s="320">
        <f>IF(M$3&lt;='Project Assumptions'!$I$15,L80*12/L$5*(1+'Project Assumptions'!$N$19),L80*M$5/12*(1+'Project Assumptions'!$N$19))</f>
        <v>186.50614625919789</v>
      </c>
      <c r="N80" s="320">
        <f>IF(N$3&lt;='Project Assumptions'!$I$15,M80*12/M$5*(1+'Project Assumptions'!$N$19),M80*N$5/12*(1+'Project Assumptions'!$N$19))</f>
        <v>190.23626918438185</v>
      </c>
      <c r="O80" s="320">
        <f>IF(O$3&lt;='Project Assumptions'!$I$15,N80*12/N$5*(1+'Project Assumptions'!$N$19),N80*O$5/12*(1+'Project Assumptions'!$N$19))</f>
        <v>194.04099456806949</v>
      </c>
      <c r="P80" s="320">
        <f>IF(P$3&lt;='Project Assumptions'!$I$15,O80*12/O$5*(1+'Project Assumptions'!$N$19),O80*P$5/12*(1+'Project Assumptions'!$N$19))</f>
        <v>197.92181445943092</v>
      </c>
      <c r="Q80" s="320">
        <f>IF(Q$3&lt;='Project Assumptions'!$I$15,P80*12/P$5*(1+'Project Assumptions'!$N$19),P80*Q$5/12*(1+'Project Assumptions'!$N$19))</f>
        <v>201.88025074861955</v>
      </c>
      <c r="R80" s="320">
        <f>IF(R$3&lt;='Project Assumptions'!$I$15,Q80*12/Q$5*(1+'Project Assumptions'!$N$19),Q80*R$5/12*(1+'Project Assumptions'!$N$19))</f>
        <v>137.2785705090613</v>
      </c>
      <c r="S80"/>
      <c r="T80"/>
      <c r="U80"/>
      <c r="V80"/>
      <c r="W80"/>
      <c r="X80"/>
      <c r="Y80"/>
      <c r="Z80"/>
      <c r="AA80"/>
      <c r="AD80" s="207"/>
    </row>
    <row r="81" spans="1:30" s="212" customFormat="1" ht="13.2">
      <c r="A81" s="214" t="s">
        <v>296</v>
      </c>
      <c r="C81" s="318">
        <f>SUM(C78:C80)</f>
        <v>146.52916666666667</v>
      </c>
      <c r="D81" s="318">
        <f t="shared" ref="D81:R81" si="12">SUM(D78:D80)</f>
        <v>283.55999999999995</v>
      </c>
      <c r="E81" s="318">
        <f t="shared" si="12"/>
        <v>289.2312</v>
      </c>
      <c r="F81" s="318">
        <f t="shared" si="12"/>
        <v>295.01582400000001</v>
      </c>
      <c r="G81" s="318">
        <f t="shared" si="12"/>
        <v>300.91614048000002</v>
      </c>
      <c r="H81" s="318">
        <f t="shared" si="12"/>
        <v>306.93446328959999</v>
      </c>
      <c r="I81" s="318">
        <f t="shared" si="12"/>
        <v>313.07315255539203</v>
      </c>
      <c r="J81" s="318">
        <f t="shared" si="12"/>
        <v>319.33461560649988</v>
      </c>
      <c r="K81" s="318">
        <f t="shared" si="12"/>
        <v>325.72130791862992</v>
      </c>
      <c r="L81" s="318">
        <f t="shared" si="12"/>
        <v>332.23573407700246</v>
      </c>
      <c r="M81" s="318">
        <f t="shared" si="12"/>
        <v>338.88044875854257</v>
      </c>
      <c r="N81" s="318">
        <f t="shared" si="12"/>
        <v>345.65805773371346</v>
      </c>
      <c r="O81" s="318">
        <f t="shared" si="12"/>
        <v>352.5712188883877</v>
      </c>
      <c r="P81" s="318">
        <f t="shared" si="12"/>
        <v>359.62264326615548</v>
      </c>
      <c r="Q81" s="318">
        <f t="shared" si="12"/>
        <v>366.81509613147864</v>
      </c>
      <c r="R81" s="318">
        <f t="shared" si="12"/>
        <v>249.43426536940549</v>
      </c>
      <c r="S81"/>
      <c r="T81"/>
      <c r="U81"/>
      <c r="V81"/>
      <c r="W81"/>
      <c r="X81"/>
      <c r="Y81"/>
      <c r="Z81"/>
      <c r="AA81"/>
      <c r="AD81" s="207"/>
    </row>
    <row r="82" spans="1:30" s="212" customFormat="1" ht="13.2">
      <c r="A82" s="214"/>
      <c r="B82" s="212">
        <f>SUM(C81:R81)</f>
        <v>4925.5333347414744</v>
      </c>
      <c r="C82" s="318">
        <f>SUM(C8:R8)</f>
        <v>6143.6637945621405</v>
      </c>
      <c r="D82" s="318">
        <f>+C82-B82</f>
        <v>1218.1304598206661</v>
      </c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/>
      <c r="T82"/>
      <c r="U82"/>
      <c r="V82"/>
      <c r="W82"/>
      <c r="X82"/>
      <c r="Y82"/>
      <c r="Z82"/>
      <c r="AA82"/>
      <c r="AD82" s="207"/>
    </row>
    <row r="83" spans="1:30" s="207" customFormat="1" ht="13.2">
      <c r="A83" s="214" t="s">
        <v>295</v>
      </c>
      <c r="C83" s="450">
        <f>C81/('Project Assumptions'!$I$12*'Book Income Statement'!C$5)</f>
        <v>6.8948412698412689E-2</v>
      </c>
      <c r="D83" s="450">
        <f>D81/('Project Assumptions'!$I$12*'Book Income Statement'!D5)</f>
        <v>7.0327380952380933E-2</v>
      </c>
      <c r="E83" s="450">
        <f>E81/('Project Assumptions'!$I$12*'Book Income Statement'!E5)</f>
        <v>7.1733928571428573E-2</v>
      </c>
      <c r="F83" s="450">
        <f>F81/('Project Assumptions'!$I$12*'Book Income Statement'!F5)</f>
        <v>7.3168607142857139E-2</v>
      </c>
      <c r="G83" s="450">
        <f>G81/('Project Assumptions'!$I$12*'Book Income Statement'!G5)</f>
        <v>7.4631979285714287E-2</v>
      </c>
      <c r="H83" s="450">
        <f>H81/('Project Assumptions'!$I$12*'Book Income Statement'!H5)</f>
        <v>7.6124618871428573E-2</v>
      </c>
      <c r="I83" s="450">
        <f>I81/('Project Assumptions'!$I$12*'Book Income Statement'!I5)</f>
        <v>7.7647111248857148E-2</v>
      </c>
      <c r="J83" s="450">
        <f>J81/('Project Assumptions'!$I$12*'Book Income Statement'!J5)</f>
        <v>7.9200053473834298E-2</v>
      </c>
      <c r="K83" s="450">
        <f>K81/('Project Assumptions'!$I$12*'Book Income Statement'!K5)</f>
        <v>8.0784054543310987E-2</v>
      </c>
      <c r="L83" s="450">
        <f>L81/('Project Assumptions'!$I$12*'Book Income Statement'!L5)</f>
        <v>8.2399735634177199E-2</v>
      </c>
      <c r="M83" s="450">
        <f>M81/('Project Assumptions'!$I$12*'Book Income Statement'!M5)</f>
        <v>8.4047730346860763E-2</v>
      </c>
      <c r="N83" s="450">
        <f>N81/('Project Assumptions'!$I$12*'Book Income Statement'!N5)</f>
        <v>8.5728684953797984E-2</v>
      </c>
      <c r="O83" s="450">
        <f>O81/('Project Assumptions'!$I$12*'Book Income Statement'!O5)</f>
        <v>8.7443258652873931E-2</v>
      </c>
      <c r="P83" s="450">
        <f>P81/('Project Assumptions'!$I$12*'Book Income Statement'!P5)</f>
        <v>8.9192123825931419E-2</v>
      </c>
      <c r="Q83" s="450">
        <f>Q81/('Project Assumptions'!$I$12*'Book Income Statement'!Q5)</f>
        <v>9.0975966302450056E-2</v>
      </c>
      <c r="R83" s="450">
        <f>R81/('Project Assumptions'!$I$12*'Book Income Statement'!R5)</f>
        <v>9.2795485628499069E-2</v>
      </c>
      <c r="S83"/>
      <c r="T83"/>
      <c r="U83"/>
      <c r="V83"/>
      <c r="W83"/>
      <c r="X83"/>
      <c r="Y83"/>
      <c r="Z83"/>
      <c r="AA83"/>
    </row>
    <row r="84" spans="1:30" s="207" customFormat="1" ht="13.2">
      <c r="A84" s="214"/>
      <c r="B84" s="221"/>
      <c r="C84" s="336"/>
      <c r="D84" s="336"/>
      <c r="E84" s="336"/>
      <c r="F84" s="336"/>
      <c r="G84" s="336"/>
      <c r="H84" s="336"/>
      <c r="I84" s="336"/>
      <c r="J84" s="336"/>
      <c r="K84" s="336"/>
      <c r="L84" s="336"/>
      <c r="M84" s="336"/>
      <c r="N84" s="336"/>
      <c r="O84" s="336"/>
      <c r="P84" s="336"/>
      <c r="Q84" s="336"/>
      <c r="R84" s="336"/>
      <c r="S84"/>
      <c r="T84"/>
      <c r="U84"/>
      <c r="V84"/>
      <c r="W84"/>
      <c r="X84"/>
      <c r="Y84"/>
      <c r="Z84"/>
      <c r="AA84"/>
    </row>
    <row r="85" spans="1:30" s="207" customFormat="1" ht="13.2">
      <c r="S85"/>
      <c r="T85"/>
      <c r="U85"/>
      <c r="V85"/>
      <c r="W85"/>
      <c r="X85"/>
      <c r="Y85"/>
      <c r="Z85"/>
      <c r="AA85"/>
    </row>
    <row r="86" spans="1:30" s="207" customFormat="1" ht="13.2">
      <c r="A86" s="207" t="s">
        <v>298</v>
      </c>
      <c r="C86" s="321">
        <f t="shared" ref="C86:R86" si="13">C73+C81</f>
        <v>1211.2715495462826</v>
      </c>
      <c r="D86" s="321">
        <f t="shared" si="13"/>
        <v>2606.6351575030085</v>
      </c>
      <c r="E86" s="321">
        <f t="shared" si="13"/>
        <v>2705.9569977598339</v>
      </c>
      <c r="F86" s="321">
        <f t="shared" si="13"/>
        <v>2798.8414473788384</v>
      </c>
      <c r="G86" s="321">
        <f t="shared" si="13"/>
        <v>2847.342919468585</v>
      </c>
      <c r="H86" s="321">
        <f t="shared" si="13"/>
        <v>2893.0544293517678</v>
      </c>
      <c r="I86" s="321">
        <f t="shared" si="13"/>
        <v>2935.992485315955</v>
      </c>
      <c r="J86" s="321">
        <f t="shared" si="13"/>
        <v>2943.6355365498262</v>
      </c>
      <c r="K86" s="321">
        <f t="shared" si="13"/>
        <v>2952.1545241253666</v>
      </c>
      <c r="L86" s="321">
        <f t="shared" si="13"/>
        <v>2961.5669667694101</v>
      </c>
      <c r="M86" s="321">
        <f t="shared" si="13"/>
        <v>2971.8907335833264</v>
      </c>
      <c r="N86" s="321">
        <f t="shared" si="13"/>
        <v>2983.1440510505131</v>
      </c>
      <c r="O86" s="321">
        <f t="shared" si="13"/>
        <v>2995.3455101840345</v>
      </c>
      <c r="P86" s="321">
        <f t="shared" si="13"/>
        <v>3008.5140738172199</v>
      </c>
      <c r="Q86" s="321">
        <f t="shared" si="13"/>
        <v>3022.6690840400606</v>
      </c>
      <c r="R86" s="321">
        <f t="shared" si="13"/>
        <v>1730.8976164214823</v>
      </c>
      <c r="S86"/>
      <c r="T86"/>
      <c r="U86"/>
      <c r="V86"/>
      <c r="W86"/>
      <c r="X86"/>
      <c r="Y86"/>
      <c r="Z86"/>
      <c r="AA86"/>
    </row>
    <row r="87" spans="1:30" s="212" customFormat="1" ht="13.2">
      <c r="A87" s="11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18"/>
      <c r="N87" s="318"/>
      <c r="O87" s="318"/>
      <c r="P87" s="318"/>
      <c r="Q87" s="318"/>
      <c r="R87" s="318"/>
      <c r="S87"/>
      <c r="T87"/>
      <c r="U87"/>
      <c r="V87"/>
      <c r="W87"/>
      <c r="X87"/>
      <c r="Y87"/>
      <c r="Z87"/>
      <c r="AA87"/>
      <c r="AD87" s="207"/>
    </row>
    <row r="88" spans="1:30" s="212" customFormat="1" ht="13.2">
      <c r="A88" s="207" t="s">
        <v>299</v>
      </c>
      <c r="C88" s="450">
        <f>C86/('Project Assumptions'!$I$12*'Book Income Statement'!C$5)</f>
        <v>0.56995649799843895</v>
      </c>
      <c r="D88" s="450">
        <f>D86/('Project Assumptions'!$I$12*'Book Income Statement'!D$5)</f>
        <v>0.64648689422197636</v>
      </c>
      <c r="E88" s="450">
        <f>E86/('Project Assumptions'!$I$12*'Book Income Statement'!E$5)</f>
        <v>0.67112028714281591</v>
      </c>
      <c r="F88" s="450">
        <f>F86/('Project Assumptions'!$I$12*'Book Income Statement'!F$5)</f>
        <v>0.6941571050046722</v>
      </c>
      <c r="G88" s="450">
        <f>G86/('Project Assumptions'!$I$12*'Book Income Statement'!G$5)</f>
        <v>0.70618623994756569</v>
      </c>
      <c r="H88" s="450">
        <f>H86/('Project Assumptions'!$I$12*'Book Income Statement'!H$5)</f>
        <v>0.71752341997811697</v>
      </c>
      <c r="I88" s="450">
        <f>I86/('Project Assumptions'!$I$12*'Book Income Statement'!I$5)</f>
        <v>0.72817273941367933</v>
      </c>
      <c r="J88" s="450">
        <f>J86/('Project Assumptions'!$I$12*'Book Income Statement'!J$5)</f>
        <v>0.73006833743795296</v>
      </c>
      <c r="K88" s="450">
        <f>K86/('Project Assumptions'!$I$12*'Book Income Statement'!K$5)</f>
        <v>0.73218118157871193</v>
      </c>
      <c r="L88" s="450">
        <f>L86/('Project Assumptions'!$I$12*'Book Income Statement'!L$5)</f>
        <v>0.73451561675828625</v>
      </c>
      <c r="M88" s="450">
        <f>M86/('Project Assumptions'!$I$12*'Book Income Statement'!M$5)</f>
        <v>0.73707607479745196</v>
      </c>
      <c r="N88" s="450">
        <f>N86/('Project Assumptions'!$I$12*'Book Income Statement'!N$5)</f>
        <v>0.73986707615340108</v>
      </c>
      <c r="O88" s="450">
        <f>O86/('Project Assumptions'!$I$12*'Book Income Statement'!O$5)</f>
        <v>0.7428932316924689</v>
      </c>
      <c r="P88" s="450">
        <f>P86/('Project Assumptions'!$I$12*'Book Income Statement'!P$5)</f>
        <v>0.74615924449831839</v>
      </c>
      <c r="Q88" s="450">
        <f>Q86/('Project Assumptions'!$I$12*'Book Income Statement'!Q$5)</f>
        <v>0.74966991171628483</v>
      </c>
      <c r="R88" s="450">
        <f>R86/('Project Assumptions'!$I$12*'Book Income Statement'!R$5)</f>
        <v>0.64393512515680151</v>
      </c>
      <c r="S88"/>
      <c r="T88"/>
      <c r="U88"/>
      <c r="V88"/>
      <c r="W88"/>
      <c r="X88"/>
      <c r="Y88"/>
      <c r="Z88"/>
      <c r="AA88"/>
      <c r="AD88" s="207"/>
    </row>
    <row r="89" spans="1:30" s="212" customFormat="1" ht="12.6" customHeight="1">
      <c r="A89" s="214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/>
      <c r="T89"/>
      <c r="U89"/>
      <c r="V89"/>
      <c r="W89"/>
      <c r="X89"/>
      <c r="Y89"/>
      <c r="Z89"/>
      <c r="AA89"/>
      <c r="AD89" s="207"/>
    </row>
    <row r="90" spans="1:30" s="212" customFormat="1" ht="12.6" customHeight="1">
      <c r="A90" s="214"/>
      <c r="B90" s="207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3"/>
      <c r="N90" s="323"/>
      <c r="O90" s="323"/>
      <c r="P90" s="323"/>
      <c r="Q90" s="323"/>
      <c r="R90" s="323"/>
      <c r="S90"/>
      <c r="T90"/>
      <c r="U90"/>
      <c r="V90"/>
      <c r="W90"/>
      <c r="X90"/>
      <c r="Y90"/>
      <c r="Z90"/>
      <c r="AA90"/>
      <c r="AD90" s="207"/>
    </row>
    <row r="91" spans="1:30" s="212" customFormat="1" ht="12.6" customHeight="1">
      <c r="S91"/>
      <c r="T91"/>
      <c r="U91"/>
      <c r="V91"/>
      <c r="W91"/>
      <c r="X91"/>
      <c r="Y91"/>
      <c r="Z91"/>
      <c r="AA91"/>
      <c r="AD91" s="207"/>
    </row>
    <row r="92" spans="1:30" s="212" customFormat="1" ht="12.6" customHeight="1">
      <c r="A92" s="214"/>
      <c r="C92" s="320"/>
      <c r="D92" s="320"/>
      <c r="E92" s="320"/>
      <c r="F92" s="320"/>
      <c r="G92" s="320"/>
      <c r="H92" s="320"/>
      <c r="I92" s="320"/>
      <c r="J92" s="320"/>
      <c r="K92" s="320"/>
      <c r="L92" s="320"/>
      <c r="M92" s="320"/>
      <c r="N92" s="320"/>
      <c r="O92" s="320"/>
      <c r="P92" s="320"/>
      <c r="Q92" s="320"/>
      <c r="R92" s="320"/>
      <c r="S92"/>
      <c r="T92"/>
      <c r="U92"/>
      <c r="V92"/>
      <c r="W92"/>
      <c r="X92"/>
      <c r="Y92"/>
      <c r="Z92"/>
      <c r="AA92"/>
      <c r="AD92" s="207"/>
    </row>
    <row r="93" spans="1:30" s="207" customFormat="1" ht="12.6" customHeight="1">
      <c r="C93" s="321"/>
      <c r="D93" s="321"/>
      <c r="E93" s="321"/>
      <c r="F93" s="321"/>
      <c r="G93" s="321"/>
      <c r="H93" s="321"/>
      <c r="I93" s="321"/>
      <c r="J93" s="321"/>
      <c r="K93" s="321"/>
      <c r="L93" s="321"/>
      <c r="M93" s="321"/>
      <c r="N93" s="321"/>
      <c r="O93" s="321"/>
      <c r="P93" s="321"/>
      <c r="Q93" s="321"/>
      <c r="R93" s="321"/>
      <c r="S93"/>
      <c r="T93"/>
      <c r="U93"/>
      <c r="V93"/>
      <c r="W93"/>
      <c r="X93"/>
      <c r="Y93"/>
      <c r="Z93"/>
      <c r="AA93"/>
    </row>
    <row r="94" spans="1:30" s="207" customFormat="1" ht="12.6" customHeight="1">
      <c r="C94" s="322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S94"/>
      <c r="T94"/>
      <c r="U94"/>
      <c r="V94"/>
      <c r="W94"/>
      <c r="X94"/>
      <c r="Y94"/>
      <c r="Z94"/>
      <c r="AA94"/>
    </row>
    <row r="95" spans="1:30" s="207" customFormat="1" ht="12.6" customHeight="1">
      <c r="A95" s="11"/>
      <c r="S95"/>
      <c r="T95"/>
      <c r="U95"/>
      <c r="V95"/>
      <c r="W95"/>
      <c r="X95"/>
      <c r="Y95"/>
      <c r="Z95"/>
      <c r="AA95"/>
    </row>
    <row r="96" spans="1:30" s="212" customFormat="1" ht="12.6" customHeight="1">
      <c r="A96" s="214"/>
      <c r="C96" s="318"/>
      <c r="D96" s="318"/>
      <c r="E96" s="318"/>
      <c r="F96" s="318"/>
      <c r="G96" s="318"/>
      <c r="H96" s="318"/>
      <c r="I96" s="318"/>
      <c r="J96" s="318"/>
      <c r="K96" s="318"/>
      <c r="L96" s="318"/>
      <c r="M96" s="318"/>
      <c r="N96" s="318"/>
      <c r="O96" s="318"/>
      <c r="P96" s="318"/>
      <c r="Q96" s="318"/>
      <c r="R96" s="318"/>
      <c r="S96"/>
      <c r="T96"/>
      <c r="U96"/>
      <c r="V96"/>
      <c r="W96"/>
      <c r="X96"/>
      <c r="Y96"/>
      <c r="Z96"/>
      <c r="AA96"/>
      <c r="AD96" s="207"/>
    </row>
    <row r="97" spans="1:30" s="212" customFormat="1" ht="12.6" customHeight="1">
      <c r="A97" s="214"/>
      <c r="C97" s="318"/>
      <c r="D97" s="318"/>
      <c r="E97" s="318"/>
      <c r="F97" s="318"/>
      <c r="G97" s="318"/>
      <c r="H97" s="318"/>
      <c r="I97" s="318"/>
      <c r="J97" s="318"/>
      <c r="K97" s="318"/>
      <c r="L97" s="318"/>
      <c r="M97" s="318"/>
      <c r="N97" s="318"/>
      <c r="O97" s="318"/>
      <c r="P97" s="318"/>
      <c r="Q97" s="318"/>
      <c r="R97" s="318"/>
      <c r="S97"/>
      <c r="T97"/>
      <c r="U97"/>
      <c r="V97"/>
      <c r="W97"/>
      <c r="X97"/>
      <c r="Y97"/>
      <c r="Z97"/>
      <c r="AA97"/>
      <c r="AD97" s="207"/>
    </row>
    <row r="98" spans="1:30" s="212" customFormat="1" ht="12.6" customHeight="1">
      <c r="A98" s="214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18"/>
      <c r="N98" s="318"/>
      <c r="O98" s="318"/>
      <c r="P98" s="318"/>
      <c r="Q98" s="318"/>
      <c r="R98" s="324"/>
      <c r="S98"/>
      <c r="T98"/>
      <c r="U98"/>
      <c r="V98"/>
      <c r="W98"/>
      <c r="X98"/>
      <c r="Y98"/>
      <c r="Z98"/>
      <c r="AA98"/>
      <c r="AD98" s="207"/>
    </row>
    <row r="99" spans="1:30" s="212" customFormat="1" ht="12.6" customHeight="1">
      <c r="A99" s="214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18"/>
      <c r="N99" s="318"/>
      <c r="O99" s="318"/>
      <c r="P99" s="318"/>
      <c r="Q99" s="318"/>
      <c r="R99" s="318"/>
      <c r="S99"/>
      <c r="T99"/>
      <c r="U99"/>
      <c r="V99"/>
      <c r="W99"/>
      <c r="X99"/>
      <c r="Y99"/>
      <c r="Z99"/>
      <c r="AA99"/>
      <c r="AD99" s="207"/>
    </row>
    <row r="100" spans="1:30" s="212" customFormat="1" ht="12.6" customHeight="1">
      <c r="A100" s="214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/>
      <c r="T100"/>
      <c r="U100"/>
      <c r="V100"/>
      <c r="W100"/>
      <c r="X100"/>
      <c r="Y100"/>
      <c r="Z100"/>
      <c r="AA100"/>
      <c r="AD100" s="207"/>
    </row>
    <row r="101" spans="1:30" s="212" customFormat="1" ht="12.6" customHeight="1">
      <c r="A101" s="214"/>
      <c r="C101" s="318"/>
      <c r="D101" s="318"/>
      <c r="E101" s="318"/>
      <c r="F101" s="318"/>
      <c r="G101" s="318"/>
      <c r="H101" s="318"/>
      <c r="I101" s="318"/>
      <c r="J101" s="318"/>
      <c r="K101" s="318"/>
      <c r="L101" s="318"/>
      <c r="M101" s="318"/>
      <c r="N101" s="318"/>
      <c r="O101" s="318"/>
      <c r="P101" s="318"/>
      <c r="Q101" s="318"/>
      <c r="R101" s="318"/>
      <c r="S101"/>
      <c r="T101"/>
      <c r="U101"/>
      <c r="V101"/>
      <c r="W101"/>
      <c r="X101"/>
      <c r="Y101"/>
      <c r="Z101"/>
      <c r="AA101"/>
      <c r="AD101" s="207"/>
    </row>
    <row r="102" spans="1:30" s="212" customFormat="1" ht="12.6" customHeight="1">
      <c r="A102" s="214"/>
      <c r="C102" s="318"/>
      <c r="D102" s="318"/>
      <c r="E102" s="318"/>
      <c r="F102" s="318"/>
      <c r="G102" s="318"/>
      <c r="H102" s="318"/>
      <c r="I102" s="318"/>
      <c r="J102" s="318"/>
      <c r="K102" s="318"/>
      <c r="L102" s="318"/>
      <c r="M102" s="318"/>
      <c r="N102" s="318"/>
      <c r="O102" s="318"/>
      <c r="P102" s="318"/>
      <c r="Q102" s="318"/>
      <c r="R102" s="318"/>
      <c r="S102"/>
      <c r="T102"/>
      <c r="U102"/>
      <c r="V102"/>
      <c r="W102"/>
      <c r="X102"/>
      <c r="Y102"/>
      <c r="Z102"/>
      <c r="AA102"/>
      <c r="AD102" s="207"/>
    </row>
    <row r="103" spans="1:30" s="207" customFormat="1" ht="12.6" customHeight="1">
      <c r="A103" s="214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8"/>
      <c r="N103" s="318"/>
      <c r="O103" s="318"/>
      <c r="P103" s="318"/>
      <c r="Q103" s="318"/>
      <c r="S103"/>
      <c r="T103"/>
      <c r="U103"/>
      <c r="V103"/>
      <c r="W103"/>
      <c r="X103"/>
      <c r="Y103"/>
      <c r="Z103"/>
      <c r="AA103"/>
    </row>
    <row r="104" spans="1:30" s="207" customFormat="1" ht="12.6" customHeight="1">
      <c r="A104" s="214"/>
      <c r="C104" s="318"/>
      <c r="D104" s="318"/>
      <c r="E104" s="318"/>
      <c r="F104" s="318"/>
      <c r="G104" s="318"/>
      <c r="H104" s="318"/>
      <c r="I104" s="318"/>
      <c r="J104" s="318"/>
      <c r="K104" s="318"/>
      <c r="L104" s="318"/>
      <c r="M104" s="318"/>
      <c r="N104" s="318"/>
      <c r="O104" s="318"/>
      <c r="P104" s="318"/>
      <c r="Q104" s="318"/>
      <c r="S104"/>
      <c r="T104"/>
      <c r="U104"/>
      <c r="V104"/>
      <c r="W104"/>
      <c r="X104"/>
      <c r="Y104"/>
      <c r="Z104"/>
      <c r="AA104"/>
    </row>
    <row r="105" spans="1:30" s="207" customFormat="1" ht="12.6" customHeight="1">
      <c r="A105" s="214"/>
      <c r="C105" s="318"/>
      <c r="D105" s="318"/>
      <c r="E105" s="318"/>
      <c r="F105" s="318"/>
      <c r="G105" s="318"/>
      <c r="H105" s="318"/>
      <c r="I105" s="318"/>
      <c r="J105" s="318"/>
      <c r="K105" s="318"/>
      <c r="L105" s="318"/>
      <c r="M105" s="318"/>
      <c r="N105" s="318"/>
      <c r="O105" s="318"/>
      <c r="P105" s="318"/>
      <c r="Q105" s="318"/>
      <c r="S105"/>
      <c r="T105"/>
      <c r="U105"/>
      <c r="V105"/>
      <c r="W105"/>
      <c r="X105"/>
      <c r="Y105"/>
      <c r="Z105"/>
      <c r="AA105"/>
    </row>
    <row r="106" spans="1:30" s="212" customFormat="1" ht="12.6" customHeight="1">
      <c r="A106" s="214"/>
      <c r="C106" s="317"/>
      <c r="D106" s="317"/>
      <c r="E106" s="317"/>
      <c r="F106" s="317"/>
      <c r="G106" s="317"/>
      <c r="H106" s="317"/>
      <c r="I106" s="317"/>
      <c r="J106" s="317"/>
      <c r="K106" s="317"/>
      <c r="L106" s="317"/>
      <c r="M106" s="317"/>
      <c r="N106" s="317"/>
      <c r="O106" s="317"/>
      <c r="P106" s="317"/>
      <c r="Q106" s="317"/>
      <c r="R106" s="325"/>
      <c r="S106"/>
      <c r="T106"/>
      <c r="U106"/>
      <c r="V106"/>
      <c r="W106"/>
      <c r="X106"/>
      <c r="Y106"/>
      <c r="Z106"/>
      <c r="AA106"/>
      <c r="AD106" s="207"/>
    </row>
    <row r="107" spans="1:30" s="212" customFormat="1" ht="12.6" customHeight="1">
      <c r="A107" s="21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1"/>
      <c r="M107" s="321"/>
      <c r="N107" s="321"/>
      <c r="O107" s="321"/>
      <c r="P107" s="321"/>
      <c r="Q107" s="321"/>
      <c r="R107" s="318"/>
      <c r="S107"/>
      <c r="T107"/>
      <c r="U107"/>
      <c r="V107"/>
      <c r="W107"/>
      <c r="X107"/>
      <c r="Y107"/>
      <c r="Z107"/>
      <c r="AA107"/>
      <c r="AD107" s="207"/>
    </row>
    <row r="108" spans="1:30" s="212" customFormat="1" ht="12.6" customHeight="1">
      <c r="S108"/>
      <c r="T108"/>
      <c r="U108"/>
      <c r="V108"/>
      <c r="W108"/>
      <c r="X108"/>
      <c r="Y108"/>
      <c r="Z108"/>
      <c r="AA108"/>
      <c r="AD108" s="207"/>
    </row>
    <row r="109" spans="1:30" s="212" customFormat="1" ht="12.6" customHeight="1">
      <c r="S109"/>
      <c r="T109"/>
      <c r="U109"/>
      <c r="V109"/>
      <c r="W109"/>
      <c r="X109"/>
      <c r="Y109"/>
      <c r="Z109"/>
      <c r="AA109"/>
      <c r="AD109" s="207"/>
    </row>
    <row r="110" spans="1:30" s="212" customFormat="1" ht="12.6" customHeight="1">
      <c r="S110"/>
      <c r="T110"/>
      <c r="U110"/>
      <c r="V110"/>
      <c r="W110"/>
      <c r="X110"/>
      <c r="Y110"/>
      <c r="Z110"/>
      <c r="AA110"/>
      <c r="AD110" s="207"/>
    </row>
    <row r="111" spans="1:30" s="212" customFormat="1" ht="12.6" customHeight="1">
      <c r="S111"/>
      <c r="T111"/>
      <c r="U111"/>
      <c r="V111"/>
      <c r="W111"/>
      <c r="X111"/>
      <c r="Y111"/>
      <c r="Z111"/>
      <c r="AA111"/>
      <c r="AD111" s="207"/>
    </row>
    <row r="112" spans="1:30" s="212" customFormat="1" ht="12.6" customHeight="1">
      <c r="S112"/>
      <c r="T112"/>
      <c r="U112"/>
      <c r="V112"/>
      <c r="W112"/>
      <c r="X112"/>
      <c r="Y112"/>
      <c r="Z112"/>
      <c r="AA112"/>
      <c r="AD112" s="207"/>
    </row>
    <row r="113" spans="19:30" s="212" customFormat="1" ht="12.6" customHeight="1">
      <c r="S113"/>
      <c r="T113"/>
      <c r="U113"/>
      <c r="V113"/>
      <c r="W113"/>
      <c r="X113"/>
      <c r="Y113"/>
      <c r="Z113"/>
      <c r="AA113"/>
      <c r="AD113" s="207"/>
    </row>
    <row r="114" spans="19:30" s="212" customFormat="1" ht="12.6" customHeight="1">
      <c r="S114"/>
      <c r="T114"/>
      <c r="U114"/>
      <c r="V114"/>
      <c r="W114"/>
      <c r="X114"/>
      <c r="Y114"/>
      <c r="Z114"/>
      <c r="AA114"/>
      <c r="AD114" s="207"/>
    </row>
    <row r="115" spans="19:30" s="212" customFormat="1" ht="12.6" customHeight="1">
      <c r="S115"/>
      <c r="T115"/>
      <c r="U115"/>
      <c r="V115"/>
      <c r="W115"/>
      <c r="X115"/>
      <c r="Y115"/>
      <c r="Z115"/>
      <c r="AA115"/>
      <c r="AD115" s="207"/>
    </row>
    <row r="116" spans="19:30" s="207" customFormat="1" ht="12.6" customHeight="1">
      <c r="S116"/>
      <c r="T116"/>
      <c r="U116"/>
      <c r="V116"/>
      <c r="W116"/>
      <c r="X116"/>
      <c r="Y116"/>
      <c r="Z116"/>
      <c r="AA116"/>
    </row>
    <row r="117" spans="19:30" s="207" customFormat="1" ht="12.6" customHeight="1">
      <c r="S117"/>
      <c r="T117"/>
      <c r="U117"/>
      <c r="V117"/>
      <c r="W117"/>
      <c r="X117"/>
      <c r="Y117"/>
      <c r="Z117"/>
      <c r="AA117"/>
    </row>
    <row r="118" spans="19:30" s="207" customFormat="1" ht="12.6" customHeight="1">
      <c r="S118"/>
      <c r="T118"/>
      <c r="U118"/>
      <c r="V118"/>
      <c r="W118"/>
      <c r="X118"/>
      <c r="Y118"/>
      <c r="Z118"/>
      <c r="AA118"/>
    </row>
    <row r="119" spans="19:30" s="207" customFormat="1" ht="12.6" customHeight="1">
      <c r="S119"/>
      <c r="T119"/>
      <c r="U119"/>
      <c r="V119"/>
      <c r="W119"/>
      <c r="X119"/>
      <c r="Y119"/>
      <c r="Z119"/>
      <c r="AA119"/>
    </row>
    <row r="120" spans="19:30" s="207" customFormat="1" ht="12.6" customHeight="1">
      <c r="S120"/>
      <c r="T120"/>
      <c r="U120"/>
      <c r="V120"/>
      <c r="W120"/>
      <c r="X120"/>
      <c r="Y120"/>
      <c r="Z120"/>
      <c r="AA120"/>
    </row>
    <row r="121" spans="19:30" s="207" customFormat="1" ht="12.6" customHeight="1">
      <c r="S121"/>
      <c r="T121"/>
      <c r="U121"/>
      <c r="V121"/>
      <c r="W121"/>
      <c r="X121"/>
      <c r="Y121"/>
      <c r="Z121"/>
      <c r="AA121"/>
    </row>
    <row r="122" spans="19:30" s="207" customFormat="1" ht="12.6" customHeight="1">
      <c r="S122"/>
      <c r="T122"/>
      <c r="U122"/>
      <c r="V122"/>
      <c r="W122"/>
      <c r="X122"/>
      <c r="Y122"/>
      <c r="Z122"/>
      <c r="AA122"/>
    </row>
    <row r="123" spans="19:30" s="207" customFormat="1" ht="12.6" customHeight="1">
      <c r="S123"/>
      <c r="T123"/>
      <c r="U123"/>
      <c r="V123"/>
      <c r="W123"/>
      <c r="X123"/>
      <c r="Y123"/>
      <c r="Z123"/>
      <c r="AA123"/>
    </row>
    <row r="124" spans="19:30" s="207" customFormat="1" ht="12.6" customHeight="1">
      <c r="S124"/>
      <c r="T124"/>
      <c r="U124"/>
      <c r="V124"/>
      <c r="W124"/>
      <c r="X124"/>
      <c r="Y124"/>
      <c r="Z124"/>
      <c r="AA124"/>
    </row>
    <row r="125" spans="19:30" s="207" customFormat="1" ht="12.6" customHeight="1">
      <c r="S125"/>
      <c r="T125"/>
      <c r="U125"/>
      <c r="V125"/>
      <c r="W125"/>
      <c r="X125"/>
      <c r="Y125"/>
      <c r="Z125"/>
      <c r="AA125"/>
    </row>
    <row r="126" spans="19:30" s="207" customFormat="1" ht="12.6" customHeight="1">
      <c r="S126"/>
      <c r="T126"/>
      <c r="U126"/>
      <c r="V126"/>
      <c r="W126"/>
      <c r="X126"/>
      <c r="Y126"/>
      <c r="Z126"/>
      <c r="AA126"/>
    </row>
    <row r="127" spans="19:30" s="207" customFormat="1" ht="12.6" customHeight="1">
      <c r="S127"/>
      <c r="T127"/>
      <c r="U127"/>
      <c r="V127"/>
      <c r="W127"/>
      <c r="X127"/>
      <c r="Y127"/>
      <c r="Z127"/>
      <c r="AA127"/>
    </row>
    <row r="128" spans="19:30" s="207" customFormat="1" ht="12.6" customHeight="1">
      <c r="S128"/>
      <c r="T128"/>
      <c r="U128"/>
      <c r="V128"/>
      <c r="W128"/>
      <c r="X128"/>
      <c r="Y128"/>
      <c r="Z128"/>
      <c r="AA128"/>
    </row>
    <row r="129" spans="19:27" s="207" customFormat="1" ht="12.6" customHeight="1">
      <c r="S129"/>
      <c r="T129"/>
      <c r="U129"/>
      <c r="V129"/>
      <c r="W129"/>
      <c r="X129"/>
      <c r="Y129"/>
      <c r="Z129"/>
      <c r="AA129"/>
    </row>
    <row r="130" spans="19:27" s="207" customFormat="1" ht="12.6" customHeight="1">
      <c r="S130"/>
      <c r="T130"/>
      <c r="U130"/>
      <c r="V130"/>
      <c r="W130"/>
      <c r="X130"/>
      <c r="Y130"/>
      <c r="Z130"/>
      <c r="AA130"/>
    </row>
    <row r="131" spans="19:27" customFormat="1" ht="12.6" customHeight="1"/>
    <row r="132" spans="19:27" customFormat="1" ht="12.6" customHeight="1"/>
    <row r="133" spans="19:27" customFormat="1" ht="12.6" customHeight="1"/>
    <row r="134" spans="19:27" customFormat="1" ht="12.6" customHeight="1"/>
    <row r="135" spans="19:27" customFormat="1" ht="12.6" customHeight="1"/>
    <row r="136" spans="19:27" customFormat="1" ht="12.6" customHeight="1"/>
    <row r="137" spans="19:27" customFormat="1" ht="12.6" customHeight="1"/>
    <row r="138" spans="19:27" customFormat="1" ht="12.6" customHeight="1"/>
    <row r="139" spans="19:27" customFormat="1" ht="12.6" customHeight="1"/>
    <row r="140" spans="19:27" customFormat="1" ht="12.6" customHeight="1"/>
    <row r="141" spans="19:27" customFormat="1" ht="12.6" customHeight="1"/>
    <row r="235" spans="3:18" ht="12.6" customHeight="1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spans="3:18" ht="12.6" customHeight="1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spans="3:18" ht="12.6" customHeight="1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3:18" ht="12.6" customHeight="1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3:18" ht="12.6" customHeight="1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spans="3:18" ht="12.6" customHeight="1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3:18" ht="12.6" customHeight="1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3:18" ht="12.6" customHeight="1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3:18" ht="12.6" customHeight="1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3:18" ht="12.6" customHeight="1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spans="3:18" ht="12.6" customHeight="1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spans="3:18" ht="12.6" customHeight="1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spans="3:18" ht="12.6" customHeight="1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3:18" ht="12.6" customHeight="1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3:18" ht="12.6" customHeight="1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3:18" customFormat="1" ht="12.6" customHeight="1"/>
    <row r="251" spans="3:18" customFormat="1" ht="12.6" customHeight="1"/>
    <row r="252" spans="3:18" ht="12.6" customHeight="1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spans="3:18" ht="12.6" customHeight="1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spans="3:18" ht="12.6" customHeight="1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spans="3:18" ht="12.6" customHeight="1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spans="3:18" ht="12.6" customHeight="1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spans="3:18" ht="12.6" customHeight="1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3:18" ht="12.6" customHeight="1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3:18" ht="12.6" customHeight="1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3:18" ht="12.6" customHeight="1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spans="3:18" ht="12.6" customHeight="1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spans="3:18" ht="12.6" customHeight="1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spans="3:18" ht="12.6" customHeight="1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spans="3:18" ht="12.6" customHeight="1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spans="3:18" ht="12.6" customHeight="1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spans="3:18" ht="12.6" customHeight="1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spans="3:18" ht="12.6" customHeight="1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spans="3:18" ht="12.6" customHeight="1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3:18" ht="12.6" customHeight="1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3:18" ht="12.6" customHeight="1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3:18" ht="12.6" customHeight="1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3:18" ht="12.6" customHeight="1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spans="3:18" ht="12.6" customHeight="1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spans="3:18" ht="12.6" customHeight="1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spans="3:18" ht="12.6" customHeight="1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spans="3:18" ht="12.6" customHeight="1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spans="3:18" ht="12.6" customHeight="1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spans="3:18" ht="12.6" customHeight="1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spans="3:18" ht="12.6" customHeight="1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spans="3:18" ht="12.6" customHeight="1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3:18" ht="12.6" customHeight="1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spans="3:18" ht="12.6" customHeight="1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spans="3:18" ht="12.6" customHeight="1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spans="3:18" ht="12.6" customHeight="1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spans="3:18" ht="12.6" customHeight="1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spans="3:18" ht="12.6" customHeight="1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</sheetData>
  <customSheetViews>
    <customSheetView guid="{9D7575BF-255B-11D2-8267-00A0D1027254}" showRuler="0">
      <selection activeCell="A22" sqref="A22"/>
      <colBreaks count="1" manualBreakCount="1">
        <brk id="14" max="54" man="1"/>
      </colBreaks>
      <pageMargins left="0.5" right="0.5" top="0.5" bottom="0.5" header="0.5" footer="0.25"/>
      <pageSetup scale="78" fitToHeight="2" orientation="landscape" verticalDpi="300" r:id="rId1"/>
      <headerFooter alignWithMargins="0">
        <oddFooter>&amp;L&amp;D &amp;T&amp;RO:\Naes\GenSvcs\TVA\TVA Model\&amp;F
&amp;A &amp;P</oddFooter>
      </headerFooter>
    </customSheetView>
    <customSheetView guid="{773475A7-2559-11D2-A5F6-0060080AEB13}" showPageBreaks="1" printArea="1" showRuler="0">
      <colBreaks count="1" manualBreakCount="1">
        <brk id="16" max="40" man="1"/>
      </colBreaks>
      <pageMargins left="0.46" right="0.31" top="0.5" bottom="0.5" header="0.5" footer="0.5"/>
      <pageSetup scale="75" fitToHeight="2" orientation="landscape" verticalDpi="300" r:id="rId2"/>
      <headerFooter alignWithMargins="0">
        <oddFooter>&amp;L&amp;D   &amp;T&amp;RO:\Naes\GenSvcs\Tva\Tva\Models\&amp;F
&amp;A   &amp;P</oddFooter>
      </headerFooter>
    </customSheetView>
    <customSheetView guid="{14FB3146-3CEF-11D2-B9CE-0060080D6A65}" showRuler="0" topLeftCell="A40">
      <selection activeCell="C60" sqref="C60"/>
      <colBreaks count="1" manualBreakCount="1">
        <brk id="14" max="54" man="1"/>
      </colBreaks>
      <pageMargins left="0.5" right="0.5" top="0.5" bottom="0.5" header="0.5" footer="0.25"/>
      <pageSetup scale="78" fitToHeight="2" orientation="landscape" verticalDpi="300" r:id="rId3"/>
      <headerFooter alignWithMargins="0">
        <oddFooter>&amp;L&amp;D &amp;T&amp;RO:\Naes\GenSvcs\TVA\TVA Model\&amp;F
&amp;A &amp;P</oddFooter>
      </headerFooter>
    </customSheetView>
  </customSheetViews>
  <printOptions horizontalCentered="1" verticalCentered="1"/>
  <pageMargins left="0.25" right="0.25" top="0.5" bottom="0.5" header="0.5" footer="0.25"/>
  <pageSetup scale="69" orientation="landscape" verticalDpi="300" r:id="rId4"/>
  <headerFooter alignWithMargins="0">
    <oddFooter>&amp;L&amp;D &amp;T&amp;R&amp;A &amp;P</oddFooter>
  </headerFooter>
  <colBreaks count="1" manualBreakCount="1">
    <brk id="14" max="46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B93"/>
  <sheetViews>
    <sheetView showZeros="0" zoomScaleNormal="75" zoomScaleSheetLayoutView="100" workbookViewId="0"/>
  </sheetViews>
  <sheetFormatPr defaultColWidth="9.33203125" defaultRowHeight="12.6" customHeight="1"/>
  <cols>
    <col min="1" max="1" width="19.33203125" style="15" customWidth="1"/>
    <col min="2" max="2" width="9.6640625" style="15" customWidth="1"/>
    <col min="3" max="3" width="10.44140625" style="15" bestFit="1" customWidth="1"/>
    <col min="4" max="19" width="10.6640625" style="15" customWidth="1"/>
    <col min="20" max="28" width="10.6640625" customWidth="1"/>
    <col min="29" max="30" width="9.33203125" style="24" customWidth="1"/>
    <col min="31" max="16384" width="9.33203125" style="15"/>
  </cols>
  <sheetData>
    <row r="1" spans="1:54" ht="24.6">
      <c r="A1" s="438" t="str">
        <f>'Project Assumptions'!$A$2</f>
        <v>PROJECT DOYLE</v>
      </c>
    </row>
    <row r="2" spans="1:54" ht="15.6" customHeight="1">
      <c r="A2" s="439" t="s">
        <v>28</v>
      </c>
    </row>
    <row r="3" spans="1:54" s="1" customFormat="1" ht="12.6" customHeight="1">
      <c r="A3" s="33"/>
      <c r="B3"/>
      <c r="C3" s="5"/>
      <c r="D3" s="1">
        <v>1</v>
      </c>
      <c r="E3" s="1">
        <f>D3+1</f>
        <v>2</v>
      </c>
      <c r="F3" s="1">
        <f t="shared" ref="F3:S3" si="0">E3+1</f>
        <v>3</v>
      </c>
      <c r="G3" s="1">
        <f t="shared" si="0"/>
        <v>4</v>
      </c>
      <c r="H3" s="1">
        <f t="shared" si="0"/>
        <v>5</v>
      </c>
      <c r="I3" s="3">
        <f t="shared" si="0"/>
        <v>6</v>
      </c>
      <c r="J3" s="1">
        <f t="shared" si="0"/>
        <v>7</v>
      </c>
      <c r="K3" s="1">
        <f t="shared" si="0"/>
        <v>8</v>
      </c>
      <c r="L3" s="1">
        <f t="shared" si="0"/>
        <v>9</v>
      </c>
      <c r="M3" s="1">
        <f t="shared" si="0"/>
        <v>10</v>
      </c>
      <c r="N3" s="1">
        <f t="shared" si="0"/>
        <v>11</v>
      </c>
      <c r="O3" s="3">
        <f t="shared" si="0"/>
        <v>12</v>
      </c>
      <c r="P3" s="1">
        <f t="shared" si="0"/>
        <v>13</v>
      </c>
      <c r="Q3" s="1">
        <f t="shared" si="0"/>
        <v>14</v>
      </c>
      <c r="R3" s="1">
        <f t="shared" si="0"/>
        <v>15</v>
      </c>
      <c r="S3" s="1">
        <f t="shared" si="0"/>
        <v>16</v>
      </c>
      <c r="T3"/>
      <c r="U3"/>
      <c r="V3"/>
      <c r="W3"/>
      <c r="X3"/>
      <c r="Y3"/>
      <c r="Z3"/>
      <c r="AA3"/>
      <c r="AB3"/>
      <c r="AC3" s="9"/>
      <c r="AD3"/>
    </row>
    <row r="4" spans="1:54" s="1" customFormat="1" ht="12.6" customHeight="1">
      <c r="A4" s="2"/>
      <c r="C4" s="60"/>
      <c r="D4" s="60">
        <f>YEAR('Project Assumptions'!I16)</f>
        <v>2000</v>
      </c>
      <c r="E4" s="60">
        <f t="shared" ref="E4:S4" si="1">D4+1</f>
        <v>2001</v>
      </c>
      <c r="F4" s="60">
        <f t="shared" si="1"/>
        <v>2002</v>
      </c>
      <c r="G4" s="60">
        <f t="shared" si="1"/>
        <v>2003</v>
      </c>
      <c r="H4" s="60">
        <f t="shared" si="1"/>
        <v>2004</v>
      </c>
      <c r="I4" s="60">
        <f t="shared" si="1"/>
        <v>2005</v>
      </c>
      <c r="J4" s="60">
        <f t="shared" si="1"/>
        <v>2006</v>
      </c>
      <c r="K4" s="60">
        <f t="shared" si="1"/>
        <v>2007</v>
      </c>
      <c r="L4" s="60">
        <f t="shared" si="1"/>
        <v>2008</v>
      </c>
      <c r="M4" s="60">
        <f t="shared" si="1"/>
        <v>2009</v>
      </c>
      <c r="N4" s="60">
        <f t="shared" si="1"/>
        <v>2010</v>
      </c>
      <c r="O4" s="60">
        <f t="shared" si="1"/>
        <v>2011</v>
      </c>
      <c r="P4" s="60">
        <f t="shared" si="1"/>
        <v>2012</v>
      </c>
      <c r="Q4" s="60">
        <f t="shared" si="1"/>
        <v>2013</v>
      </c>
      <c r="R4" s="60">
        <f t="shared" si="1"/>
        <v>2014</v>
      </c>
      <c r="S4" s="60">
        <f t="shared" si="1"/>
        <v>2015</v>
      </c>
      <c r="T4"/>
      <c r="U4"/>
      <c r="V4"/>
      <c r="W4"/>
      <c r="X4"/>
      <c r="Y4"/>
      <c r="Z4"/>
      <c r="AA4"/>
      <c r="AB4"/>
      <c r="AC4" s="60"/>
      <c r="AD4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4" ht="12.6" customHeight="1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AC5" s="17"/>
      <c r="AD5" s="17"/>
      <c r="AI5" s="18"/>
      <c r="AM5" s="18"/>
      <c r="AX5" s="18"/>
      <c r="BB5" s="18"/>
    </row>
    <row r="6" spans="1:54" ht="12.6" customHeight="1">
      <c r="A6" s="155" t="s">
        <v>20</v>
      </c>
      <c r="C6" s="19">
        <f>SUM(D6:AD6)</f>
        <v>26802.512863406409</v>
      </c>
      <c r="D6" s="96">
        <f>IF(D3&gt;'Project Assumptions'!$I$15+1,0,'Book Income Statement'!C48)</f>
        <v>-358.79631088708447</v>
      </c>
      <c r="E6" s="96">
        <f>IF(E3&gt;'Project Assumptions'!$I$15+1,0,'Book Income Statement'!D48)</f>
        <v>-1997.6538778749891</v>
      </c>
      <c r="F6" s="96">
        <f>IF(F3&gt;'Project Assumptions'!$I$15+1,0,'Book Income Statement'!E48)</f>
        <v>-1696.0314412299231</v>
      </c>
      <c r="G6" s="96">
        <f>IF(G3&gt;'Project Assumptions'!$I$15+1,0,'Book Income Statement'!F48)</f>
        <v>-1374.8817654425238</v>
      </c>
      <c r="H6" s="96">
        <f>IF(H3&gt;'Project Assumptions'!$I$15+1,0,'Book Income Statement'!G48)</f>
        <v>-1035.3889993242601</v>
      </c>
      <c r="I6" s="96">
        <f>IF(I3&gt;'Project Assumptions'!$I$15+1,0,'Book Income Statement'!H48)</f>
        <v>-396.64887934595208</v>
      </c>
      <c r="J6" s="96">
        <f>IF(J3&gt;'Project Assumptions'!$I$15+1,0,'Book Income Statement'!I48)</f>
        <v>261.72381559676978</v>
      </c>
      <c r="K6" s="96">
        <f>IF(K3&gt;'Project Assumptions'!$I$15+1,0,'Book Income Statement'!J48)</f>
        <v>665.36568995356356</v>
      </c>
      <c r="L6" s="96">
        <f>IF(L3&gt;'Project Assumptions'!$I$15+1,0,'Book Income Statement'!K48)</f>
        <v>1094.8354942920701</v>
      </c>
      <c r="M6" s="96">
        <f>IF(M3&gt;'Project Assumptions'!$I$15+1,0,'Book Income Statement'!L48)</f>
        <v>1549.3324449736883</v>
      </c>
      <c r="N6" s="96">
        <f>IF(N3&gt;'Project Assumptions'!$I$15+1,0,'Book Income Statement'!M48)</f>
        <v>2031.5969714296807</v>
      </c>
      <c r="O6" s="96">
        <f>IF(O3&gt;'Project Assumptions'!$I$15+1,0,'Book Income Statement'!N48)</f>
        <v>2542.741292978616</v>
      </c>
      <c r="P6" s="96">
        <f>IF(P3&gt;'Project Assumptions'!$I$15+1,0,'Book Income Statement'!O48)</f>
        <v>3085.7052963724027</v>
      </c>
      <c r="Q6" s="96">
        <f>IF(Q3&gt;'Project Assumptions'!$I$15+1,0,'Book Income Statement'!P48)</f>
        <v>3661.8128021682805</v>
      </c>
      <c r="R6" s="96">
        <f>IF(R3&gt;'Project Assumptions'!$I$15+1,0,'Book Income Statement'!Q48)</f>
        <v>4272.503189278832</v>
      </c>
      <c r="S6" s="96">
        <f>IF(S3&gt;'Project Assumptions'!$I$15+1,0,'Book Income Statement'!R48)</f>
        <v>14496.297140467241</v>
      </c>
      <c r="AC6" s="21"/>
      <c r="AD6" s="21"/>
    </row>
    <row r="7" spans="1:54" ht="12.6" customHeight="1">
      <c r="A7" s="14" t="s">
        <v>203</v>
      </c>
      <c r="C7" s="19">
        <f>SUM(D7:AD7)</f>
        <v>106365.33963071517</v>
      </c>
      <c r="D7" s="28">
        <f>IF(D3&gt;'Project Assumptions'!$I$15+1,0,'Book Income Statement'!C42)</f>
        <v>3730.4583505384367</v>
      </c>
      <c r="E7" s="28">
        <f>IF(E3&gt;'Project Assumptions'!$I$15+1,0,'Book Income Statement'!D42)</f>
        <v>7460.9167010768733</v>
      </c>
      <c r="F7" s="28">
        <f>IF(F3&gt;'Project Assumptions'!$I$15+1,0,'Book Income Statement'!E42)</f>
        <v>7460.9167010768733</v>
      </c>
      <c r="G7" s="28">
        <f>IF(G3&gt;'Project Assumptions'!$I$15+1,0,'Book Income Statement'!F42)</f>
        <v>7460.9167010768733</v>
      </c>
      <c r="H7" s="28">
        <f>IF(H3&gt;'Project Assumptions'!$I$15+1,0,'Book Income Statement'!G42)</f>
        <v>7460.9167010768733</v>
      </c>
      <c r="I7" s="28">
        <f>IF(I3&gt;'Project Assumptions'!$I$15+1,0,'Book Income Statement'!H42)</f>
        <v>7183.4961568049766</v>
      </c>
      <c r="J7" s="28">
        <f>IF(J3&gt;'Project Assumptions'!$I$15+1,0,'Book Income Statement'!I42)</f>
        <v>6906.075612533079</v>
      </c>
      <c r="K7" s="28">
        <f>IF(K3&gt;'Project Assumptions'!$I$15+1,0,'Book Income Statement'!J42)</f>
        <v>6906.075612533079</v>
      </c>
      <c r="L7" s="28">
        <f>IF(L3&gt;'Project Assumptions'!$I$15+1,0,'Book Income Statement'!K42)</f>
        <v>6906.075612533079</v>
      </c>
      <c r="M7" s="28">
        <f>IF(M3&gt;'Project Assumptions'!$I$15+1,0,'Book Income Statement'!L42)</f>
        <v>6906.075612533079</v>
      </c>
      <c r="N7" s="28">
        <f>IF(N3&gt;'Project Assumptions'!$I$15+1,0,'Book Income Statement'!M42)</f>
        <v>6906.075612533079</v>
      </c>
      <c r="O7" s="28">
        <f>IF(O3&gt;'Project Assumptions'!$I$15+1,0,'Book Income Statement'!N42)</f>
        <v>6906.075612533079</v>
      </c>
      <c r="P7" s="28">
        <f>IF(P3&gt;'Project Assumptions'!$I$15+1,0,'Book Income Statement'!O42)</f>
        <v>6906.075612533079</v>
      </c>
      <c r="Q7" s="28">
        <f>IF(Q3&gt;'Project Assumptions'!$I$15+1,0,'Book Income Statement'!P42)</f>
        <v>6906.075612533079</v>
      </c>
      <c r="R7" s="28">
        <f>IF(R3&gt;'Project Assumptions'!$I$15+1,0,'Book Income Statement'!Q42)</f>
        <v>6906.075612533079</v>
      </c>
      <c r="S7" s="28">
        <f>IF(S3&gt;'Project Assumptions'!$I$15+1,0,'Book Income Statement'!R42)</f>
        <v>3453.0378062665395</v>
      </c>
      <c r="AC7" s="21"/>
      <c r="AD7" s="21"/>
      <c r="AF7" s="22"/>
      <c r="AH7" s="22"/>
      <c r="AL7" s="22"/>
      <c r="AU7" s="22"/>
    </row>
    <row r="8" spans="1:54" ht="12.6" customHeight="1">
      <c r="A8" s="14" t="s">
        <v>13</v>
      </c>
      <c r="C8" s="19"/>
      <c r="D8" s="31">
        <f>IF(D3&gt;'Project Assumptions'!$I$15+1,0,'Book Income Statement'!C27)</f>
        <v>0</v>
      </c>
      <c r="E8" s="31">
        <f>IF(E3&gt;'Project Assumptions'!$I$15+1,0,'Book Income Statement'!D27)</f>
        <v>563.99874725376003</v>
      </c>
      <c r="F8" s="31">
        <f>IF(F3&gt;'Project Assumptions'!$I$15+1,0,'Book Income Statement'!E27)</f>
        <v>623.65246090560004</v>
      </c>
      <c r="G8" s="31">
        <f>IF(G3&gt;'Project Assumptions'!$I$15+1,0,'Book Income Statement'!F27)</f>
        <v>676.07542138752001</v>
      </c>
      <c r="H8" s="31">
        <f>IF(H3&gt;'Project Assumptions'!$I$15+1,0,'Book Income Statement'!G27)</f>
        <v>683.30617455743993</v>
      </c>
      <c r="I8" s="31">
        <f>IF(I3&gt;'Project Assumptions'!$I$15+1,0,'Book Income Statement'!H27)</f>
        <v>686.92155114240006</v>
      </c>
      <c r="J8" s="31">
        <f>IF(J3&gt;'Project Assumptions'!$I$15+1,0,'Book Income Statement'!I27)</f>
        <v>686.92155114239995</v>
      </c>
      <c r="K8" s="31">
        <f>IF(K3&gt;'Project Assumptions'!$I$15+1,0,'Book Income Statement'!J27)</f>
        <v>650.76778529279989</v>
      </c>
      <c r="L8" s="31">
        <f>IF(L3&gt;'Project Assumptions'!$I$15+1,0,'Book Income Statement'!K27)</f>
        <v>614.61401944320005</v>
      </c>
      <c r="M8" s="31">
        <f>IF(M3&gt;'Project Assumptions'!$I$15+1,0,'Book Income Statement'!L27)</f>
        <v>578.46025359359999</v>
      </c>
      <c r="N8" s="31">
        <f>IF(N3&gt;'Project Assumptions'!$I$15+1,0,'Book Income Statement'!M27)</f>
        <v>542.30648774400004</v>
      </c>
      <c r="O8" s="31">
        <f>IF(O3&gt;'Project Assumptions'!$I$15+1,0,'Book Income Statement'!N27)</f>
        <v>506.15272189440003</v>
      </c>
      <c r="P8" s="31">
        <f>IF(P3&gt;'Project Assumptions'!$I$15+1,0,'Book Income Statement'!O27)</f>
        <v>469.99895604479997</v>
      </c>
      <c r="Q8" s="31">
        <f>IF(Q3&gt;'Project Assumptions'!$I$15+1,0,'Book Income Statement'!P27)</f>
        <v>433.84519019520002</v>
      </c>
      <c r="R8" s="31">
        <f>IF(R3&gt;'Project Assumptions'!$I$15+1,0,'Book Income Statement'!Q27)</f>
        <v>397.69142434560007</v>
      </c>
      <c r="S8" s="31">
        <f>IF(S3&gt;'Project Assumptions'!$I$15+1,0,'Book Income Statement'!R27)</f>
        <v>241.02510566399999</v>
      </c>
      <c r="AC8" s="21"/>
      <c r="AD8" s="21"/>
      <c r="AF8" s="22"/>
      <c r="AH8" s="22"/>
      <c r="AL8" s="22"/>
      <c r="AU8" s="22"/>
    </row>
    <row r="9" spans="1:54" ht="12.6" customHeight="1">
      <c r="A9" s="14" t="s">
        <v>14</v>
      </c>
      <c r="C9" s="19"/>
      <c r="D9" s="31">
        <f>IF(D3&gt;'Project Assumptions'!$I$15+1,0,Depreciation!C48)</f>
        <v>0</v>
      </c>
      <c r="E9" s="31">
        <f>IF(E3&gt;'Project Assumptions'!$I$15+1,0,Depreciation!D48)</f>
        <v>0</v>
      </c>
      <c r="F9" s="31">
        <f>IF(F3&gt;'Project Assumptions'!$I$15+1,0,E8)</f>
        <v>563.99874725376003</v>
      </c>
      <c r="G9" s="31">
        <f>IF(G3&gt;'Project Assumptions'!$I$15+1,0,F8)</f>
        <v>623.65246090560004</v>
      </c>
      <c r="H9" s="31">
        <f>IF(H3&gt;'Project Assumptions'!$I$15+1,0,G8)</f>
        <v>676.07542138752001</v>
      </c>
      <c r="I9" s="31">
        <f>IF(I3&gt;'Project Assumptions'!$I$15+1,0,H8)</f>
        <v>683.30617455743993</v>
      </c>
      <c r="J9" s="31">
        <f>IF(J3&gt;'Project Assumptions'!$I$15+1,0,I8)</f>
        <v>686.92155114240006</v>
      </c>
      <c r="K9" s="31">
        <f>IF(K3&gt;'Project Assumptions'!$I$15+1,0,J8)</f>
        <v>686.92155114239995</v>
      </c>
      <c r="L9" s="31">
        <f>IF(L3&gt;'Project Assumptions'!$I$15+1,0,K8)</f>
        <v>650.76778529279989</v>
      </c>
      <c r="M9" s="31">
        <f>IF(M3&gt;'Project Assumptions'!$I$15+1,0,L8)</f>
        <v>614.61401944320005</v>
      </c>
      <c r="N9" s="31">
        <f>IF(N3&gt;'Project Assumptions'!$I$15+1,0,M8)</f>
        <v>578.46025359359999</v>
      </c>
      <c r="O9" s="31">
        <f>IF(O3&gt;'Project Assumptions'!$I$15+1,0,N8)</f>
        <v>542.30648774400004</v>
      </c>
      <c r="P9" s="31">
        <f>IF(P3&gt;'Project Assumptions'!$I$15+1,0,O8)</f>
        <v>506.15272189440003</v>
      </c>
      <c r="Q9" s="31">
        <f>IF(Q3&gt;'Project Assumptions'!$I$15+1,0,P8)</f>
        <v>469.99895604479997</v>
      </c>
      <c r="R9" s="31">
        <f>IF(R3&gt;'Project Assumptions'!$I$15+1,0,Q8)</f>
        <v>433.84519019520002</v>
      </c>
      <c r="S9" s="31">
        <f>IF(S3&gt;'Project Assumptions'!$I$15+1,0,R8)</f>
        <v>397.69142434560007</v>
      </c>
      <c r="AC9" s="21"/>
      <c r="AD9" s="21"/>
      <c r="AF9" s="22"/>
      <c r="AP9" s="23"/>
      <c r="AQ9" s="23"/>
      <c r="AR9" s="23"/>
      <c r="AS9" s="23"/>
      <c r="AU9" s="22"/>
    </row>
    <row r="10" spans="1:54" ht="12.6" customHeight="1">
      <c r="A10" s="14" t="s">
        <v>15</v>
      </c>
      <c r="C10" s="19">
        <f>SUM(D10:AD10)</f>
        <v>60702.481264076872</v>
      </c>
      <c r="D10" s="53">
        <f>IF(D3&gt;'Project Assumptions'!$I$15+1,0,'Book Income Statement'!C45)</f>
        <v>2831.0797281819778</v>
      </c>
      <c r="E10" s="53">
        <f>IF(E3&gt;'Project Assumptions'!$I$15+1,0,'Book Income Statement'!D45)</f>
        <v>6632.4963585981131</v>
      </c>
      <c r="F10" s="53">
        <f>IF(F3&gt;'Project Assumptions'!$I$15+1,0,'Book Income Statement'!E45)</f>
        <v>6332.0734818390529</v>
      </c>
      <c r="G10" s="53">
        <f>IF(G3&gt;'Project Assumptions'!$I$15+1,0,'Book Income Statement'!F45)</f>
        <v>6013.3548518853659</v>
      </c>
      <c r="H10" s="53">
        <f>IF(H3&gt;'Project Assumptions'!$I$15+1,0,'Book Income Statement'!G45)</f>
        <v>5675.2262573674989</v>
      </c>
      <c r="I10" s="53">
        <f>IF(I3&gt;'Project Assumptions'!$I$15+1,0,'Book Income Statement'!H45)</f>
        <v>5316.5056314434933</v>
      </c>
      <c r="J10" s="53">
        <f>IF(J3&gt;'Project Assumptions'!$I$15+1,0,'Book Income Statement'!I45)</f>
        <v>4935.9389194007172</v>
      </c>
      <c r="K10" s="53">
        <f>IF(K3&gt;'Project Assumptions'!$I$15+1,0,'Book Income Statement'!J45)</f>
        <v>4532.1956945945349</v>
      </c>
      <c r="L10" s="53">
        <f>IF(L3&gt;'Project Assumptions'!$I$15+1,0,'Book Income Statement'!K45)</f>
        <v>4103.8645073976559</v>
      </c>
      <c r="M10" s="53">
        <f>IF(M3&gt;'Project Assumptions'!$I$15+1,0,'Book Income Statement'!L45)</f>
        <v>3649.4479509004877</v>
      </c>
      <c r="N10" s="53">
        <f>IF(N3&gt;'Project Assumptions'!$I$15+1,0,'Book Income Statement'!M45)</f>
        <v>3167.3574261126423</v>
      </c>
      <c r="O10" s="53">
        <f>IF(O3&gt;'Project Assumptions'!$I$15+1,0,'Book Income Statement'!N45)</f>
        <v>2655.9075883652172</v>
      </c>
      <c r="P10" s="53">
        <f>IF(P3&gt;'Project Assumptions'!$I$15+1,0,'Book Income Statement'!O45)</f>
        <v>2113.3104554989718</v>
      </c>
      <c r="Q10" s="53">
        <f>IF(Q3&gt;'Project Assumptions'!$I$15+1,0,'Book Income Statement'!P45)</f>
        <v>1537.6691572411737</v>
      </c>
      <c r="R10" s="53">
        <f>IF(R3&gt;'Project Assumptions'!$I$15+1,0,'Book Income Statement'!Q45)</f>
        <v>926.97130391947508</v>
      </c>
      <c r="S10" s="53">
        <f>IF(S3&gt;'Project Assumptions'!$I$15+1,0,'Book Income Statement'!R45)</f>
        <v>279.08195133048662</v>
      </c>
      <c r="AC10" s="21"/>
      <c r="AD10" s="21"/>
      <c r="AF10" s="22"/>
      <c r="AU10" s="22"/>
    </row>
    <row r="11" spans="1:54" ht="12.6" customHeight="1">
      <c r="A11" s="14" t="s">
        <v>16</v>
      </c>
      <c r="C11" s="19">
        <f>SUM(D11:AD11)</f>
        <v>60138.300090719364</v>
      </c>
      <c r="D11" s="53">
        <f>IF(D3&gt;'Project Assumptions'!$I$15+1,0,'Debt Amortization'!D$36)</f>
        <v>3400.3478322366873</v>
      </c>
      <c r="E11" s="53">
        <f>IF(E3&gt;'Project Assumptions'!$I$15+1,0,'Debt Amortization'!E$36)</f>
        <v>6584.1331020929047</v>
      </c>
      <c r="F11" s="53">
        <f>IF(F3&gt;'Project Assumptions'!$I$15+1,0,'Debt Amortization'!F$36)</f>
        <v>6280.7649030126759</v>
      </c>
      <c r="G11" s="53">
        <f>IF(G3&gt;'Project Assumptions'!$I$15+1,0,'Debt Amortization'!G$36)</f>
        <v>5958.921580608463</v>
      </c>
      <c r="H11" s="53">
        <f>IF(H3&gt;'Project Assumptions'!$I$15+1,0,'Debt Amortization'!H$36)</f>
        <v>5617.4779998698323</v>
      </c>
      <c r="I11" s="53">
        <f>IF(I3&gt;'Project Assumptions'!$I$15+1,0,'Debt Amortization'!I$36)</f>
        <v>5255.2405050642192</v>
      </c>
      <c r="J11" s="53">
        <f>IF(J3&gt;'Project Assumptions'!$I$15+1,0,'Debt Amortization'!J$36)</f>
        <v>4870.9427468249451</v>
      </c>
      <c r="K11" s="53">
        <f>IF(K3&gt;'Project Assumptions'!$I$15+1,0,'Debt Amortization'!K$36)</f>
        <v>4463.2412551088983</v>
      </c>
      <c r="L11" s="53">
        <f>IF(L3&gt;'Project Assumptions'!$I$15+1,0,'Debt Amortization'!L$36)</f>
        <v>4030.7107425473437</v>
      </c>
      <c r="M11" s="53">
        <f>IF(M3&gt;'Project Assumptions'!$I$15+1,0,'Debt Amortization'!M$36)</f>
        <v>3571.8391217707917</v>
      </c>
      <c r="N11" s="53">
        <f>IF(N3&gt;'Project Assumptions'!$I$15+1,0,'Debt Amortization'!N$36)</f>
        <v>3085.0222192889478</v>
      </c>
      <c r="O11" s="53">
        <f>IF(O3&gt;'Project Assumptions'!$I$15+1,0,'Debt Amortization'!O$36)</f>
        <v>2568.55816744596</v>
      </c>
      <c r="P11" s="53">
        <f>IF(P3&gt;'Project Assumptions'!$I$15+1,0,'Debt Amortization'!P$36)</f>
        <v>2020.6414548457317</v>
      </c>
      <c r="Q11" s="53">
        <f>IF(Q3&gt;'Project Assumptions'!$I$15+1,0,'Debt Amortization'!Q$36)</f>
        <v>1439.3566144481506</v>
      </c>
      <c r="R11" s="53">
        <f>IF(R3&gt;'Project Assumptions'!$I$15+1,0,'Debt Amortization'!R$36)</f>
        <v>822.67152727035773</v>
      </c>
      <c r="S11" s="53">
        <f>IF(S3&gt;'Project Assumptions'!$I$15+1,0,'Debt Amortization'!S$36)</f>
        <v>168.43031828343808</v>
      </c>
      <c r="AC11" s="21"/>
      <c r="AD11" s="21"/>
      <c r="AF11" s="22"/>
      <c r="AP11" s="23"/>
      <c r="AQ11" s="23"/>
      <c r="AR11" s="23"/>
      <c r="AS11" s="23"/>
      <c r="AU11" s="22"/>
    </row>
    <row r="12" spans="1:54" ht="12.6" customHeight="1">
      <c r="A12" s="15" t="s">
        <v>17</v>
      </c>
      <c r="C12" s="96">
        <f>SUM(D12:AB12)</f>
        <v>113344.92774122299</v>
      </c>
      <c r="D12" s="153">
        <f>IF(D3&gt;'Project Assumptions'!$I$15+1,0,'Debt Amortization'!D$37)</f>
        <v>2382.4264288280574</v>
      </c>
      <c r="E12" s="153">
        <f>IF(E3&gt;'Project Assumptions'!$I$15+1,0,'Debt Amortization'!E$37)</f>
        <v>4981.4154200365847</v>
      </c>
      <c r="F12" s="153">
        <f>IF(F3&gt;'Project Assumptions'!$I$15+1,0,'Debt Amortization'!F$37)</f>
        <v>5284.7836191168135</v>
      </c>
      <c r="G12" s="153">
        <f>IF(G3&gt;'Project Assumptions'!$I$15+1,0,'Debt Amortization'!G$37)</f>
        <v>5606.6269415210263</v>
      </c>
      <c r="H12" s="153">
        <f>IF(H3&gt;'Project Assumptions'!$I$15+1,0,'Debt Amortization'!H$37)</f>
        <v>5948.0705222596571</v>
      </c>
      <c r="I12" s="153">
        <f>IF(I3&gt;'Project Assumptions'!$I$15+1,0,'Debt Amortization'!I$37)</f>
        <v>6310.3080170652702</v>
      </c>
      <c r="J12" s="153">
        <f>IF(J3&gt;'Project Assumptions'!$I$15+1,0,'Debt Amortization'!J$37)</f>
        <v>6694.6057753045443</v>
      </c>
      <c r="K12" s="153">
        <f>IF(K3&gt;'Project Assumptions'!$I$15+1,0,'Debt Amortization'!K$37)</f>
        <v>7102.3072670205911</v>
      </c>
      <c r="L12" s="153">
        <f>IF(L3&gt;'Project Assumptions'!$I$15+1,0,'Debt Amortization'!L$37)</f>
        <v>7534.8377795821452</v>
      </c>
      <c r="M12" s="153">
        <f>IF(M3&gt;'Project Assumptions'!$I$15+1,0,'Debt Amortization'!M$37)</f>
        <v>7993.7094003586972</v>
      </c>
      <c r="N12" s="153">
        <f>IF(N3&gt;'Project Assumptions'!$I$15+1,0,'Debt Amortization'!N$37)</f>
        <v>8480.5263028405425</v>
      </c>
      <c r="O12" s="153">
        <f>IF(O3&gt;'Project Assumptions'!$I$15+1,0,'Debt Amortization'!O$37)</f>
        <v>8996.9903546835303</v>
      </c>
      <c r="P12" s="153">
        <f>IF(P3&gt;'Project Assumptions'!$I$15+1,0,'Debt Amortization'!P$37)</f>
        <v>9544.907067283757</v>
      </c>
      <c r="Q12" s="153">
        <f>IF(Q3&gt;'Project Assumptions'!$I$15+1,0,'Debt Amortization'!Q$37)</f>
        <v>10126.191907681339</v>
      </c>
      <c r="R12" s="153">
        <f>IF(R3&gt;'Project Assumptions'!$I$15+1,0,'Debt Amortization'!R$37)</f>
        <v>10742.876994859133</v>
      </c>
      <c r="S12" s="153">
        <f>IF(S3&gt;'Project Assumptions'!$I$15+1,0,'Debt Amortization'!S$37)</f>
        <v>5614.3439427813064</v>
      </c>
      <c r="AF12" s="22"/>
      <c r="AU12" s="22"/>
    </row>
    <row r="13" spans="1:54" ht="13.5" customHeight="1">
      <c r="A13" s="155" t="s">
        <v>89</v>
      </c>
      <c r="B13" s="26"/>
      <c r="C13" s="27"/>
      <c r="D13" s="96">
        <f>IF(D3&gt;'Project Assumptions'!$I$15+1,0,D6+D7+D8-D9+D10-D11-D12)</f>
        <v>419.96750676858483</v>
      </c>
      <c r="E13" s="96">
        <f>IF(E3&gt;'Project Assumptions'!$I$15+1,0,E6+E7+E8-E9+E10-E11-E12)</f>
        <v>1094.2094069242685</v>
      </c>
      <c r="F13" s="96">
        <f>IF(F3&gt;'Project Assumptions'!$I$15+1,0,F6+F7+F8-F9+F10-F11-F12)</f>
        <v>591.06393320835377</v>
      </c>
      <c r="G13" s="96">
        <f>IF(G3&gt;'Project Assumptions'!$I$15+1,0,G6+G7+G8-G9+G10-G11-G12)</f>
        <v>586.2642258721462</v>
      </c>
      <c r="H13" s="96">
        <f>IF(H3&gt;'Project Assumptions'!$I$15+1,0,H6+H7+H8-H9+H10-H11-H12)</f>
        <v>542.43619016054254</v>
      </c>
      <c r="I13" s="96">
        <f>IF(I3&gt;'Project Assumptions'!$I$15+1,0,I6+I7+I8-I9+I10-I11-I12)</f>
        <v>541.4197633579879</v>
      </c>
      <c r="J13" s="96">
        <f>IF(J3&gt;'Project Assumptions'!$I$15+1,0,J6+J7+J8-J9+J10-J11-J12)</f>
        <v>538.18982540107572</v>
      </c>
      <c r="K13" s="96">
        <f>IF(K3&gt;'Project Assumptions'!$I$15+1,0,K6+K7+K8-K9+K10-K11-K12)</f>
        <v>501.93470910208816</v>
      </c>
      <c r="L13" s="96">
        <f>IF(L3&gt;'Project Assumptions'!$I$15+1,0,L6+L7+L8-L9+L10-L11-L12)</f>
        <v>503.0733262437152</v>
      </c>
      <c r="M13" s="96">
        <f>IF(M3&gt;'Project Assumptions'!$I$15+1,0,M6+M7+M8-M9+M10-M11-M12)</f>
        <v>503.15372042816489</v>
      </c>
      <c r="N13" s="96">
        <f>IF(N3&gt;'Project Assumptions'!$I$15+1,0,N6+N7+N8-N9+N10-N11-N12)</f>
        <v>503.32772209631003</v>
      </c>
      <c r="O13" s="96">
        <f>IF(O3&gt;'Project Assumptions'!$I$15+1,0,O6+O7+O8-O9+O10-O11-O12)</f>
        <v>503.02220589782155</v>
      </c>
      <c r="P13" s="96">
        <f>IF(P3&gt;'Project Assumptions'!$I$15+1,0,P6+P7+P8-P9+P10-P11-P12)</f>
        <v>503.38907642536469</v>
      </c>
      <c r="Q13" s="96">
        <f>IF(Q3&gt;'Project Assumptions'!$I$15+1,0,Q6+Q7+Q8-Q9+Q10-Q11-Q12)</f>
        <v>503.85528396344489</v>
      </c>
      <c r="R13" s="96">
        <f>IF(R3&gt;'Project Assumptions'!$I$15+1,0,R6+R7+R8-R9+R10-R11-R12)</f>
        <v>503.84781775229567</v>
      </c>
      <c r="S13" s="96">
        <f>IF(S3&gt;'Project Assumptions'!$I$15+1,0,S6+S7+S8-S9+S10-S11-S12)</f>
        <v>12288.97631831792</v>
      </c>
      <c r="AC13" s="21"/>
      <c r="AD13" s="21"/>
      <c r="AF13" s="22"/>
      <c r="AP13" s="23"/>
      <c r="AQ13" s="23"/>
      <c r="AR13" s="23"/>
      <c r="AS13" s="23"/>
      <c r="AU13" s="22"/>
    </row>
    <row r="14" spans="1:54" ht="12.6" customHeight="1"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AF14" s="22"/>
      <c r="AU14" s="22"/>
    </row>
    <row r="15" spans="1:54" s="24" customFormat="1" ht="12.6" customHeight="1">
      <c r="A15" s="15"/>
      <c r="C15" s="19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/>
      <c r="U15"/>
      <c r="V15"/>
      <c r="W15"/>
      <c r="X15"/>
      <c r="Y15"/>
      <c r="Z15"/>
      <c r="AA15"/>
      <c r="AB15"/>
      <c r="AF15" s="25"/>
      <c r="AU15" s="25"/>
    </row>
    <row r="16" spans="1:54" ht="12.6" customHeight="1">
      <c r="A16" s="15" t="s">
        <v>218</v>
      </c>
      <c r="C16" s="96"/>
      <c r="D16" s="53">
        <f>-'Debt Amortization'!D35*1%</f>
        <v>-1133.4492774122291</v>
      </c>
      <c r="E16" s="53">
        <f>D16</f>
        <v>-1133.4492774122291</v>
      </c>
      <c r="F16" s="53">
        <f>-'Debt Amortization'!F35*1%</f>
        <v>-1059.8108589235828</v>
      </c>
      <c r="G16" s="53">
        <f>-'Debt Amortization'!G35*1%</f>
        <v>-1006.9630227324145</v>
      </c>
      <c r="H16" s="53">
        <f>-'Debt Amortization'!H35*1%</f>
        <v>-950.89675331720434</v>
      </c>
      <c r="I16" s="53">
        <f>-'Debt Amortization'!I35*1%</f>
        <v>-891.41604809460773</v>
      </c>
      <c r="J16" s="53">
        <f>-'Debt Amortization'!J35*1%</f>
        <v>-828.31296792395506</v>
      </c>
      <c r="K16" s="53">
        <f>-'Debt Amortization'!K35*1%</f>
        <v>-761.36691017090959</v>
      </c>
      <c r="L16" s="53">
        <f>-'Debt Amortization'!L35*1%</f>
        <v>-690.34383750070367</v>
      </c>
      <c r="M16" s="53">
        <f>-'Debt Amortization'!M35*1%</f>
        <v>-614.99545970488225</v>
      </c>
      <c r="N16" s="53">
        <f>-'Debt Amortization'!N35*1%</f>
        <v>-535.05836570129532</v>
      </c>
      <c r="O16" s="53">
        <f>-'Debt Amortization'!O35*1%</f>
        <v>-450.25310267288978</v>
      </c>
      <c r="P16" s="53">
        <f>-'Debt Amortization'!P35*1%</f>
        <v>-360.28319912605451</v>
      </c>
      <c r="Q16" s="53">
        <f>-'Debt Amortization'!Q35*1%</f>
        <v>-264.83412845321698</v>
      </c>
      <c r="R16" s="53">
        <f>-'Debt Amortization'!R35*1%</f>
        <v>-163.57220937640361</v>
      </c>
      <c r="S16" s="53">
        <f>-'Debt Amortization'!S35*1%</f>
        <v>-56.143439427812268</v>
      </c>
      <c r="AF16" s="22"/>
      <c r="AU16" s="22"/>
    </row>
    <row r="17" spans="1:47" s="24" customFormat="1" ht="12.6" customHeight="1">
      <c r="A17" s="24" t="s">
        <v>217</v>
      </c>
      <c r="B17" s="24">
        <v>0</v>
      </c>
      <c r="C17" s="19">
        <f>SUM(D17:AD17)</f>
        <v>0</v>
      </c>
      <c r="D17" s="53"/>
      <c r="E17" s="53"/>
      <c r="F17" s="53">
        <f>IF($B$17=1,(F16-E16),0)</f>
        <v>0</v>
      </c>
      <c r="G17" s="53">
        <f t="shared" ref="G17:S17" si="2">IF($B$17=1,(G16-F16),0)</f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 t="shared" si="2"/>
        <v>0</v>
      </c>
      <c r="M17" s="53">
        <f t="shared" si="2"/>
        <v>0</v>
      </c>
      <c r="N17" s="53">
        <f t="shared" si="2"/>
        <v>0</v>
      </c>
      <c r="O17" s="53">
        <f t="shared" si="2"/>
        <v>0</v>
      </c>
      <c r="P17" s="53">
        <f t="shared" si="2"/>
        <v>0</v>
      </c>
      <c r="Q17" s="53">
        <f t="shared" si="2"/>
        <v>0</v>
      </c>
      <c r="R17" s="53">
        <f t="shared" si="2"/>
        <v>0</v>
      </c>
      <c r="S17" s="53">
        <f t="shared" si="2"/>
        <v>0</v>
      </c>
      <c r="T17"/>
      <c r="U17"/>
      <c r="V17"/>
      <c r="W17"/>
      <c r="X17"/>
      <c r="Y17"/>
      <c r="Z17"/>
      <c r="AA17"/>
      <c r="AB17"/>
      <c r="AF17" s="25"/>
      <c r="AU17" s="25"/>
    </row>
    <row r="18" spans="1:47" s="24" customFormat="1" ht="12.6" customHeight="1">
      <c r="C18" s="343"/>
      <c r="D18" s="343"/>
      <c r="E18" s="343"/>
      <c r="F18" s="343"/>
      <c r="G18" s="343"/>
      <c r="H18" s="343"/>
      <c r="I18" s="343"/>
      <c r="J18" s="343"/>
      <c r="K18" s="343"/>
      <c r="L18" s="343"/>
      <c r="M18" s="343"/>
      <c r="N18" s="343"/>
      <c r="O18" s="343"/>
      <c r="P18" s="343"/>
      <c r="Q18" s="343"/>
      <c r="R18" s="343"/>
      <c r="S18" s="53"/>
      <c r="T18"/>
      <c r="U18"/>
      <c r="V18"/>
      <c r="W18"/>
      <c r="X18"/>
      <c r="Y18"/>
      <c r="Z18"/>
      <c r="AA18"/>
      <c r="AB18"/>
      <c r="AF18" s="25"/>
      <c r="AU18" s="25"/>
    </row>
    <row r="19" spans="1:47" ht="13.5" customHeight="1">
      <c r="A19" s="155" t="s">
        <v>18</v>
      </c>
      <c r="B19" s="26"/>
      <c r="C19" s="27">
        <f>SUM(C6:C12)</f>
        <v>367353.5615901408</v>
      </c>
      <c r="D19" s="96">
        <f>D13</f>
        <v>419.96750676858483</v>
      </c>
      <c r="E19" s="96">
        <f t="shared" ref="E19:S19" si="3">E13</f>
        <v>1094.2094069242685</v>
      </c>
      <c r="F19" s="96">
        <f t="shared" si="3"/>
        <v>591.06393320835377</v>
      </c>
      <c r="G19" s="96">
        <f t="shared" si="3"/>
        <v>586.2642258721462</v>
      </c>
      <c r="H19" s="96">
        <f t="shared" si="3"/>
        <v>542.43619016054254</v>
      </c>
      <c r="I19" s="96">
        <f t="shared" si="3"/>
        <v>541.4197633579879</v>
      </c>
      <c r="J19" s="96">
        <f t="shared" si="3"/>
        <v>538.18982540107572</v>
      </c>
      <c r="K19" s="96">
        <f t="shared" si="3"/>
        <v>501.93470910208816</v>
      </c>
      <c r="L19" s="96">
        <f t="shared" si="3"/>
        <v>503.0733262437152</v>
      </c>
      <c r="M19" s="96">
        <f t="shared" si="3"/>
        <v>503.15372042816489</v>
      </c>
      <c r="N19" s="96">
        <f t="shared" si="3"/>
        <v>503.32772209631003</v>
      </c>
      <c r="O19" s="96">
        <f t="shared" si="3"/>
        <v>503.02220589782155</v>
      </c>
      <c r="P19" s="96">
        <f t="shared" si="3"/>
        <v>503.38907642536469</v>
      </c>
      <c r="Q19" s="96">
        <f t="shared" si="3"/>
        <v>503.85528396344489</v>
      </c>
      <c r="R19" s="96">
        <f t="shared" si="3"/>
        <v>503.84781775229567</v>
      </c>
      <c r="S19" s="96">
        <f t="shared" si="3"/>
        <v>12288.97631831792</v>
      </c>
      <c r="AC19" s="21"/>
      <c r="AD19" s="21"/>
      <c r="AF19" s="22"/>
      <c r="AP19" s="23"/>
      <c r="AQ19" s="23"/>
      <c r="AR19" s="23"/>
      <c r="AS19" s="23"/>
      <c r="AU19" s="22"/>
    </row>
    <row r="20" spans="1:47" s="30" customFormat="1" ht="12.6" customHeight="1">
      <c r="A20" s="24" t="s">
        <v>90</v>
      </c>
      <c r="C20" s="61"/>
      <c r="D20" s="97">
        <f>IF(D3&gt;'Project Assumptions'!$I$15+1,0,'Tax Calculations'!C29)</f>
        <v>0</v>
      </c>
      <c r="E20" s="97">
        <f>IF(E3&gt;'Project Assumptions'!$I$15+1,0,'Tax Calculations'!D29)</f>
        <v>0</v>
      </c>
      <c r="F20" s="97">
        <f>IF(F3&gt;'Project Assumptions'!$I$15+1,0,'Tax Calculations'!E29)</f>
        <v>0</v>
      </c>
      <c r="G20" s="97">
        <f>IF(G3&gt;'Project Assumptions'!$I$15+1,0,'Tax Calculations'!F29)</f>
        <v>0</v>
      </c>
      <c r="H20" s="97">
        <f>IF(H3&gt;'Project Assumptions'!$I$15+1,0,'Tax Calculations'!G29)</f>
        <v>0</v>
      </c>
      <c r="I20" s="97">
        <f>IF(I3&gt;'Project Assumptions'!$I$15+1,0,'Tax Calculations'!H29)</f>
        <v>0</v>
      </c>
      <c r="J20" s="97">
        <f>IF(J3&gt;'Project Assumptions'!$I$15+1,0,'Tax Calculations'!I29)</f>
        <v>0</v>
      </c>
      <c r="K20" s="97">
        <f>IF(K3&gt;'Project Assumptions'!$I$15+1,0,'Tax Calculations'!J29)</f>
        <v>0</v>
      </c>
      <c r="L20" s="97">
        <f>IF(L3&gt;'Project Assumptions'!$I$15+1,0,'Tax Calculations'!K29)</f>
        <v>0</v>
      </c>
      <c r="M20" s="97">
        <f>IF(M3&gt;'Project Assumptions'!$I$15+1,0,'Tax Calculations'!L29)</f>
        <v>0</v>
      </c>
      <c r="N20" s="97">
        <f>IF(N3&gt;'Project Assumptions'!$I$15+1,0,'Tax Calculations'!M29)</f>
        <v>0</v>
      </c>
      <c r="O20" s="97">
        <f>IF(O3&gt;'Project Assumptions'!$I$15+1,0,'Tax Calculations'!N29)</f>
        <v>0</v>
      </c>
      <c r="P20" s="97">
        <f>IF(P3&gt;'Project Assumptions'!$I$15+1,0,'Tax Calculations'!O29)</f>
        <v>0</v>
      </c>
      <c r="Q20" s="97">
        <f>IF(Q3&gt;'Project Assumptions'!$I$15+1,0,'Tax Calculations'!P29)</f>
        <v>0</v>
      </c>
      <c r="R20" s="97">
        <f>IF(R3&gt;'Project Assumptions'!$I$15+1,0,'Tax Calculations'!Q29)</f>
        <v>825.2332466059288</v>
      </c>
      <c r="S20" s="97">
        <f>IF(S3&gt;'Project Assumptions'!$I$15+1,0,'Tax Calculations'!R29)</f>
        <v>5679.824257259168</v>
      </c>
      <c r="T20"/>
      <c r="U20"/>
      <c r="V20"/>
      <c r="W20"/>
      <c r="X20"/>
      <c r="Y20"/>
      <c r="Z20"/>
      <c r="AA20"/>
      <c r="AB20"/>
      <c r="AC20" s="32"/>
      <c r="AD20" s="32"/>
      <c r="AF20" s="31"/>
      <c r="AP20" s="31"/>
      <c r="AQ20" s="31"/>
      <c r="AR20" s="31"/>
      <c r="AS20" s="31"/>
      <c r="AU20" s="31"/>
    </row>
    <row r="21" spans="1:47" s="30" customFormat="1" ht="12.6" customHeight="1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/>
      <c r="U21"/>
      <c r="V21"/>
      <c r="W21"/>
      <c r="X21"/>
      <c r="Y21"/>
      <c r="Z21"/>
      <c r="AA21"/>
      <c r="AB21"/>
      <c r="AC21" s="32"/>
      <c r="AD21" s="32"/>
      <c r="AF21" s="31"/>
      <c r="AP21" s="31"/>
      <c r="AQ21" s="31"/>
      <c r="AR21" s="31"/>
      <c r="AS21" s="31"/>
      <c r="AU21" s="31"/>
    </row>
    <row r="22" spans="1:47" s="52" customFormat="1" ht="12.6" customHeight="1">
      <c r="A22" s="157" t="s">
        <v>19</v>
      </c>
      <c r="B22" s="336"/>
      <c r="C22" s="337"/>
      <c r="D22" s="281">
        <f>IF(D3&gt;'Project Assumptions'!$I$15+1,0,D19-D20)</f>
        <v>419.96750676858483</v>
      </c>
      <c r="E22" s="281">
        <f>IF(E3&gt;'Project Assumptions'!$I$15+1,0,E19-E20)</f>
        <v>1094.2094069242685</v>
      </c>
      <c r="F22" s="281">
        <f>IF(F3&gt;'Project Assumptions'!$I$15+1,0,F19-F20)</f>
        <v>591.06393320835377</v>
      </c>
      <c r="G22" s="281">
        <f>IF(G3&gt;'Project Assumptions'!$I$15+1,0,G19-G20)</f>
        <v>586.2642258721462</v>
      </c>
      <c r="H22" s="281">
        <f>IF(H3&gt;'Project Assumptions'!$I$15+1,0,H19-H20)</f>
        <v>542.43619016054254</v>
      </c>
      <c r="I22" s="281">
        <f>IF(I3&gt;'Project Assumptions'!$I$15+1,0,I19-I20)</f>
        <v>541.4197633579879</v>
      </c>
      <c r="J22" s="281">
        <f>IF(J3&gt;'Project Assumptions'!$I$15+1,0,J19-J20)</f>
        <v>538.18982540107572</v>
      </c>
      <c r="K22" s="281">
        <f>IF(K3&gt;'Project Assumptions'!$I$15+1,0,K19-K20)</f>
        <v>501.93470910208816</v>
      </c>
      <c r="L22" s="281">
        <f>IF(L3&gt;'Project Assumptions'!$I$15+1,0,L19-L20)</f>
        <v>503.0733262437152</v>
      </c>
      <c r="M22" s="281">
        <f>IF(M3&gt;'Project Assumptions'!$I$15+1,0,M19-M20)</f>
        <v>503.15372042816489</v>
      </c>
      <c r="N22" s="281">
        <f>IF(N3&gt;'Project Assumptions'!$I$15+1,0,N19-N20)</f>
        <v>503.32772209631003</v>
      </c>
      <c r="O22" s="281">
        <f>IF(O3&gt;'Project Assumptions'!$I$15+1,0,O19-O20)</f>
        <v>503.02220589782155</v>
      </c>
      <c r="P22" s="281">
        <f>IF(P3&gt;'Project Assumptions'!$I$15+1,0,P19-P20)</f>
        <v>503.38907642536469</v>
      </c>
      <c r="Q22" s="281">
        <f>IF(Q3&gt;'Project Assumptions'!$I$15+1,0,Q19-Q20)</f>
        <v>503.85528396344489</v>
      </c>
      <c r="R22" s="281">
        <f>IF(R3&gt;'Project Assumptions'!$I$15+1,0,R19-R20)</f>
        <v>-321.38542885363313</v>
      </c>
      <c r="S22" s="281">
        <f>IF(S3&gt;'Project Assumptions'!$I$15+1,0,S19-S20)</f>
        <v>6609.1520610587522</v>
      </c>
      <c r="T22"/>
      <c r="U22"/>
      <c r="V22"/>
      <c r="W22"/>
      <c r="X22"/>
      <c r="Y22"/>
      <c r="Z22"/>
      <c r="AA22"/>
      <c r="AB22"/>
      <c r="AC22" s="56"/>
      <c r="AD22" s="56"/>
      <c r="AF22" s="57"/>
      <c r="AU22" s="57"/>
    </row>
    <row r="23" spans="1:47" s="30" customFormat="1" ht="12.6" customHeight="1">
      <c r="B23" s="222"/>
      <c r="C23" s="222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/>
      <c r="U23"/>
      <c r="V23"/>
      <c r="W23"/>
      <c r="X23"/>
      <c r="Y23"/>
      <c r="Z23"/>
      <c r="AA23"/>
      <c r="AB23"/>
      <c r="AC23" s="59"/>
      <c r="AD23" s="59"/>
    </row>
    <row r="24" spans="1:47" ht="12.6" customHeight="1">
      <c r="B24" s="344"/>
      <c r="C24" s="422"/>
    </row>
    <row r="25" spans="1:47" s="24" customFormat="1" ht="12.6" customHeight="1">
      <c r="A25" s="157" t="s">
        <v>171</v>
      </c>
      <c r="B25" s="272"/>
      <c r="C25" s="276"/>
      <c r="D25" s="277">
        <f t="shared" ref="D25:S25" si="4">IF(D22&gt;=0,D22,0)</f>
        <v>419.96750676858483</v>
      </c>
      <c r="E25" s="277">
        <f t="shared" si="4"/>
        <v>1094.2094069242685</v>
      </c>
      <c r="F25" s="277">
        <f t="shared" si="4"/>
        <v>591.06393320835377</v>
      </c>
      <c r="G25" s="277">
        <f t="shared" si="4"/>
        <v>586.2642258721462</v>
      </c>
      <c r="H25" s="277">
        <f t="shared" si="4"/>
        <v>542.43619016054254</v>
      </c>
      <c r="I25" s="277">
        <f t="shared" si="4"/>
        <v>541.4197633579879</v>
      </c>
      <c r="J25" s="277">
        <f t="shared" si="4"/>
        <v>538.18982540107572</v>
      </c>
      <c r="K25" s="277">
        <f t="shared" si="4"/>
        <v>501.93470910208816</v>
      </c>
      <c r="L25" s="277">
        <f t="shared" si="4"/>
        <v>503.0733262437152</v>
      </c>
      <c r="M25" s="277">
        <f t="shared" si="4"/>
        <v>503.15372042816489</v>
      </c>
      <c r="N25" s="277">
        <f t="shared" si="4"/>
        <v>503.32772209631003</v>
      </c>
      <c r="O25" s="277">
        <f t="shared" si="4"/>
        <v>503.02220589782155</v>
      </c>
      <c r="P25" s="277">
        <f t="shared" si="4"/>
        <v>503.38907642536469</v>
      </c>
      <c r="Q25" s="277">
        <f t="shared" si="4"/>
        <v>503.85528396344489</v>
      </c>
      <c r="R25" s="277">
        <f t="shared" si="4"/>
        <v>0</v>
      </c>
      <c r="S25" s="277">
        <f t="shared" si="4"/>
        <v>6609.1520610587522</v>
      </c>
      <c r="T25"/>
      <c r="U25"/>
      <c r="V25"/>
      <c r="W25"/>
      <c r="X25"/>
      <c r="Y25"/>
      <c r="Z25"/>
      <c r="AA25"/>
      <c r="AB25"/>
      <c r="AF25" s="25"/>
      <c r="AU25" s="25"/>
    </row>
    <row r="26" spans="1:47" s="272" customFormat="1" ht="12.6" customHeight="1">
      <c r="A26" s="278"/>
      <c r="C26" s="276"/>
      <c r="D26" s="279"/>
      <c r="E26" s="279"/>
      <c r="F26" s="279"/>
      <c r="G26" s="279"/>
      <c r="H26" s="279"/>
      <c r="I26" s="279"/>
      <c r="J26" s="279"/>
      <c r="K26" s="279"/>
      <c r="L26" s="279"/>
      <c r="M26" s="279"/>
      <c r="N26" s="279"/>
      <c r="O26" s="279"/>
      <c r="P26" s="279"/>
      <c r="Q26" s="279"/>
      <c r="R26" s="279"/>
      <c r="S26" s="279"/>
      <c r="T26"/>
      <c r="U26"/>
      <c r="V26"/>
      <c r="W26"/>
      <c r="X26"/>
      <c r="Y26"/>
      <c r="Z26"/>
      <c r="AA26"/>
      <c r="AB26"/>
      <c r="AF26" s="273"/>
      <c r="AU26" s="273"/>
    </row>
    <row r="27" spans="1:47" s="24" customFormat="1" ht="12.6" customHeight="1">
      <c r="A27" s="157" t="s">
        <v>173</v>
      </c>
      <c r="B27" s="272"/>
      <c r="C27" s="276"/>
      <c r="D27" s="277">
        <f t="shared" ref="D27:S27" si="5">IF(D22&lt;0,D22,0)</f>
        <v>0</v>
      </c>
      <c r="E27" s="277">
        <f t="shared" si="5"/>
        <v>0</v>
      </c>
      <c r="F27" s="277">
        <f t="shared" si="5"/>
        <v>0</v>
      </c>
      <c r="G27" s="277">
        <f t="shared" si="5"/>
        <v>0</v>
      </c>
      <c r="H27" s="277">
        <f t="shared" si="5"/>
        <v>0</v>
      </c>
      <c r="I27" s="277">
        <f t="shared" si="5"/>
        <v>0</v>
      </c>
      <c r="J27" s="277">
        <f t="shared" si="5"/>
        <v>0</v>
      </c>
      <c r="K27" s="277">
        <f t="shared" si="5"/>
        <v>0</v>
      </c>
      <c r="L27" s="277">
        <f t="shared" si="5"/>
        <v>0</v>
      </c>
      <c r="M27" s="277">
        <f t="shared" si="5"/>
        <v>0</v>
      </c>
      <c r="N27" s="277">
        <f t="shared" si="5"/>
        <v>0</v>
      </c>
      <c r="O27" s="277">
        <f t="shared" si="5"/>
        <v>0</v>
      </c>
      <c r="P27" s="277">
        <f t="shared" si="5"/>
        <v>0</v>
      </c>
      <c r="Q27" s="277">
        <f t="shared" si="5"/>
        <v>0</v>
      </c>
      <c r="R27" s="277">
        <f t="shared" si="5"/>
        <v>-321.38542885363313</v>
      </c>
      <c r="S27" s="277">
        <f t="shared" si="5"/>
        <v>0</v>
      </c>
      <c r="T27"/>
      <c r="U27"/>
      <c r="V27"/>
      <c r="W27"/>
      <c r="X27"/>
      <c r="Y27"/>
      <c r="Z27"/>
      <c r="AA27"/>
      <c r="AB27"/>
      <c r="AF27" s="25"/>
      <c r="AU27" s="25"/>
    </row>
    <row r="28" spans="1:47" s="24" customFormat="1" ht="12.6" customHeight="1">
      <c r="A28" s="157" t="s">
        <v>174</v>
      </c>
      <c r="C28" s="280">
        <v>6.25E-2</v>
      </c>
      <c r="D28" s="277">
        <f>D27*$C$28</f>
        <v>0</v>
      </c>
      <c r="E28" s="277">
        <f t="shared" ref="E28:J28" si="6">$C$28*(D29+E27)</f>
        <v>0</v>
      </c>
      <c r="F28" s="277">
        <f t="shared" si="6"/>
        <v>0</v>
      </c>
      <c r="G28" s="277">
        <f t="shared" si="6"/>
        <v>0</v>
      </c>
      <c r="H28" s="277">
        <f t="shared" si="6"/>
        <v>0</v>
      </c>
      <c r="I28" s="277">
        <f t="shared" si="6"/>
        <v>0</v>
      </c>
      <c r="J28" s="277">
        <f t="shared" si="6"/>
        <v>0</v>
      </c>
      <c r="K28" s="277">
        <f t="shared" ref="K28:S28" si="7">$C$28*(J29+K27)</f>
        <v>0</v>
      </c>
      <c r="L28" s="277">
        <f t="shared" si="7"/>
        <v>0</v>
      </c>
      <c r="M28" s="277">
        <f t="shared" si="7"/>
        <v>0</v>
      </c>
      <c r="N28" s="277">
        <f t="shared" si="7"/>
        <v>0</v>
      </c>
      <c r="O28" s="277">
        <f t="shared" si="7"/>
        <v>0</v>
      </c>
      <c r="P28" s="277">
        <f t="shared" si="7"/>
        <v>0</v>
      </c>
      <c r="Q28" s="277">
        <f t="shared" si="7"/>
        <v>0</v>
      </c>
      <c r="R28" s="277">
        <f t="shared" si="7"/>
        <v>-20.086589303352071</v>
      </c>
      <c r="S28" s="277">
        <f t="shared" si="7"/>
        <v>-21.342001134811575</v>
      </c>
      <c r="T28"/>
      <c r="U28"/>
      <c r="V28"/>
      <c r="W28"/>
      <c r="X28"/>
      <c r="Y28"/>
      <c r="Z28"/>
      <c r="AA28"/>
      <c r="AB28"/>
      <c r="AF28" s="25"/>
      <c r="AU28" s="25"/>
    </row>
    <row r="29" spans="1:47" s="24" customFormat="1" ht="12.6" customHeight="1">
      <c r="A29" s="157" t="s">
        <v>175</v>
      </c>
      <c r="B29" s="272"/>
      <c r="C29" s="276"/>
      <c r="D29" s="274">
        <f>D27+D28</f>
        <v>0</v>
      </c>
      <c r="E29" s="274">
        <f>IF((D29+E25+E27+E28)&lt;0,(D29+E25+E27+E28),E28)</f>
        <v>0</v>
      </c>
      <c r="F29" s="274">
        <f t="shared" ref="F29:S29" si="8">IF((E29+F25+F27+F28)&lt;0,(E29+F25+F27+F28),F28)</f>
        <v>0</v>
      </c>
      <c r="G29" s="274">
        <f t="shared" si="8"/>
        <v>0</v>
      </c>
      <c r="H29" s="274">
        <f t="shared" si="8"/>
        <v>0</v>
      </c>
      <c r="I29" s="274">
        <f t="shared" si="8"/>
        <v>0</v>
      </c>
      <c r="J29" s="274">
        <f t="shared" si="8"/>
        <v>0</v>
      </c>
      <c r="K29" s="274">
        <f t="shared" si="8"/>
        <v>0</v>
      </c>
      <c r="L29" s="274">
        <f t="shared" si="8"/>
        <v>0</v>
      </c>
      <c r="M29" s="274">
        <f t="shared" si="8"/>
        <v>0</v>
      </c>
      <c r="N29" s="274">
        <f t="shared" si="8"/>
        <v>0</v>
      </c>
      <c r="O29" s="274">
        <f t="shared" si="8"/>
        <v>0</v>
      </c>
      <c r="P29" s="274">
        <f t="shared" si="8"/>
        <v>0</v>
      </c>
      <c r="Q29" s="274">
        <f t="shared" si="8"/>
        <v>0</v>
      </c>
      <c r="R29" s="274">
        <f t="shared" si="8"/>
        <v>-341.4720181569852</v>
      </c>
      <c r="S29" s="274">
        <f t="shared" si="8"/>
        <v>-21.342001134811575</v>
      </c>
      <c r="T29"/>
      <c r="U29"/>
      <c r="V29"/>
      <c r="W29"/>
      <c r="X29"/>
      <c r="Y29"/>
      <c r="Z29"/>
      <c r="AA29"/>
      <c r="AB29"/>
      <c r="AF29" s="25"/>
      <c r="AU29" s="25"/>
    </row>
    <row r="30" spans="1:47" s="24" customFormat="1" ht="12.6" customHeight="1">
      <c r="A30" s="275"/>
      <c r="B30" s="272"/>
      <c r="C30" s="276"/>
      <c r="D30" s="274"/>
      <c r="E30" s="274"/>
      <c r="F30" s="274"/>
      <c r="G30" s="274"/>
      <c r="H30" s="274"/>
      <c r="I30" s="274"/>
      <c r="J30" s="274"/>
      <c r="K30" s="274"/>
      <c r="L30" s="274"/>
      <c r="M30" s="274"/>
      <c r="N30" s="274"/>
      <c r="O30" s="274"/>
      <c r="P30" s="274"/>
      <c r="Q30" s="274"/>
      <c r="R30" s="274"/>
      <c r="S30" s="274"/>
      <c r="T30"/>
      <c r="U30"/>
      <c r="V30"/>
      <c r="W30"/>
      <c r="X30"/>
      <c r="Y30"/>
      <c r="Z30"/>
      <c r="AA30"/>
      <c r="AB30"/>
      <c r="AF30" s="25"/>
      <c r="AU30" s="25"/>
    </row>
    <row r="31" spans="1:47" s="24" customFormat="1" ht="12.6" customHeight="1">
      <c r="A31" s="157" t="s">
        <v>172</v>
      </c>
      <c r="B31" s="272"/>
      <c r="C31" s="276"/>
      <c r="D31" s="282">
        <f t="shared" ref="D31:Q31" si="9">IF(AND(D22&lt;0,D29&lt;0),0,C29+D25+D27+D28)</f>
        <v>419.96750676858483</v>
      </c>
      <c r="E31" s="282">
        <f t="shared" si="9"/>
        <v>1094.2094069242685</v>
      </c>
      <c r="F31" s="282">
        <f t="shared" si="9"/>
        <v>591.06393320835377</v>
      </c>
      <c r="G31" s="282">
        <f t="shared" si="9"/>
        <v>586.2642258721462</v>
      </c>
      <c r="H31" s="282">
        <f t="shared" si="9"/>
        <v>542.43619016054254</v>
      </c>
      <c r="I31" s="282">
        <f t="shared" si="9"/>
        <v>541.4197633579879</v>
      </c>
      <c r="J31" s="282">
        <f t="shared" si="9"/>
        <v>538.18982540107572</v>
      </c>
      <c r="K31" s="282">
        <f t="shared" si="9"/>
        <v>501.93470910208816</v>
      </c>
      <c r="L31" s="282">
        <f t="shared" si="9"/>
        <v>503.0733262437152</v>
      </c>
      <c r="M31" s="282">
        <f t="shared" si="9"/>
        <v>503.15372042816489</v>
      </c>
      <c r="N31" s="282">
        <f t="shared" si="9"/>
        <v>503.32772209631003</v>
      </c>
      <c r="O31" s="282">
        <f t="shared" si="9"/>
        <v>503.02220589782155</v>
      </c>
      <c r="P31" s="282">
        <f t="shared" si="9"/>
        <v>503.38907642536469</v>
      </c>
      <c r="Q31" s="282">
        <f t="shared" si="9"/>
        <v>503.85528396344489</v>
      </c>
      <c r="R31" s="282">
        <f>IF(AND(R22&lt;0,R29&lt;0),0,Q29+R25+R27+R28)</f>
        <v>0</v>
      </c>
      <c r="S31" s="282">
        <f>IF(AND(S22&lt;0,S29&lt;0),0,R29+S25+S27+S28)</f>
        <v>6246.338041766955</v>
      </c>
      <c r="T31"/>
      <c r="U31"/>
      <c r="V31"/>
      <c r="W31"/>
      <c r="X31"/>
      <c r="Y31"/>
      <c r="Z31"/>
      <c r="AA31"/>
      <c r="AB31"/>
      <c r="AF31" s="25"/>
      <c r="AU31" s="25"/>
    </row>
    <row r="32" spans="1:47" s="24" customFormat="1" ht="12.6" customHeight="1">
      <c r="A32" s="255"/>
      <c r="C32" s="25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/>
      <c r="U32"/>
      <c r="V32"/>
      <c r="W32"/>
      <c r="X32"/>
      <c r="Y32"/>
      <c r="Z32"/>
      <c r="AA32"/>
      <c r="AB32"/>
      <c r="AF32" s="25"/>
      <c r="AU32" s="25"/>
    </row>
    <row r="33" spans="3:47" s="24" customFormat="1" ht="14.25" customHeight="1">
      <c r="C33" s="19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/>
      <c r="U33"/>
      <c r="V33"/>
      <c r="W33"/>
      <c r="X33"/>
      <c r="Y33"/>
      <c r="Z33"/>
      <c r="AA33"/>
      <c r="AB33"/>
      <c r="AF33" s="25"/>
      <c r="AU33" s="25"/>
    </row>
    <row r="34" spans="3:47" customFormat="1" ht="12.6" customHeight="1"/>
    <row r="35" spans="3:47" customFormat="1" ht="12.6" customHeight="1"/>
    <row r="36" spans="3:47" customFormat="1" ht="12.6" customHeight="1"/>
    <row r="37" spans="3:47" customFormat="1" ht="12.6" customHeight="1"/>
    <row r="38" spans="3:47" customFormat="1" ht="12.6" customHeight="1"/>
    <row r="39" spans="3:47" customFormat="1" ht="12.6" customHeight="1"/>
    <row r="40" spans="3:47" customFormat="1" ht="12.6" customHeight="1"/>
    <row r="41" spans="3:47" customFormat="1" ht="12.6" customHeight="1"/>
    <row r="42" spans="3:47" customFormat="1" ht="12.6" customHeight="1"/>
    <row r="43" spans="3:47" customFormat="1" ht="12.6" customHeight="1"/>
    <row r="44" spans="3:47" customFormat="1" ht="12.6" customHeight="1"/>
    <row r="45" spans="3:47" customFormat="1" ht="12.6" customHeight="1"/>
    <row r="46" spans="3:47" customFormat="1" ht="12.6" customHeight="1"/>
    <row r="47" spans="3:47" customFormat="1" ht="12.6" customHeight="1"/>
    <row r="48" spans="3:47" customFormat="1" ht="12.6" customHeight="1"/>
    <row r="52" customFormat="1" ht="12.6" customHeight="1"/>
    <row r="53" customFormat="1" ht="12.6" customHeight="1"/>
    <row r="54" customFormat="1" ht="12.6" customHeight="1"/>
    <row r="55" customFormat="1" ht="12.6" customHeight="1"/>
    <row r="56" customFormat="1" ht="12.6" customHeight="1"/>
    <row r="57" customFormat="1" ht="12.6" customHeight="1"/>
    <row r="58" customFormat="1" ht="12.6" customHeight="1"/>
    <row r="59" customFormat="1" ht="12.6" customHeight="1"/>
    <row r="60" customFormat="1" ht="12.6" customHeight="1"/>
    <row r="61" customFormat="1" ht="12.6" customHeight="1"/>
    <row r="62" customFormat="1" ht="12.6" customHeight="1"/>
    <row r="63" customFormat="1" ht="12.6" customHeight="1"/>
    <row r="64" customFormat="1" ht="12.6" customHeight="1"/>
    <row r="65" customFormat="1" ht="12.6" customHeight="1"/>
    <row r="66" customFormat="1" ht="12.6" customHeight="1"/>
    <row r="67" customFormat="1" ht="12.6" customHeight="1"/>
    <row r="68" customFormat="1" ht="12.6" customHeight="1"/>
    <row r="69" customFormat="1" ht="12.6" customHeight="1"/>
    <row r="70" customFormat="1" ht="12.6" customHeight="1"/>
    <row r="71" customFormat="1" ht="12.6" customHeight="1"/>
    <row r="72" customFormat="1" ht="12.6" customHeight="1"/>
    <row r="73" customFormat="1" ht="12.6" customHeight="1"/>
    <row r="74" customFormat="1" ht="12.6" customHeight="1"/>
    <row r="75" customFormat="1" ht="12.6" customHeight="1"/>
    <row r="76" customFormat="1" ht="30" customHeight="1"/>
    <row r="77" customFormat="1" ht="12.6" customHeight="1"/>
    <row r="78" customFormat="1" ht="12.6" customHeight="1"/>
    <row r="79" customFormat="1" ht="12.6" customHeight="1"/>
    <row r="80" customFormat="1" ht="12.6" customHeight="1"/>
    <row r="81" customFormat="1" ht="12.6" customHeight="1"/>
    <row r="82" customFormat="1" ht="12.6" customHeight="1"/>
    <row r="83" customFormat="1" ht="12.6" customHeight="1"/>
    <row r="84" customFormat="1" ht="12.6" customHeight="1"/>
    <row r="85" customFormat="1" ht="12.6" customHeight="1"/>
    <row r="86" customFormat="1" ht="12.6" customHeight="1"/>
    <row r="87" customFormat="1" ht="12.6" customHeight="1"/>
    <row r="88" customFormat="1" ht="12.6" customHeight="1"/>
    <row r="89" customFormat="1" ht="12.6" customHeight="1"/>
    <row r="90" customFormat="1" ht="12.6" customHeight="1"/>
    <row r="91" customFormat="1" ht="12.6" customHeight="1"/>
    <row r="92" customFormat="1" ht="12.6" customHeight="1"/>
    <row r="93" customFormat="1" ht="12.6" customHeight="1"/>
  </sheetData>
  <customSheetViews>
    <customSheetView guid="{9D7575BF-255B-11D2-8267-00A0D1027254}" scale="75" showRuler="0">
      <selection activeCell="D13" sqref="D13"/>
      <colBreaks count="1" manualBreakCount="1">
        <brk id="15" max="45" man="1"/>
      </colBreaks>
      <pageMargins left="0.75" right="0.75" top="1" bottom="1" header="0.5" footer="0.5"/>
      <pageSetup scale="77" orientation="landscape" r:id="rId1"/>
      <headerFooter alignWithMargins="0">
        <oddFooter>&amp;L&amp;D   &amp;T&amp;RO:\Naes\GenSvcs\TVA\TVA Model\&amp;F
&amp;A &amp;P</oddFooter>
      </headerFooter>
    </customSheetView>
    <customSheetView guid="{773475A7-2559-11D2-A5F6-0060080AEB13}" showPageBreaks="1" printArea="1" showRuler="0">
      <colBreaks count="1" manualBreakCount="1">
        <brk id="16" max="28" man="1"/>
      </colBreaks>
      <pageMargins left="0.41" right="0.38" top="1" bottom="1" header="0.5" footer="0.5"/>
      <pageSetup scale="80" pageOrder="overThenDown" orientation="landscape" r:id="rId2"/>
      <headerFooter alignWithMargins="0">
        <oddFooter>&amp;L&amp;D   &amp;T&amp;RO:\Naes\GenSvcs\Tva\Tva Models\&amp;F
&amp;A   &amp;P</oddFooter>
      </headerFooter>
    </customSheetView>
    <customSheetView guid="{14FB3146-3CEF-11D2-B9CE-0060080D6A65}" scale="75" showRuler="0">
      <selection activeCell="D13" sqref="D13"/>
      <colBreaks count="1" manualBreakCount="1">
        <brk id="15" max="45" man="1"/>
      </colBreaks>
      <pageMargins left="0.75" right="0.75" top="1" bottom="1" header="0.5" footer="0.5"/>
      <pageSetup scale="77" orientation="landscape" r:id="rId3"/>
      <headerFooter alignWithMargins="0">
        <oddFooter>&amp;L&amp;D   &amp;T&amp;RO:\Naes\GenSvcs\TVA\TVA Model\&amp;F
&amp;A &amp;P</oddFooter>
      </headerFooter>
    </customSheetView>
  </customSheetViews>
  <printOptions horizontalCentered="1" verticalCentered="1"/>
  <pageMargins left="0.25" right="0.25" top="0.75" bottom="0.75" header="0.5" footer="0.5"/>
  <pageSetup scale="64" orientation="landscape" r:id="rId4"/>
  <headerFooter alignWithMargins="0">
    <oddFooter>&amp;L&amp;D   &amp;T&amp;R&amp;A &amp;P</oddFooter>
  </headerFooter>
  <colBreaks count="1" manualBreakCount="1">
    <brk id="15" max="2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U26"/>
  <sheetViews>
    <sheetView zoomScaleNormal="100" workbookViewId="0"/>
  </sheetViews>
  <sheetFormatPr defaultRowHeight="13.2"/>
  <cols>
    <col min="1" max="1" width="34.6640625" bestFit="1" customWidth="1"/>
    <col min="2" max="2" width="15.88671875" customWidth="1"/>
  </cols>
  <sheetData>
    <row r="1" spans="1:229" ht="24.6">
      <c r="A1" s="438" t="str">
        <f>'Project Assumptions'!$A$2</f>
        <v>PROJECT DOYLE</v>
      </c>
      <c r="B1" s="438"/>
    </row>
    <row r="2" spans="1:229" ht="17.399999999999999">
      <c r="A2" s="439" t="s">
        <v>376</v>
      </c>
      <c r="B2" s="439"/>
    </row>
    <row r="7" spans="1:229">
      <c r="A7" s="329"/>
      <c r="B7" s="329"/>
      <c r="C7" s="483">
        <f>'Project Assumptions'!I16</f>
        <v>36661</v>
      </c>
      <c r="D7" s="483">
        <f>EOMONTH('Project Assumptions'!F21,0)</f>
        <v>36677</v>
      </c>
      <c r="E7" s="483">
        <f>EOMONTH(D7,1)</f>
        <v>36707</v>
      </c>
      <c r="F7" s="483">
        <f>EOMONTH(E7,1)</f>
        <v>36738</v>
      </c>
      <c r="G7" s="483">
        <f>MAX(F7,'Project Assumptions'!F24)</f>
        <v>36738</v>
      </c>
      <c r="H7" s="483">
        <f>MAX(G7,'Project Assumptions'!F25)</f>
        <v>36769</v>
      </c>
      <c r="I7" s="483">
        <f>EOMONTH(H7,0)</f>
        <v>36769</v>
      </c>
      <c r="J7" s="483">
        <f t="shared" ref="J7:AO7" si="0">EOMONTH(I7,1)</f>
        <v>36799</v>
      </c>
      <c r="K7" s="483">
        <f t="shared" si="0"/>
        <v>36830</v>
      </c>
      <c r="L7" s="483">
        <f t="shared" si="0"/>
        <v>36860</v>
      </c>
      <c r="M7" s="483">
        <f t="shared" si="0"/>
        <v>36891</v>
      </c>
      <c r="N7" s="483">
        <f t="shared" si="0"/>
        <v>36922</v>
      </c>
      <c r="O7" s="483">
        <f t="shared" si="0"/>
        <v>36950</v>
      </c>
      <c r="P7" s="483">
        <f t="shared" si="0"/>
        <v>36981</v>
      </c>
      <c r="Q7" s="483">
        <f t="shared" si="0"/>
        <v>37011</v>
      </c>
      <c r="R7" s="483">
        <f t="shared" si="0"/>
        <v>37042</v>
      </c>
      <c r="S7" s="483">
        <f t="shared" si="0"/>
        <v>37072</v>
      </c>
      <c r="T7" s="483">
        <f t="shared" si="0"/>
        <v>37103</v>
      </c>
      <c r="U7" s="483">
        <f t="shared" si="0"/>
        <v>37134</v>
      </c>
      <c r="V7" s="483">
        <f t="shared" si="0"/>
        <v>37164</v>
      </c>
      <c r="W7" s="483">
        <f t="shared" si="0"/>
        <v>37195</v>
      </c>
      <c r="X7" s="483">
        <f t="shared" si="0"/>
        <v>37225</v>
      </c>
      <c r="Y7" s="483">
        <f t="shared" si="0"/>
        <v>37256</v>
      </c>
      <c r="Z7" s="483">
        <f t="shared" si="0"/>
        <v>37287</v>
      </c>
      <c r="AA7" s="483">
        <f t="shared" si="0"/>
        <v>37315</v>
      </c>
      <c r="AB7" s="483">
        <f t="shared" si="0"/>
        <v>37346</v>
      </c>
      <c r="AC7" s="483">
        <f t="shared" si="0"/>
        <v>37376</v>
      </c>
      <c r="AD7" s="483">
        <f t="shared" si="0"/>
        <v>37407</v>
      </c>
      <c r="AE7" s="483">
        <f t="shared" si="0"/>
        <v>37437</v>
      </c>
      <c r="AF7" s="483">
        <f t="shared" si="0"/>
        <v>37468</v>
      </c>
      <c r="AG7" s="483">
        <f t="shared" si="0"/>
        <v>37499</v>
      </c>
      <c r="AH7" s="483">
        <f t="shared" si="0"/>
        <v>37529</v>
      </c>
      <c r="AI7" s="483">
        <f t="shared" si="0"/>
        <v>37560</v>
      </c>
      <c r="AJ7" s="483">
        <f t="shared" si="0"/>
        <v>37590</v>
      </c>
      <c r="AK7" s="483">
        <f t="shared" si="0"/>
        <v>37621</v>
      </c>
      <c r="AL7" s="483">
        <f t="shared" si="0"/>
        <v>37652</v>
      </c>
      <c r="AM7" s="483">
        <f t="shared" si="0"/>
        <v>37680</v>
      </c>
      <c r="AN7" s="483">
        <f t="shared" si="0"/>
        <v>37711</v>
      </c>
      <c r="AO7" s="483">
        <f t="shared" si="0"/>
        <v>37741</v>
      </c>
      <c r="AP7" s="483">
        <f t="shared" ref="AP7:BU7" si="1">EOMONTH(AO7,1)</f>
        <v>37772</v>
      </c>
      <c r="AQ7" s="483">
        <f t="shared" si="1"/>
        <v>37802</v>
      </c>
      <c r="AR7" s="483">
        <f t="shared" si="1"/>
        <v>37833</v>
      </c>
      <c r="AS7" s="483">
        <f t="shared" si="1"/>
        <v>37864</v>
      </c>
      <c r="AT7" s="483">
        <f t="shared" si="1"/>
        <v>37894</v>
      </c>
      <c r="AU7" s="483">
        <f t="shared" si="1"/>
        <v>37925</v>
      </c>
      <c r="AV7" s="483">
        <f t="shared" si="1"/>
        <v>37955</v>
      </c>
      <c r="AW7" s="483">
        <f t="shared" si="1"/>
        <v>37986</v>
      </c>
      <c r="AX7" s="483">
        <f t="shared" si="1"/>
        <v>38017</v>
      </c>
      <c r="AY7" s="483">
        <f t="shared" si="1"/>
        <v>38046</v>
      </c>
      <c r="AZ7" s="483">
        <f t="shared" si="1"/>
        <v>38077</v>
      </c>
      <c r="BA7" s="483">
        <f t="shared" si="1"/>
        <v>38107</v>
      </c>
      <c r="BB7" s="483">
        <f t="shared" si="1"/>
        <v>38138</v>
      </c>
      <c r="BC7" s="483">
        <f t="shared" si="1"/>
        <v>38168</v>
      </c>
      <c r="BD7" s="483">
        <f t="shared" si="1"/>
        <v>38199</v>
      </c>
      <c r="BE7" s="483">
        <f t="shared" si="1"/>
        <v>38230</v>
      </c>
      <c r="BF7" s="483">
        <f t="shared" si="1"/>
        <v>38260</v>
      </c>
      <c r="BG7" s="483">
        <f t="shared" si="1"/>
        <v>38291</v>
      </c>
      <c r="BH7" s="483">
        <f t="shared" si="1"/>
        <v>38321</v>
      </c>
      <c r="BI7" s="483">
        <f t="shared" si="1"/>
        <v>38352</v>
      </c>
      <c r="BJ7" s="483">
        <f t="shared" si="1"/>
        <v>38383</v>
      </c>
      <c r="BK7" s="483">
        <f t="shared" si="1"/>
        <v>38411</v>
      </c>
      <c r="BL7" s="483">
        <f t="shared" si="1"/>
        <v>38442</v>
      </c>
      <c r="BM7" s="483">
        <f t="shared" si="1"/>
        <v>38472</v>
      </c>
      <c r="BN7" s="483">
        <f t="shared" si="1"/>
        <v>38503</v>
      </c>
      <c r="BO7" s="483">
        <f t="shared" si="1"/>
        <v>38533</v>
      </c>
      <c r="BP7" s="483">
        <f t="shared" si="1"/>
        <v>38564</v>
      </c>
      <c r="BQ7" s="483">
        <f t="shared" si="1"/>
        <v>38595</v>
      </c>
      <c r="BR7" s="483">
        <f t="shared" si="1"/>
        <v>38625</v>
      </c>
      <c r="BS7" s="483">
        <f t="shared" si="1"/>
        <v>38656</v>
      </c>
      <c r="BT7" s="483">
        <f t="shared" si="1"/>
        <v>38686</v>
      </c>
      <c r="BU7" s="483">
        <f t="shared" si="1"/>
        <v>38717</v>
      </c>
      <c r="BV7" s="483">
        <f t="shared" ref="BV7:DA7" si="2">EOMONTH(BU7,1)</f>
        <v>38748</v>
      </c>
      <c r="BW7" s="483">
        <f t="shared" si="2"/>
        <v>38776</v>
      </c>
      <c r="BX7" s="483">
        <f t="shared" si="2"/>
        <v>38807</v>
      </c>
      <c r="BY7" s="483">
        <f t="shared" si="2"/>
        <v>38837</v>
      </c>
      <c r="BZ7" s="483">
        <f t="shared" si="2"/>
        <v>38868</v>
      </c>
      <c r="CA7" s="483">
        <f t="shared" si="2"/>
        <v>38898</v>
      </c>
      <c r="CB7" s="483">
        <f t="shared" si="2"/>
        <v>38929</v>
      </c>
      <c r="CC7" s="483">
        <f t="shared" si="2"/>
        <v>38960</v>
      </c>
      <c r="CD7" s="483">
        <f t="shared" si="2"/>
        <v>38990</v>
      </c>
      <c r="CE7" s="483">
        <f t="shared" si="2"/>
        <v>39021</v>
      </c>
      <c r="CF7" s="483">
        <f t="shared" si="2"/>
        <v>39051</v>
      </c>
      <c r="CG7" s="483">
        <f t="shared" si="2"/>
        <v>39082</v>
      </c>
      <c r="CH7" s="483">
        <f t="shared" si="2"/>
        <v>39113</v>
      </c>
      <c r="CI7" s="483">
        <f t="shared" si="2"/>
        <v>39141</v>
      </c>
      <c r="CJ7" s="483">
        <f t="shared" si="2"/>
        <v>39172</v>
      </c>
      <c r="CK7" s="483">
        <f t="shared" si="2"/>
        <v>39202</v>
      </c>
      <c r="CL7" s="483">
        <f t="shared" si="2"/>
        <v>39233</v>
      </c>
      <c r="CM7" s="483">
        <f t="shared" si="2"/>
        <v>39263</v>
      </c>
      <c r="CN7" s="483">
        <f t="shared" si="2"/>
        <v>39294</v>
      </c>
      <c r="CO7" s="483">
        <f t="shared" si="2"/>
        <v>39325</v>
      </c>
      <c r="CP7" s="483">
        <f t="shared" si="2"/>
        <v>39355</v>
      </c>
      <c r="CQ7" s="483">
        <f t="shared" si="2"/>
        <v>39386</v>
      </c>
      <c r="CR7" s="483">
        <f t="shared" si="2"/>
        <v>39416</v>
      </c>
      <c r="CS7" s="483">
        <f t="shared" si="2"/>
        <v>39447</v>
      </c>
      <c r="CT7" s="483">
        <f t="shared" si="2"/>
        <v>39478</v>
      </c>
      <c r="CU7" s="483">
        <f t="shared" si="2"/>
        <v>39507</v>
      </c>
      <c r="CV7" s="483">
        <f t="shared" si="2"/>
        <v>39538</v>
      </c>
      <c r="CW7" s="483">
        <f t="shared" si="2"/>
        <v>39568</v>
      </c>
      <c r="CX7" s="483">
        <f t="shared" si="2"/>
        <v>39599</v>
      </c>
      <c r="CY7" s="483">
        <f t="shared" si="2"/>
        <v>39629</v>
      </c>
      <c r="CZ7" s="483">
        <f t="shared" si="2"/>
        <v>39660</v>
      </c>
      <c r="DA7" s="483">
        <f t="shared" si="2"/>
        <v>39691</v>
      </c>
      <c r="DB7" s="483">
        <f t="shared" ref="DB7:EG7" si="3">EOMONTH(DA7,1)</f>
        <v>39721</v>
      </c>
      <c r="DC7" s="483">
        <f t="shared" si="3"/>
        <v>39752</v>
      </c>
      <c r="DD7" s="483">
        <f t="shared" si="3"/>
        <v>39782</v>
      </c>
      <c r="DE7" s="483">
        <f t="shared" si="3"/>
        <v>39813</v>
      </c>
      <c r="DF7" s="483">
        <f t="shared" si="3"/>
        <v>39844</v>
      </c>
      <c r="DG7" s="483">
        <f t="shared" si="3"/>
        <v>39872</v>
      </c>
      <c r="DH7" s="483">
        <f t="shared" si="3"/>
        <v>39903</v>
      </c>
      <c r="DI7" s="483">
        <f t="shared" si="3"/>
        <v>39933</v>
      </c>
      <c r="DJ7" s="483">
        <f t="shared" si="3"/>
        <v>39964</v>
      </c>
      <c r="DK7" s="483">
        <f t="shared" si="3"/>
        <v>39994</v>
      </c>
      <c r="DL7" s="483">
        <f t="shared" si="3"/>
        <v>40025</v>
      </c>
      <c r="DM7" s="483">
        <f t="shared" si="3"/>
        <v>40056</v>
      </c>
      <c r="DN7" s="483">
        <f t="shared" si="3"/>
        <v>40086</v>
      </c>
      <c r="DO7" s="483">
        <f t="shared" si="3"/>
        <v>40117</v>
      </c>
      <c r="DP7" s="483">
        <f t="shared" si="3"/>
        <v>40147</v>
      </c>
      <c r="DQ7" s="483">
        <f t="shared" si="3"/>
        <v>40178</v>
      </c>
      <c r="DR7" s="483">
        <f t="shared" si="3"/>
        <v>40209</v>
      </c>
      <c r="DS7" s="483">
        <f t="shared" si="3"/>
        <v>40237</v>
      </c>
      <c r="DT7" s="483">
        <f t="shared" si="3"/>
        <v>40268</v>
      </c>
      <c r="DU7" s="483">
        <f t="shared" si="3"/>
        <v>40298</v>
      </c>
      <c r="DV7" s="483">
        <f t="shared" si="3"/>
        <v>40329</v>
      </c>
      <c r="DW7" s="483">
        <f t="shared" si="3"/>
        <v>40359</v>
      </c>
      <c r="DX7" s="483">
        <f t="shared" si="3"/>
        <v>40390</v>
      </c>
      <c r="DY7" s="483">
        <f t="shared" si="3"/>
        <v>40421</v>
      </c>
      <c r="DZ7" s="483">
        <f t="shared" si="3"/>
        <v>40451</v>
      </c>
      <c r="EA7" s="483">
        <f t="shared" si="3"/>
        <v>40482</v>
      </c>
      <c r="EB7" s="483">
        <f t="shared" si="3"/>
        <v>40512</v>
      </c>
      <c r="EC7" s="483">
        <f t="shared" si="3"/>
        <v>40543</v>
      </c>
      <c r="ED7" s="483">
        <f t="shared" si="3"/>
        <v>40574</v>
      </c>
      <c r="EE7" s="483">
        <f t="shared" si="3"/>
        <v>40602</v>
      </c>
      <c r="EF7" s="483">
        <f t="shared" si="3"/>
        <v>40633</v>
      </c>
      <c r="EG7" s="483">
        <f t="shared" si="3"/>
        <v>40663</v>
      </c>
      <c r="EH7" s="483">
        <f t="shared" ref="EH7:FM7" si="4">EOMONTH(EG7,1)</f>
        <v>40694</v>
      </c>
      <c r="EI7" s="483">
        <f t="shared" si="4"/>
        <v>40724</v>
      </c>
      <c r="EJ7" s="483">
        <f t="shared" si="4"/>
        <v>40755</v>
      </c>
      <c r="EK7" s="483">
        <f t="shared" si="4"/>
        <v>40786</v>
      </c>
      <c r="EL7" s="483">
        <f t="shared" si="4"/>
        <v>40816</v>
      </c>
      <c r="EM7" s="483">
        <f t="shared" si="4"/>
        <v>40847</v>
      </c>
      <c r="EN7" s="483">
        <f t="shared" si="4"/>
        <v>40877</v>
      </c>
      <c r="EO7" s="483">
        <f t="shared" si="4"/>
        <v>40908</v>
      </c>
      <c r="EP7" s="483">
        <f t="shared" si="4"/>
        <v>40939</v>
      </c>
      <c r="EQ7" s="483">
        <f t="shared" si="4"/>
        <v>40968</v>
      </c>
      <c r="ER7" s="483">
        <f t="shared" si="4"/>
        <v>40999</v>
      </c>
      <c r="ES7" s="483">
        <f t="shared" si="4"/>
        <v>41029</v>
      </c>
      <c r="ET7" s="483">
        <f t="shared" si="4"/>
        <v>41060</v>
      </c>
      <c r="EU7" s="483">
        <f t="shared" si="4"/>
        <v>41090</v>
      </c>
      <c r="EV7" s="483">
        <f t="shared" si="4"/>
        <v>41121</v>
      </c>
      <c r="EW7" s="483">
        <f t="shared" si="4"/>
        <v>41152</v>
      </c>
      <c r="EX7" s="483">
        <f t="shared" si="4"/>
        <v>41182</v>
      </c>
      <c r="EY7" s="483">
        <f t="shared" si="4"/>
        <v>41213</v>
      </c>
      <c r="EZ7" s="483">
        <f t="shared" si="4"/>
        <v>41243</v>
      </c>
      <c r="FA7" s="483">
        <f t="shared" si="4"/>
        <v>41274</v>
      </c>
      <c r="FB7" s="483">
        <f t="shared" si="4"/>
        <v>41305</v>
      </c>
      <c r="FC7" s="483">
        <f t="shared" si="4"/>
        <v>41333</v>
      </c>
      <c r="FD7" s="483">
        <f t="shared" si="4"/>
        <v>41364</v>
      </c>
      <c r="FE7" s="483">
        <f t="shared" si="4"/>
        <v>41394</v>
      </c>
      <c r="FF7" s="483">
        <f t="shared" si="4"/>
        <v>41425</v>
      </c>
      <c r="FG7" s="483">
        <f t="shared" si="4"/>
        <v>41455</v>
      </c>
      <c r="FH7" s="483">
        <f t="shared" si="4"/>
        <v>41486</v>
      </c>
      <c r="FI7" s="483">
        <f t="shared" si="4"/>
        <v>41517</v>
      </c>
      <c r="FJ7" s="483">
        <f t="shared" si="4"/>
        <v>41547</v>
      </c>
      <c r="FK7" s="483">
        <f t="shared" si="4"/>
        <v>41578</v>
      </c>
      <c r="FL7" s="483">
        <f t="shared" si="4"/>
        <v>41608</v>
      </c>
      <c r="FM7" s="483">
        <f t="shared" si="4"/>
        <v>41639</v>
      </c>
      <c r="FN7" s="483">
        <f t="shared" ref="FN7:GG7" si="5">EOMONTH(FM7,1)</f>
        <v>41670</v>
      </c>
      <c r="FO7" s="483">
        <f t="shared" si="5"/>
        <v>41698</v>
      </c>
      <c r="FP7" s="483">
        <f t="shared" si="5"/>
        <v>41729</v>
      </c>
      <c r="FQ7" s="483">
        <f t="shared" si="5"/>
        <v>41759</v>
      </c>
      <c r="FR7" s="483">
        <f t="shared" si="5"/>
        <v>41790</v>
      </c>
      <c r="FS7" s="483">
        <f t="shared" si="5"/>
        <v>41820</v>
      </c>
      <c r="FT7" s="483">
        <f t="shared" si="5"/>
        <v>41851</v>
      </c>
      <c r="FU7" s="483">
        <f t="shared" si="5"/>
        <v>41882</v>
      </c>
      <c r="FV7" s="483">
        <f t="shared" si="5"/>
        <v>41912</v>
      </c>
      <c r="FW7" s="483">
        <f t="shared" si="5"/>
        <v>41943</v>
      </c>
      <c r="FX7" s="483">
        <f t="shared" si="5"/>
        <v>41973</v>
      </c>
      <c r="FY7" s="483">
        <f t="shared" si="5"/>
        <v>42004</v>
      </c>
      <c r="FZ7" s="483">
        <f t="shared" si="5"/>
        <v>42035</v>
      </c>
      <c r="GA7" s="483">
        <f t="shared" si="5"/>
        <v>42063</v>
      </c>
      <c r="GB7" s="483">
        <f t="shared" si="5"/>
        <v>42094</v>
      </c>
      <c r="GC7" s="483">
        <f t="shared" si="5"/>
        <v>42124</v>
      </c>
      <c r="GD7" s="483">
        <f t="shared" si="5"/>
        <v>42155</v>
      </c>
      <c r="GE7" s="483">
        <f t="shared" si="5"/>
        <v>42185</v>
      </c>
      <c r="GF7" s="483">
        <f t="shared" si="5"/>
        <v>42216</v>
      </c>
      <c r="GG7" s="483">
        <f t="shared" si="5"/>
        <v>42247</v>
      </c>
      <c r="GH7" s="483"/>
      <c r="GI7" s="483"/>
      <c r="GJ7" s="483"/>
      <c r="GK7" s="483"/>
      <c r="GL7" s="483"/>
      <c r="GM7" s="483"/>
      <c r="GN7" s="483"/>
      <c r="GO7" s="483"/>
      <c r="GP7" s="483"/>
      <c r="GQ7" s="483"/>
      <c r="GR7" s="483"/>
      <c r="GS7" s="483"/>
      <c r="GT7" s="483"/>
      <c r="GU7" s="483"/>
      <c r="GV7" s="483"/>
      <c r="GW7" s="483"/>
      <c r="GX7" s="483"/>
      <c r="GY7" s="483"/>
      <c r="GZ7" s="483"/>
      <c r="HA7" s="483"/>
      <c r="HB7" s="483"/>
      <c r="HC7" s="483"/>
      <c r="HD7" s="483"/>
      <c r="HE7" s="483"/>
      <c r="HF7" s="483"/>
      <c r="HG7" s="483"/>
      <c r="HH7" s="483"/>
      <c r="HI7" s="483"/>
      <c r="HJ7" s="483"/>
      <c r="HK7" s="483"/>
      <c r="HL7" s="483"/>
      <c r="HM7" s="483"/>
      <c r="HN7" s="483"/>
      <c r="HO7" s="483"/>
      <c r="HP7" s="483"/>
      <c r="HQ7" s="483"/>
      <c r="HR7" s="483"/>
      <c r="HS7" s="483"/>
      <c r="HT7" s="483"/>
      <c r="HU7" s="483"/>
    </row>
    <row r="8" spans="1:229">
      <c r="A8" s="329" t="s">
        <v>377</v>
      </c>
      <c r="B8" s="329"/>
      <c r="C8" s="212"/>
      <c r="D8" s="346">
        <f>IF('Start-up Cashflow'!D7&gt;'Project Assumptions'!$F$25,1+(IF('Start-up Cashflow'!C8&lt;=5,'Start-up Cashflow'!C8,0)),0)</f>
        <v>0</v>
      </c>
      <c r="E8" s="346">
        <f>IF('Start-up Cashflow'!E7&gt;'Project Assumptions'!$F$25,1+(IF('Start-up Cashflow'!D8&lt;=5,'Start-up Cashflow'!D8,0)),0)</f>
        <v>0</v>
      </c>
      <c r="F8" s="346">
        <f>IF('Start-up Cashflow'!F7&gt;'Project Assumptions'!$F$25,1+(IF('Start-up Cashflow'!E8&lt;=5,'Start-up Cashflow'!E8,0)),0)</f>
        <v>0</v>
      </c>
      <c r="G8" s="346">
        <f>IF('Start-up Cashflow'!G7&gt;'Project Assumptions'!$F$25,1+(IF('Start-up Cashflow'!F8&lt;=5,'Start-up Cashflow'!F8,0)),0)</f>
        <v>0</v>
      </c>
      <c r="H8" s="346">
        <f>IF('Start-up Cashflow'!H7&gt;'Project Assumptions'!$F$25,1+(IF('Start-up Cashflow'!G8&lt;=5,'Start-up Cashflow'!G8,0)),0)</f>
        <v>0</v>
      </c>
      <c r="I8" s="346">
        <f>IF('Start-up Cashflow'!I7&gt;EOMONTH('Project Assumptions'!$F$25,0),1+(IF('Start-up Cashflow'!H8&lt;=5,'Start-up Cashflow'!H8,0)),0)</f>
        <v>0</v>
      </c>
      <c r="J8" s="346">
        <f>IF('Start-up Cashflow'!J7&gt;EOMONTH('Project Assumptions'!$F$25,0),1+(IF('Start-up Cashflow'!I8&lt;=5,'Start-up Cashflow'!I8,0)),0)</f>
        <v>1</v>
      </c>
      <c r="K8" s="346">
        <f>IF('Start-up Cashflow'!K7&gt;EOMONTH('Project Assumptions'!$F$25,0),1+(IF('Start-up Cashflow'!J8&lt;=5,'Start-up Cashflow'!J8,0)),0)</f>
        <v>2</v>
      </c>
      <c r="L8" s="346">
        <f>IF('Start-up Cashflow'!L7&gt;EOMONTH('Project Assumptions'!$F$25,0),1+(IF('Start-up Cashflow'!K8&lt;=5,'Start-up Cashflow'!K8,0)),0)</f>
        <v>3</v>
      </c>
      <c r="M8" s="346">
        <f>IF('Start-up Cashflow'!M7&gt;EOMONTH('Project Assumptions'!$F$25,0),1+(IF('Start-up Cashflow'!L8&lt;=5,'Start-up Cashflow'!L8,0)),0)</f>
        <v>4</v>
      </c>
      <c r="N8" s="346">
        <f>IF('Start-up Cashflow'!N7&gt;EOMONTH('Project Assumptions'!$F$25,0),1+(IF('Start-up Cashflow'!M8&lt;=5,'Start-up Cashflow'!M8,0)),0)</f>
        <v>5</v>
      </c>
      <c r="O8" s="346">
        <f>IF('Start-up Cashflow'!O7&gt;EOMONTH('Project Assumptions'!$F$25,0),1+(IF('Start-up Cashflow'!N8&lt;=5,'Start-up Cashflow'!N8,0)),0)</f>
        <v>6</v>
      </c>
      <c r="P8" s="346">
        <f>IF('Start-up Cashflow'!P7&gt;EOMONTH('Project Assumptions'!$F$25,0),1+(IF('Start-up Cashflow'!O8&lt;=5,'Start-up Cashflow'!O8,0)),0)</f>
        <v>1</v>
      </c>
      <c r="Q8" s="346">
        <f>IF('Start-up Cashflow'!Q7&gt;EOMONTH('Project Assumptions'!$F$25,0),1+(IF('Start-up Cashflow'!P8&lt;=5,'Start-up Cashflow'!P8,0)),0)</f>
        <v>2</v>
      </c>
      <c r="R8" s="346">
        <f>IF('Start-up Cashflow'!R7&gt;EOMONTH('Project Assumptions'!$F$25,0),1+(IF('Start-up Cashflow'!Q8&lt;=5,'Start-up Cashflow'!Q8,0)),0)</f>
        <v>3</v>
      </c>
      <c r="S8" s="346">
        <f>IF('Start-up Cashflow'!S7&gt;EOMONTH('Project Assumptions'!$F$25,0),1+(IF('Start-up Cashflow'!R8&lt;=5,'Start-up Cashflow'!R8,0)),0)</f>
        <v>4</v>
      </c>
      <c r="T8" s="346">
        <f>IF('Start-up Cashflow'!T7&gt;EOMONTH('Project Assumptions'!$F$25,0),1+(IF('Start-up Cashflow'!S8&lt;=5,'Start-up Cashflow'!S8,0)),0)</f>
        <v>5</v>
      </c>
      <c r="U8" s="346">
        <f>IF('Start-up Cashflow'!U7&gt;EOMONTH('Project Assumptions'!$F$25,0),1+(IF('Start-up Cashflow'!T8&lt;=5,'Start-up Cashflow'!T8,0)),0)</f>
        <v>6</v>
      </c>
      <c r="V8" s="346">
        <f>IF('Start-up Cashflow'!V7&gt;EOMONTH('Project Assumptions'!$F$25,0),1+(IF('Start-up Cashflow'!U8&lt;=5,'Start-up Cashflow'!U8,0)),0)</f>
        <v>1</v>
      </c>
      <c r="W8" s="346">
        <f>IF('Start-up Cashflow'!W7&gt;EOMONTH('Project Assumptions'!$F$25,0),1+(IF('Start-up Cashflow'!V8&lt;=5,'Start-up Cashflow'!V8,0)),0)</f>
        <v>2</v>
      </c>
      <c r="X8" s="346">
        <f>IF('Start-up Cashflow'!X7&gt;EOMONTH('Project Assumptions'!$F$25,0),1+(IF('Start-up Cashflow'!W8&lt;=5,'Start-up Cashflow'!W8,0)),0)</f>
        <v>3</v>
      </c>
      <c r="Y8" s="346">
        <f>IF('Start-up Cashflow'!Y7&gt;EOMONTH('Project Assumptions'!$F$25,0),1+(IF('Start-up Cashflow'!X8&lt;=5,'Start-up Cashflow'!X8,0)),0)</f>
        <v>4</v>
      </c>
      <c r="Z8" s="346">
        <f>IF('Start-up Cashflow'!Z7&gt;EOMONTH('Project Assumptions'!$F$25,0),1+(IF('Start-up Cashflow'!Y8&lt;=5,'Start-up Cashflow'!Y8,0)),0)</f>
        <v>5</v>
      </c>
      <c r="AA8" s="346">
        <f>IF('Start-up Cashflow'!AA7&gt;EOMONTH('Project Assumptions'!$F$25,0),1+(IF('Start-up Cashflow'!Z8&lt;=5,'Start-up Cashflow'!Z8,0)),0)</f>
        <v>6</v>
      </c>
      <c r="AB8" s="346">
        <f>IF('Start-up Cashflow'!AB7&gt;EOMONTH('Project Assumptions'!$F$25,0),1+(IF('Start-up Cashflow'!AA8&lt;=5,'Start-up Cashflow'!AA8,0)),0)</f>
        <v>1</v>
      </c>
      <c r="AC8" s="346">
        <f>IF('Start-up Cashflow'!AC7&gt;EOMONTH('Project Assumptions'!$F$25,0),1+(IF('Start-up Cashflow'!AB8&lt;=5,'Start-up Cashflow'!AB8,0)),0)</f>
        <v>2</v>
      </c>
      <c r="AD8" s="346">
        <f>IF('Start-up Cashflow'!AD7&gt;EOMONTH('Project Assumptions'!$F$25,0),1+(IF('Start-up Cashflow'!AC8&lt;=5,'Start-up Cashflow'!AC8,0)),0)</f>
        <v>3</v>
      </c>
      <c r="AE8" s="346">
        <f>IF('Start-up Cashflow'!AE7&gt;EOMONTH('Project Assumptions'!$F$25,0),1+(IF('Start-up Cashflow'!AD8&lt;=5,'Start-up Cashflow'!AD8,0)),0)</f>
        <v>4</v>
      </c>
      <c r="AF8" s="346">
        <f>IF('Start-up Cashflow'!AF7&gt;EOMONTH('Project Assumptions'!$F$25,0),1+(IF('Start-up Cashflow'!AE8&lt;=5,'Start-up Cashflow'!AE8,0)),0)</f>
        <v>5</v>
      </c>
      <c r="AG8" s="346">
        <f>IF('Start-up Cashflow'!AG7&gt;EOMONTH('Project Assumptions'!$F$25,0),1+(IF('Start-up Cashflow'!AF8&lt;=5,'Start-up Cashflow'!AF8,0)),0)</f>
        <v>6</v>
      </c>
      <c r="AH8" s="346">
        <f>IF('Start-up Cashflow'!AH7&gt;EOMONTH('Project Assumptions'!$F$25,0),1+(IF('Start-up Cashflow'!AG8&lt;=5,'Start-up Cashflow'!AG8,0)),0)</f>
        <v>1</v>
      </c>
      <c r="AI8" s="346">
        <f>IF('Start-up Cashflow'!AI7&gt;EOMONTH('Project Assumptions'!$F$25,0),1+(IF('Start-up Cashflow'!AH8&lt;=5,'Start-up Cashflow'!AH8,0)),0)</f>
        <v>2</v>
      </c>
      <c r="AJ8" s="346">
        <f>IF('Start-up Cashflow'!AJ7&gt;EOMONTH('Project Assumptions'!$F$25,0),1+(IF('Start-up Cashflow'!AI8&lt;=5,'Start-up Cashflow'!AI8,0)),0)</f>
        <v>3</v>
      </c>
      <c r="AK8" s="346">
        <f>IF('Start-up Cashflow'!AK7&gt;EOMONTH('Project Assumptions'!$F$25,0),1+(IF('Start-up Cashflow'!AJ8&lt;=5,'Start-up Cashflow'!AJ8,0)),0)</f>
        <v>4</v>
      </c>
      <c r="AL8" s="346">
        <f>IF('Start-up Cashflow'!AL7&gt;EOMONTH('Project Assumptions'!$F$25,0),1+(IF('Start-up Cashflow'!AK8&lt;=5,'Start-up Cashflow'!AK8,0)),0)</f>
        <v>5</v>
      </c>
      <c r="AM8" s="346">
        <f>IF('Start-up Cashflow'!AM7&gt;EOMONTH('Project Assumptions'!$F$25,0),1+(IF('Start-up Cashflow'!AL8&lt;=5,'Start-up Cashflow'!AL8,0)),0)</f>
        <v>6</v>
      </c>
      <c r="AN8" s="346">
        <f>IF('Start-up Cashflow'!AN7&gt;EOMONTH('Project Assumptions'!$F$25,0),1+(IF('Start-up Cashflow'!AM8&lt;=5,'Start-up Cashflow'!AM8,0)),0)</f>
        <v>1</v>
      </c>
      <c r="AO8" s="346">
        <f>IF('Start-up Cashflow'!AO7&gt;EOMONTH('Project Assumptions'!$F$25,0),1+(IF('Start-up Cashflow'!AN8&lt;=5,'Start-up Cashflow'!AN8,0)),0)</f>
        <v>2</v>
      </c>
      <c r="AP8" s="346">
        <f>IF('Start-up Cashflow'!AP7&gt;EOMONTH('Project Assumptions'!$F$25,0),1+(IF('Start-up Cashflow'!AO8&lt;=5,'Start-up Cashflow'!AO8,0)),0)</f>
        <v>3</v>
      </c>
      <c r="AQ8" s="346">
        <f>IF('Start-up Cashflow'!AQ7&gt;EOMONTH('Project Assumptions'!$F$25,0),1+(IF('Start-up Cashflow'!AP8&lt;=5,'Start-up Cashflow'!AP8,0)),0)</f>
        <v>4</v>
      </c>
      <c r="AR8" s="346">
        <f>IF('Start-up Cashflow'!AR7&gt;EOMONTH('Project Assumptions'!$F$25,0),1+(IF('Start-up Cashflow'!AQ8&lt;=5,'Start-up Cashflow'!AQ8,0)),0)</f>
        <v>5</v>
      </c>
      <c r="AS8" s="346">
        <f>IF('Start-up Cashflow'!AS7&gt;EOMONTH('Project Assumptions'!$F$25,0),1+(IF('Start-up Cashflow'!AR8&lt;=5,'Start-up Cashflow'!AR8,0)),0)</f>
        <v>6</v>
      </c>
      <c r="AT8" s="346">
        <f>IF('Start-up Cashflow'!AT7&gt;EOMONTH('Project Assumptions'!$F$25,0),1+(IF('Start-up Cashflow'!AS8&lt;=5,'Start-up Cashflow'!AS8,0)),0)</f>
        <v>1</v>
      </c>
      <c r="AU8" s="346">
        <f>IF('Start-up Cashflow'!AU7&gt;EOMONTH('Project Assumptions'!$F$25,0),1+(IF('Start-up Cashflow'!AT8&lt;=5,'Start-up Cashflow'!AT8,0)),0)</f>
        <v>2</v>
      </c>
      <c r="AV8" s="346">
        <f>IF('Start-up Cashflow'!AV7&gt;EOMONTH('Project Assumptions'!$F$25,0),1+(IF('Start-up Cashflow'!AU8&lt;=5,'Start-up Cashflow'!AU8,0)),0)</f>
        <v>3</v>
      </c>
      <c r="AW8" s="346">
        <f>IF('Start-up Cashflow'!AW7&gt;EOMONTH('Project Assumptions'!$F$25,0),1+(IF('Start-up Cashflow'!AV8&lt;=5,'Start-up Cashflow'!AV8,0)),0)</f>
        <v>4</v>
      </c>
      <c r="AX8" s="346">
        <f>IF('Start-up Cashflow'!AX7&gt;EOMONTH('Project Assumptions'!$F$25,0),1+(IF('Start-up Cashflow'!AW8&lt;=5,'Start-up Cashflow'!AW8,0)),0)</f>
        <v>5</v>
      </c>
      <c r="AY8" s="346">
        <f>IF('Start-up Cashflow'!AY7&gt;EOMONTH('Project Assumptions'!$F$25,0),1+(IF('Start-up Cashflow'!AX8&lt;=5,'Start-up Cashflow'!AX8,0)),0)</f>
        <v>6</v>
      </c>
      <c r="AZ8" s="346">
        <f>IF('Start-up Cashflow'!AZ7&gt;EOMONTH('Project Assumptions'!$F$25,0),1+(IF('Start-up Cashflow'!AY8&lt;=5,'Start-up Cashflow'!AY8,0)),0)</f>
        <v>1</v>
      </c>
      <c r="BA8" s="346">
        <f>IF('Start-up Cashflow'!BA7&gt;EOMONTH('Project Assumptions'!$F$25,0),1+(IF('Start-up Cashflow'!AZ8&lt;=5,'Start-up Cashflow'!AZ8,0)),0)</f>
        <v>2</v>
      </c>
      <c r="BB8" s="346">
        <f>IF('Start-up Cashflow'!BB7&gt;EOMONTH('Project Assumptions'!$F$25,0),1+(IF('Start-up Cashflow'!BA8&lt;=5,'Start-up Cashflow'!BA8,0)),0)</f>
        <v>3</v>
      </c>
      <c r="BC8" s="346">
        <f>IF('Start-up Cashflow'!BC7&gt;EOMONTH('Project Assumptions'!$F$25,0),1+(IF('Start-up Cashflow'!BB8&lt;=5,'Start-up Cashflow'!BB8,0)),0)</f>
        <v>4</v>
      </c>
      <c r="BD8" s="346">
        <f>IF('Start-up Cashflow'!BD7&gt;EOMONTH('Project Assumptions'!$F$25,0),1+(IF('Start-up Cashflow'!BC8&lt;=5,'Start-up Cashflow'!BC8,0)),0)</f>
        <v>5</v>
      </c>
      <c r="BE8" s="346">
        <f>IF('Start-up Cashflow'!BE7&gt;EOMONTH('Project Assumptions'!$F$25,0),1+(IF('Start-up Cashflow'!BD8&lt;=5,'Start-up Cashflow'!BD8,0)),0)</f>
        <v>6</v>
      </c>
      <c r="BF8" s="346">
        <f>IF('Start-up Cashflow'!BF7&gt;EOMONTH('Project Assumptions'!$F$25,0),1+(IF('Start-up Cashflow'!BE8&lt;=5,'Start-up Cashflow'!BE8,0)),0)</f>
        <v>1</v>
      </c>
      <c r="BG8" s="346">
        <f>IF('Start-up Cashflow'!BG7&gt;EOMONTH('Project Assumptions'!$F$25,0),1+(IF('Start-up Cashflow'!BF8&lt;=5,'Start-up Cashflow'!BF8,0)),0)</f>
        <v>2</v>
      </c>
      <c r="BH8" s="346">
        <f>IF('Start-up Cashflow'!BH7&gt;EOMONTH('Project Assumptions'!$F$25,0),1+(IF('Start-up Cashflow'!BG8&lt;=5,'Start-up Cashflow'!BG8,0)),0)</f>
        <v>3</v>
      </c>
      <c r="BI8" s="346">
        <f>IF('Start-up Cashflow'!BI7&gt;EOMONTH('Project Assumptions'!$F$25,0),1+(IF('Start-up Cashflow'!BH8&lt;=5,'Start-up Cashflow'!BH8,0)),0)</f>
        <v>4</v>
      </c>
      <c r="BJ8" s="346">
        <f>IF('Start-up Cashflow'!BJ7&gt;EOMONTH('Project Assumptions'!$F$25,0),1+(IF('Start-up Cashflow'!BI8&lt;=5,'Start-up Cashflow'!BI8,0)),0)</f>
        <v>5</v>
      </c>
      <c r="BK8" s="346">
        <f>IF('Start-up Cashflow'!BK7&gt;EOMONTH('Project Assumptions'!$F$25,0),1+(IF('Start-up Cashflow'!BJ8&lt;=5,'Start-up Cashflow'!BJ8,0)),0)</f>
        <v>6</v>
      </c>
      <c r="BL8" s="346">
        <f>IF('Start-up Cashflow'!BL7&gt;EOMONTH('Project Assumptions'!$F$25,0),1+(IF('Start-up Cashflow'!BK8&lt;=5,'Start-up Cashflow'!BK8,0)),0)</f>
        <v>1</v>
      </c>
      <c r="BM8" s="346">
        <f>IF('Start-up Cashflow'!BM7&gt;EOMONTH('Project Assumptions'!$F$25,0),1+(IF('Start-up Cashflow'!BL8&lt;=5,'Start-up Cashflow'!BL8,0)),0)</f>
        <v>2</v>
      </c>
      <c r="BN8" s="346">
        <f>IF('Start-up Cashflow'!BN7&gt;EOMONTH('Project Assumptions'!$F$25,0),1+(IF('Start-up Cashflow'!BM8&lt;=5,'Start-up Cashflow'!BM8,0)),0)</f>
        <v>3</v>
      </c>
      <c r="BO8" s="346">
        <f>IF('Start-up Cashflow'!BO7&gt;EOMONTH('Project Assumptions'!$F$25,0),1+(IF('Start-up Cashflow'!BN8&lt;=5,'Start-up Cashflow'!BN8,0)),0)</f>
        <v>4</v>
      </c>
      <c r="BP8" s="346">
        <f>IF('Start-up Cashflow'!BP7&gt;EOMONTH('Project Assumptions'!$F$25,0),1+(IF('Start-up Cashflow'!BO8&lt;=5,'Start-up Cashflow'!BO8,0)),0)</f>
        <v>5</v>
      </c>
      <c r="BQ8" s="346">
        <f>IF('Start-up Cashflow'!BQ7&gt;EOMONTH('Project Assumptions'!$F$25,0),1+(IF('Start-up Cashflow'!BP8&lt;=5,'Start-up Cashflow'!BP8,0)),0)</f>
        <v>6</v>
      </c>
      <c r="BR8" s="346">
        <f>IF('Start-up Cashflow'!BR7&gt;EOMONTH('Project Assumptions'!$F$25,0),1+(IF('Start-up Cashflow'!BQ8&lt;=5,'Start-up Cashflow'!BQ8,0)),0)</f>
        <v>1</v>
      </c>
      <c r="BS8" s="346">
        <f>IF('Start-up Cashflow'!BS7&gt;EOMONTH('Project Assumptions'!$F$25,0),1+(IF('Start-up Cashflow'!BR8&lt;=5,'Start-up Cashflow'!BR8,0)),0)</f>
        <v>2</v>
      </c>
      <c r="BT8" s="346">
        <f>IF('Start-up Cashflow'!BT7&gt;EOMONTH('Project Assumptions'!$F$25,0),1+(IF('Start-up Cashflow'!BS8&lt;=5,'Start-up Cashflow'!BS8,0)),0)</f>
        <v>3</v>
      </c>
      <c r="BU8" s="346">
        <f>IF('Start-up Cashflow'!BU7&gt;EOMONTH('Project Assumptions'!$F$25,0),1+(IF('Start-up Cashflow'!BT8&lt;=5,'Start-up Cashflow'!BT8,0)),0)</f>
        <v>4</v>
      </c>
      <c r="BV8" s="346">
        <f>IF('Start-up Cashflow'!BV7&gt;EOMONTH('Project Assumptions'!$F$25,0),1+(IF('Start-up Cashflow'!BU8&lt;=5,'Start-up Cashflow'!BU8,0)),0)</f>
        <v>5</v>
      </c>
      <c r="BW8" s="346">
        <f>IF('Start-up Cashflow'!BW7&gt;EOMONTH('Project Assumptions'!$F$25,0),1+(IF('Start-up Cashflow'!BV8&lt;=5,'Start-up Cashflow'!BV8,0)),0)</f>
        <v>6</v>
      </c>
      <c r="BX8" s="346">
        <f>IF('Start-up Cashflow'!BX7&gt;EOMONTH('Project Assumptions'!$F$25,0),1+(IF('Start-up Cashflow'!BW8&lt;=5,'Start-up Cashflow'!BW8,0)),0)</f>
        <v>1</v>
      </c>
      <c r="BY8" s="346">
        <f>IF('Start-up Cashflow'!BY7&gt;EOMONTH('Project Assumptions'!$F$25,0),1+(IF('Start-up Cashflow'!BX8&lt;=5,'Start-up Cashflow'!BX8,0)),0)</f>
        <v>2</v>
      </c>
      <c r="BZ8" s="346">
        <f>IF('Start-up Cashflow'!BZ7&gt;EOMONTH('Project Assumptions'!$F$25,0),1+(IF('Start-up Cashflow'!BY8&lt;=5,'Start-up Cashflow'!BY8,0)),0)</f>
        <v>3</v>
      </c>
      <c r="CA8" s="346">
        <f>IF('Start-up Cashflow'!CA7&gt;EOMONTH('Project Assumptions'!$F$25,0),1+(IF('Start-up Cashflow'!BZ8&lt;=5,'Start-up Cashflow'!BZ8,0)),0)</f>
        <v>4</v>
      </c>
      <c r="CB8" s="346">
        <f>IF('Start-up Cashflow'!CB7&gt;EOMONTH('Project Assumptions'!$F$25,0),1+(IF('Start-up Cashflow'!CA8&lt;=5,'Start-up Cashflow'!CA8,0)),0)</f>
        <v>5</v>
      </c>
      <c r="CC8" s="346">
        <f>IF('Start-up Cashflow'!CC7&gt;EOMONTH('Project Assumptions'!$F$25,0),1+(IF('Start-up Cashflow'!CB8&lt;=5,'Start-up Cashflow'!CB8,0)),0)</f>
        <v>6</v>
      </c>
      <c r="CD8" s="346">
        <f>IF('Start-up Cashflow'!CD7&gt;EOMONTH('Project Assumptions'!$F$25,0),1+(IF('Start-up Cashflow'!CC8&lt;=5,'Start-up Cashflow'!CC8,0)),0)</f>
        <v>1</v>
      </c>
      <c r="CE8" s="346">
        <f>IF('Start-up Cashflow'!CE7&gt;EOMONTH('Project Assumptions'!$F$25,0),1+(IF('Start-up Cashflow'!CD8&lt;=5,'Start-up Cashflow'!CD8,0)),0)</f>
        <v>2</v>
      </c>
      <c r="CF8" s="346">
        <f>IF('Start-up Cashflow'!CF7&gt;EOMONTH('Project Assumptions'!$F$25,0),1+(IF('Start-up Cashflow'!CE8&lt;=5,'Start-up Cashflow'!CE8,0)),0)</f>
        <v>3</v>
      </c>
      <c r="CG8" s="346">
        <f>IF('Start-up Cashflow'!CG7&gt;EOMONTH('Project Assumptions'!$F$25,0),1+(IF('Start-up Cashflow'!CF8&lt;=5,'Start-up Cashflow'!CF8,0)),0)</f>
        <v>4</v>
      </c>
      <c r="CH8" s="346">
        <f>IF('Start-up Cashflow'!CH7&gt;EOMONTH('Project Assumptions'!$F$25,0),1+(IF('Start-up Cashflow'!CG8&lt;=5,'Start-up Cashflow'!CG8,0)),0)</f>
        <v>5</v>
      </c>
      <c r="CI8" s="346">
        <f>IF('Start-up Cashflow'!CI7&gt;EOMONTH('Project Assumptions'!$F$25,0),1+(IF('Start-up Cashflow'!CH8&lt;=5,'Start-up Cashflow'!CH8,0)),0)</f>
        <v>6</v>
      </c>
      <c r="CJ8" s="346">
        <f>IF('Start-up Cashflow'!CJ7&gt;EOMONTH('Project Assumptions'!$F$25,0),1+(IF('Start-up Cashflow'!CI8&lt;=5,'Start-up Cashflow'!CI8,0)),0)</f>
        <v>1</v>
      </c>
      <c r="CK8" s="346">
        <f>IF('Start-up Cashflow'!CK7&gt;EOMONTH('Project Assumptions'!$F$25,0),1+(IF('Start-up Cashflow'!CJ8&lt;=5,'Start-up Cashflow'!CJ8,0)),0)</f>
        <v>2</v>
      </c>
      <c r="CL8" s="346">
        <f>IF('Start-up Cashflow'!CL7&gt;EOMONTH('Project Assumptions'!$F$25,0),1+(IF('Start-up Cashflow'!CK8&lt;=5,'Start-up Cashflow'!CK8,0)),0)</f>
        <v>3</v>
      </c>
      <c r="CM8" s="346">
        <f>IF('Start-up Cashflow'!CM7&gt;EOMONTH('Project Assumptions'!$F$25,0),1+(IF('Start-up Cashflow'!CL8&lt;=5,'Start-up Cashflow'!CL8,0)),0)</f>
        <v>4</v>
      </c>
      <c r="CN8" s="346">
        <f>IF('Start-up Cashflow'!CN7&gt;EOMONTH('Project Assumptions'!$F$25,0),1+(IF('Start-up Cashflow'!CM8&lt;=5,'Start-up Cashflow'!CM8,0)),0)</f>
        <v>5</v>
      </c>
      <c r="CO8" s="346">
        <f>IF('Start-up Cashflow'!CO7&gt;EOMONTH('Project Assumptions'!$F$25,0),1+(IF('Start-up Cashflow'!CN8&lt;=5,'Start-up Cashflow'!CN8,0)),0)</f>
        <v>6</v>
      </c>
      <c r="CP8" s="346">
        <f>IF('Start-up Cashflow'!CP7&gt;EOMONTH('Project Assumptions'!$F$25,0),1+(IF('Start-up Cashflow'!CO8&lt;=5,'Start-up Cashflow'!CO8,0)),0)</f>
        <v>1</v>
      </c>
      <c r="CQ8" s="346">
        <f>IF('Start-up Cashflow'!CQ7&gt;EOMONTH('Project Assumptions'!$F$25,0),1+(IF('Start-up Cashflow'!CP8&lt;=5,'Start-up Cashflow'!CP8,0)),0)</f>
        <v>2</v>
      </c>
      <c r="CR8" s="346">
        <f>IF('Start-up Cashflow'!CR7&gt;EOMONTH('Project Assumptions'!$F$25,0),1+(IF('Start-up Cashflow'!CQ8&lt;=5,'Start-up Cashflow'!CQ8,0)),0)</f>
        <v>3</v>
      </c>
      <c r="CS8" s="346">
        <f>IF('Start-up Cashflow'!CS7&gt;EOMONTH('Project Assumptions'!$F$25,0),1+(IF('Start-up Cashflow'!CR8&lt;=5,'Start-up Cashflow'!CR8,0)),0)</f>
        <v>4</v>
      </c>
      <c r="CT8" s="346">
        <f>IF('Start-up Cashflow'!CT7&gt;EOMONTH('Project Assumptions'!$F$25,0),1+(IF('Start-up Cashflow'!CS8&lt;=5,'Start-up Cashflow'!CS8,0)),0)</f>
        <v>5</v>
      </c>
      <c r="CU8" s="346">
        <f>IF('Start-up Cashflow'!CU7&gt;EOMONTH('Project Assumptions'!$F$25,0),1+(IF('Start-up Cashflow'!CT8&lt;=5,'Start-up Cashflow'!CT8,0)),0)</f>
        <v>6</v>
      </c>
      <c r="CV8" s="346">
        <f>IF('Start-up Cashflow'!CV7&gt;EOMONTH('Project Assumptions'!$F$25,0),1+(IF('Start-up Cashflow'!CU8&lt;=5,'Start-up Cashflow'!CU8,0)),0)</f>
        <v>1</v>
      </c>
      <c r="CW8" s="346">
        <f>IF('Start-up Cashflow'!CW7&gt;EOMONTH('Project Assumptions'!$F$25,0),1+(IF('Start-up Cashflow'!CV8&lt;=5,'Start-up Cashflow'!CV8,0)),0)</f>
        <v>2</v>
      </c>
      <c r="CX8" s="346">
        <f>IF('Start-up Cashflow'!CX7&gt;EOMONTH('Project Assumptions'!$F$25,0),1+(IF('Start-up Cashflow'!CW8&lt;=5,'Start-up Cashflow'!CW8,0)),0)</f>
        <v>3</v>
      </c>
      <c r="CY8" s="346">
        <f>IF('Start-up Cashflow'!CY7&gt;EOMONTH('Project Assumptions'!$F$25,0),1+(IF('Start-up Cashflow'!CX8&lt;=5,'Start-up Cashflow'!CX8,0)),0)</f>
        <v>4</v>
      </c>
      <c r="CZ8" s="346">
        <f>IF('Start-up Cashflow'!CZ7&gt;EOMONTH('Project Assumptions'!$F$25,0),1+(IF('Start-up Cashflow'!CY8&lt;=5,'Start-up Cashflow'!CY8,0)),0)</f>
        <v>5</v>
      </c>
      <c r="DA8" s="346">
        <f>IF('Start-up Cashflow'!DA7&gt;EOMONTH('Project Assumptions'!$F$25,0),1+(IF('Start-up Cashflow'!CZ8&lt;=5,'Start-up Cashflow'!CZ8,0)),0)</f>
        <v>6</v>
      </c>
      <c r="DB8" s="346">
        <f>IF('Start-up Cashflow'!DB7&gt;EOMONTH('Project Assumptions'!$F$25,0),1+(IF('Start-up Cashflow'!DA8&lt;=5,'Start-up Cashflow'!DA8,0)),0)</f>
        <v>1</v>
      </c>
      <c r="DC8" s="346">
        <f>IF('Start-up Cashflow'!DC7&gt;EOMONTH('Project Assumptions'!$F$25,0),1+(IF('Start-up Cashflow'!DB8&lt;=5,'Start-up Cashflow'!DB8,0)),0)</f>
        <v>2</v>
      </c>
      <c r="DD8" s="346">
        <f>IF('Start-up Cashflow'!DD7&gt;EOMONTH('Project Assumptions'!$F$25,0),1+(IF('Start-up Cashflow'!DC8&lt;=5,'Start-up Cashflow'!DC8,0)),0)</f>
        <v>3</v>
      </c>
      <c r="DE8" s="346">
        <f>IF('Start-up Cashflow'!DE7&gt;EOMONTH('Project Assumptions'!$F$25,0),1+(IF('Start-up Cashflow'!DD8&lt;=5,'Start-up Cashflow'!DD8,0)),0)</f>
        <v>4</v>
      </c>
      <c r="DF8" s="346">
        <f>IF('Start-up Cashflow'!DF7&gt;EOMONTH('Project Assumptions'!$F$25,0),1+(IF('Start-up Cashflow'!DE8&lt;=5,'Start-up Cashflow'!DE8,0)),0)</f>
        <v>5</v>
      </c>
      <c r="DG8" s="346">
        <f>IF('Start-up Cashflow'!DG7&gt;EOMONTH('Project Assumptions'!$F$25,0),1+(IF('Start-up Cashflow'!DF8&lt;=5,'Start-up Cashflow'!DF8,0)),0)</f>
        <v>6</v>
      </c>
      <c r="DH8" s="346">
        <f>IF('Start-up Cashflow'!DH7&gt;EOMONTH('Project Assumptions'!$F$25,0),1+(IF('Start-up Cashflow'!DG8&lt;=5,'Start-up Cashflow'!DG8,0)),0)</f>
        <v>1</v>
      </c>
      <c r="DI8" s="346">
        <f>IF('Start-up Cashflow'!DI7&gt;EOMONTH('Project Assumptions'!$F$25,0),1+(IF('Start-up Cashflow'!DH8&lt;=5,'Start-up Cashflow'!DH8,0)),0)</f>
        <v>2</v>
      </c>
      <c r="DJ8" s="346">
        <f>IF('Start-up Cashflow'!DJ7&gt;EOMONTH('Project Assumptions'!$F$25,0),1+(IF('Start-up Cashflow'!DI8&lt;=5,'Start-up Cashflow'!DI8,0)),0)</f>
        <v>3</v>
      </c>
      <c r="DK8" s="346">
        <f>IF('Start-up Cashflow'!DK7&gt;EOMONTH('Project Assumptions'!$F$25,0),1+(IF('Start-up Cashflow'!DJ8&lt;=5,'Start-up Cashflow'!DJ8,0)),0)</f>
        <v>4</v>
      </c>
      <c r="DL8" s="346">
        <f>IF('Start-up Cashflow'!DL7&gt;EOMONTH('Project Assumptions'!$F$25,0),1+(IF('Start-up Cashflow'!DK8&lt;=5,'Start-up Cashflow'!DK8,0)),0)</f>
        <v>5</v>
      </c>
      <c r="DM8" s="346">
        <f>IF('Start-up Cashflow'!DM7&gt;EOMONTH('Project Assumptions'!$F$25,0),1+(IF('Start-up Cashflow'!DL8&lt;=5,'Start-up Cashflow'!DL8,0)),0)</f>
        <v>6</v>
      </c>
      <c r="DN8" s="346">
        <f>IF('Start-up Cashflow'!DN7&gt;EOMONTH('Project Assumptions'!$F$25,0),1+(IF('Start-up Cashflow'!DM8&lt;=5,'Start-up Cashflow'!DM8,0)),0)</f>
        <v>1</v>
      </c>
      <c r="DO8" s="346">
        <f>IF('Start-up Cashflow'!DO7&gt;EOMONTH('Project Assumptions'!$F$25,0),1+(IF('Start-up Cashflow'!DN8&lt;=5,'Start-up Cashflow'!DN8,0)),0)</f>
        <v>2</v>
      </c>
      <c r="DP8" s="346">
        <f>IF('Start-up Cashflow'!DP7&gt;EOMONTH('Project Assumptions'!$F$25,0),1+(IF('Start-up Cashflow'!DO8&lt;=5,'Start-up Cashflow'!DO8,0)),0)</f>
        <v>3</v>
      </c>
      <c r="DQ8" s="346">
        <f>IF('Start-up Cashflow'!DQ7&gt;EOMONTH('Project Assumptions'!$F$25,0),1+(IF('Start-up Cashflow'!DP8&lt;=5,'Start-up Cashflow'!DP8,0)),0)</f>
        <v>4</v>
      </c>
      <c r="DR8" s="346">
        <f>IF('Start-up Cashflow'!DR7&gt;EOMONTH('Project Assumptions'!$F$25,0),1+(IF('Start-up Cashflow'!DQ8&lt;=5,'Start-up Cashflow'!DQ8,0)),0)</f>
        <v>5</v>
      </c>
      <c r="DS8" s="346">
        <f>IF('Start-up Cashflow'!DS7&gt;EOMONTH('Project Assumptions'!$F$25,0),1+(IF('Start-up Cashflow'!DR8&lt;=5,'Start-up Cashflow'!DR8,0)),0)</f>
        <v>6</v>
      </c>
      <c r="DT8" s="346">
        <f>IF('Start-up Cashflow'!DT7&gt;EOMONTH('Project Assumptions'!$F$25,0),1+(IF('Start-up Cashflow'!DS8&lt;=5,'Start-up Cashflow'!DS8,0)),0)</f>
        <v>1</v>
      </c>
      <c r="DU8" s="346">
        <f>IF('Start-up Cashflow'!DU7&gt;EOMONTH('Project Assumptions'!$F$25,0),1+(IF('Start-up Cashflow'!DT8&lt;=5,'Start-up Cashflow'!DT8,0)),0)</f>
        <v>2</v>
      </c>
      <c r="DV8" s="346">
        <f>IF('Start-up Cashflow'!DV7&gt;EOMONTH('Project Assumptions'!$F$25,0),1+(IF('Start-up Cashflow'!DU8&lt;=5,'Start-up Cashflow'!DU8,0)),0)</f>
        <v>3</v>
      </c>
      <c r="DW8" s="346">
        <f>IF('Start-up Cashflow'!DW7&gt;EOMONTH('Project Assumptions'!$F$25,0),1+(IF('Start-up Cashflow'!DV8&lt;=5,'Start-up Cashflow'!DV8,0)),0)</f>
        <v>4</v>
      </c>
      <c r="DX8" s="346">
        <f>IF('Start-up Cashflow'!DX7&gt;EOMONTH('Project Assumptions'!$F$25,0),1+(IF('Start-up Cashflow'!DW8&lt;=5,'Start-up Cashflow'!DW8,0)),0)</f>
        <v>5</v>
      </c>
      <c r="DY8" s="346">
        <f>IF('Start-up Cashflow'!DY7&gt;EOMONTH('Project Assumptions'!$F$25,0),1+(IF('Start-up Cashflow'!DX8&lt;=5,'Start-up Cashflow'!DX8,0)),0)</f>
        <v>6</v>
      </c>
      <c r="DZ8" s="346">
        <f>IF('Start-up Cashflow'!DZ7&gt;EOMONTH('Project Assumptions'!$F$25,0),1+(IF('Start-up Cashflow'!DY8&lt;=5,'Start-up Cashflow'!DY8,0)),0)</f>
        <v>1</v>
      </c>
      <c r="EA8" s="346">
        <f>IF('Start-up Cashflow'!EA7&gt;EOMONTH('Project Assumptions'!$F$25,0),1+(IF('Start-up Cashflow'!DZ8&lt;=5,'Start-up Cashflow'!DZ8,0)),0)</f>
        <v>2</v>
      </c>
      <c r="EB8" s="346">
        <f>IF('Start-up Cashflow'!EB7&gt;EOMONTH('Project Assumptions'!$F$25,0),1+(IF('Start-up Cashflow'!EA8&lt;=5,'Start-up Cashflow'!EA8,0)),0)</f>
        <v>3</v>
      </c>
      <c r="EC8" s="346">
        <f>IF('Start-up Cashflow'!EC7&gt;EOMONTH('Project Assumptions'!$F$25,0),1+(IF('Start-up Cashflow'!EB8&lt;=5,'Start-up Cashflow'!EB8,0)),0)</f>
        <v>4</v>
      </c>
      <c r="ED8" s="346">
        <f>IF('Start-up Cashflow'!ED7&gt;EOMONTH('Project Assumptions'!$F$25,0),1+(IF('Start-up Cashflow'!EC8&lt;=5,'Start-up Cashflow'!EC8,0)),0)</f>
        <v>5</v>
      </c>
      <c r="EE8" s="346">
        <f>IF('Start-up Cashflow'!EE7&gt;EOMONTH('Project Assumptions'!$F$25,0),1+(IF('Start-up Cashflow'!ED8&lt;=5,'Start-up Cashflow'!ED8,0)),0)</f>
        <v>6</v>
      </c>
      <c r="EF8" s="346">
        <f>IF('Start-up Cashflow'!EF7&gt;EOMONTH('Project Assumptions'!$F$25,0),1+(IF('Start-up Cashflow'!EE8&lt;=5,'Start-up Cashflow'!EE8,0)),0)</f>
        <v>1</v>
      </c>
      <c r="EG8" s="346">
        <f>IF('Start-up Cashflow'!EG7&gt;EOMONTH('Project Assumptions'!$F$25,0),1+(IF('Start-up Cashflow'!EF8&lt;=5,'Start-up Cashflow'!EF8,0)),0)</f>
        <v>2</v>
      </c>
      <c r="EH8" s="346">
        <f>IF('Start-up Cashflow'!EH7&gt;EOMONTH('Project Assumptions'!$F$25,0),1+(IF('Start-up Cashflow'!EG8&lt;=5,'Start-up Cashflow'!EG8,0)),0)</f>
        <v>3</v>
      </c>
      <c r="EI8" s="346">
        <f>IF('Start-up Cashflow'!EI7&gt;EOMONTH('Project Assumptions'!$F$25,0),1+(IF('Start-up Cashflow'!EH8&lt;=5,'Start-up Cashflow'!EH8,0)),0)</f>
        <v>4</v>
      </c>
      <c r="EJ8" s="346">
        <f>IF('Start-up Cashflow'!EJ7&gt;EOMONTH('Project Assumptions'!$F$25,0),1+(IF('Start-up Cashflow'!EI8&lt;=5,'Start-up Cashflow'!EI8,0)),0)</f>
        <v>5</v>
      </c>
      <c r="EK8" s="346">
        <f>IF('Start-up Cashflow'!EK7&gt;EOMONTH('Project Assumptions'!$F$25,0),1+(IF('Start-up Cashflow'!EJ8&lt;=5,'Start-up Cashflow'!EJ8,0)),0)</f>
        <v>6</v>
      </c>
      <c r="EL8" s="346">
        <f>IF('Start-up Cashflow'!EL7&gt;EOMONTH('Project Assumptions'!$F$25,0),1+(IF('Start-up Cashflow'!EK8&lt;=5,'Start-up Cashflow'!EK8,0)),0)</f>
        <v>1</v>
      </c>
      <c r="EM8" s="346">
        <f>IF('Start-up Cashflow'!EM7&gt;EOMONTH('Project Assumptions'!$F$25,0),1+(IF('Start-up Cashflow'!EL8&lt;=5,'Start-up Cashflow'!EL8,0)),0)</f>
        <v>2</v>
      </c>
      <c r="EN8" s="346">
        <f>IF('Start-up Cashflow'!EN7&gt;EOMONTH('Project Assumptions'!$F$25,0),1+(IF('Start-up Cashflow'!EM8&lt;=5,'Start-up Cashflow'!EM8,0)),0)</f>
        <v>3</v>
      </c>
      <c r="EO8" s="346">
        <f>IF('Start-up Cashflow'!EO7&gt;EOMONTH('Project Assumptions'!$F$25,0),1+(IF('Start-up Cashflow'!EN8&lt;=5,'Start-up Cashflow'!EN8,0)),0)</f>
        <v>4</v>
      </c>
      <c r="EP8" s="346">
        <f>IF('Start-up Cashflow'!EP7&gt;EOMONTH('Project Assumptions'!$F$25,0),1+(IF('Start-up Cashflow'!EO8&lt;=5,'Start-up Cashflow'!EO8,0)),0)</f>
        <v>5</v>
      </c>
      <c r="EQ8" s="346">
        <f>IF('Start-up Cashflow'!EQ7&gt;EOMONTH('Project Assumptions'!$F$25,0),1+(IF('Start-up Cashflow'!EP8&lt;=5,'Start-up Cashflow'!EP8,0)),0)</f>
        <v>6</v>
      </c>
      <c r="ER8" s="346">
        <f>IF('Start-up Cashflow'!ER7&gt;EOMONTH('Project Assumptions'!$F$25,0),1+(IF('Start-up Cashflow'!EQ8&lt;=5,'Start-up Cashflow'!EQ8,0)),0)</f>
        <v>1</v>
      </c>
      <c r="ES8" s="346">
        <f>IF('Start-up Cashflow'!ES7&gt;EOMONTH('Project Assumptions'!$F$25,0),1+(IF('Start-up Cashflow'!ER8&lt;=5,'Start-up Cashflow'!ER8,0)),0)</f>
        <v>2</v>
      </c>
      <c r="ET8" s="346">
        <f>IF('Start-up Cashflow'!ET7&gt;EOMONTH('Project Assumptions'!$F$25,0),1+(IF('Start-up Cashflow'!ES8&lt;=5,'Start-up Cashflow'!ES8,0)),0)</f>
        <v>3</v>
      </c>
      <c r="EU8" s="346">
        <f>IF('Start-up Cashflow'!EU7&gt;EOMONTH('Project Assumptions'!$F$25,0),1+(IF('Start-up Cashflow'!ET8&lt;=5,'Start-up Cashflow'!ET8,0)),0)</f>
        <v>4</v>
      </c>
      <c r="EV8" s="346">
        <f>IF('Start-up Cashflow'!EV7&gt;EOMONTH('Project Assumptions'!$F$25,0),1+(IF('Start-up Cashflow'!EU8&lt;=5,'Start-up Cashflow'!EU8,0)),0)</f>
        <v>5</v>
      </c>
      <c r="EW8" s="346">
        <f>IF('Start-up Cashflow'!EW7&gt;EOMONTH('Project Assumptions'!$F$25,0),1+(IF('Start-up Cashflow'!EV8&lt;=5,'Start-up Cashflow'!EV8,0)),0)</f>
        <v>6</v>
      </c>
      <c r="EX8" s="346">
        <f>IF('Start-up Cashflow'!EX7&gt;EOMONTH('Project Assumptions'!$F$25,0),1+(IF('Start-up Cashflow'!EW8&lt;=5,'Start-up Cashflow'!EW8,0)),0)</f>
        <v>1</v>
      </c>
      <c r="EY8" s="346">
        <f>IF('Start-up Cashflow'!EY7&gt;EOMONTH('Project Assumptions'!$F$25,0),1+(IF('Start-up Cashflow'!EX8&lt;=5,'Start-up Cashflow'!EX8,0)),0)</f>
        <v>2</v>
      </c>
      <c r="EZ8" s="346">
        <f>IF('Start-up Cashflow'!EZ7&gt;EOMONTH('Project Assumptions'!$F$25,0),1+(IF('Start-up Cashflow'!EY8&lt;=5,'Start-up Cashflow'!EY8,0)),0)</f>
        <v>3</v>
      </c>
      <c r="FA8" s="346">
        <f>IF('Start-up Cashflow'!FA7&gt;EOMONTH('Project Assumptions'!$F$25,0),1+(IF('Start-up Cashflow'!EZ8&lt;=5,'Start-up Cashflow'!EZ8,0)),0)</f>
        <v>4</v>
      </c>
      <c r="FB8" s="346">
        <f>IF('Start-up Cashflow'!FB7&gt;EOMONTH('Project Assumptions'!$F$25,0),1+(IF('Start-up Cashflow'!FA8&lt;=5,'Start-up Cashflow'!FA8,0)),0)</f>
        <v>5</v>
      </c>
      <c r="FC8" s="346">
        <f>IF('Start-up Cashflow'!FC7&gt;EOMONTH('Project Assumptions'!$F$25,0),1+(IF('Start-up Cashflow'!FB8&lt;=5,'Start-up Cashflow'!FB8,0)),0)</f>
        <v>6</v>
      </c>
      <c r="FD8" s="346">
        <f>IF('Start-up Cashflow'!FD7&gt;EOMONTH('Project Assumptions'!$F$25,0),1+(IF('Start-up Cashflow'!FC8&lt;=5,'Start-up Cashflow'!FC8,0)),0)</f>
        <v>1</v>
      </c>
      <c r="FE8" s="346">
        <f>IF('Start-up Cashflow'!FE7&gt;EOMONTH('Project Assumptions'!$F$25,0),1+(IF('Start-up Cashflow'!FD8&lt;=5,'Start-up Cashflow'!FD8,0)),0)</f>
        <v>2</v>
      </c>
      <c r="FF8" s="346">
        <f>IF('Start-up Cashflow'!FF7&gt;EOMONTH('Project Assumptions'!$F$25,0),1+(IF('Start-up Cashflow'!FE8&lt;=5,'Start-up Cashflow'!FE8,0)),0)</f>
        <v>3</v>
      </c>
      <c r="FG8" s="346">
        <f>IF('Start-up Cashflow'!FG7&gt;EOMONTH('Project Assumptions'!$F$25,0),1+(IF('Start-up Cashflow'!FF8&lt;=5,'Start-up Cashflow'!FF8,0)),0)</f>
        <v>4</v>
      </c>
      <c r="FH8" s="346">
        <f>IF('Start-up Cashflow'!FH7&gt;EOMONTH('Project Assumptions'!$F$25,0),1+(IF('Start-up Cashflow'!FG8&lt;=5,'Start-up Cashflow'!FG8,0)),0)</f>
        <v>5</v>
      </c>
      <c r="FI8" s="346">
        <f>IF('Start-up Cashflow'!FI7&gt;EOMONTH('Project Assumptions'!$F$25,0),1+(IF('Start-up Cashflow'!FH8&lt;=5,'Start-up Cashflow'!FH8,0)),0)</f>
        <v>6</v>
      </c>
      <c r="FJ8" s="346">
        <f>IF('Start-up Cashflow'!FJ7&gt;EOMONTH('Project Assumptions'!$F$25,0),1+(IF('Start-up Cashflow'!FI8&lt;=5,'Start-up Cashflow'!FI8,0)),0)</f>
        <v>1</v>
      </c>
      <c r="FK8" s="346">
        <f>IF('Start-up Cashflow'!FK7&gt;EOMONTH('Project Assumptions'!$F$25,0),1+(IF('Start-up Cashflow'!FJ8&lt;=5,'Start-up Cashflow'!FJ8,0)),0)</f>
        <v>2</v>
      </c>
      <c r="FL8" s="346">
        <f>IF('Start-up Cashflow'!FL7&gt;EOMONTH('Project Assumptions'!$F$25,0),1+(IF('Start-up Cashflow'!FK8&lt;=5,'Start-up Cashflow'!FK8,0)),0)</f>
        <v>3</v>
      </c>
      <c r="FM8" s="346">
        <f>IF('Start-up Cashflow'!FM7&gt;EOMONTH('Project Assumptions'!$F$25,0),1+(IF('Start-up Cashflow'!FL8&lt;=5,'Start-up Cashflow'!FL8,0)),0)</f>
        <v>4</v>
      </c>
      <c r="FN8" s="346">
        <f>IF('Start-up Cashflow'!FN7&gt;EOMONTH('Project Assumptions'!$F$25,0),1+(IF('Start-up Cashflow'!FM8&lt;=5,'Start-up Cashflow'!FM8,0)),0)</f>
        <v>5</v>
      </c>
      <c r="FO8" s="346">
        <f>IF('Start-up Cashflow'!FO7&gt;EOMONTH('Project Assumptions'!$F$25,0),1+(IF('Start-up Cashflow'!FN8&lt;=5,'Start-up Cashflow'!FN8,0)),0)</f>
        <v>6</v>
      </c>
      <c r="FP8" s="346">
        <f>IF('Start-up Cashflow'!FP7&gt;EOMONTH('Project Assumptions'!$F$25,0),1+(IF('Start-up Cashflow'!FO8&lt;=5,'Start-up Cashflow'!FO8,0)),0)</f>
        <v>1</v>
      </c>
      <c r="FQ8" s="346">
        <f>IF('Start-up Cashflow'!FQ7&gt;EOMONTH('Project Assumptions'!$F$25,0),1+(IF('Start-up Cashflow'!FP8&lt;=5,'Start-up Cashflow'!FP8,0)),0)</f>
        <v>2</v>
      </c>
      <c r="FR8" s="346">
        <f>IF('Start-up Cashflow'!FR7&gt;EOMONTH('Project Assumptions'!$F$25,0),1+(IF('Start-up Cashflow'!FQ8&lt;=5,'Start-up Cashflow'!FQ8,0)),0)</f>
        <v>3</v>
      </c>
      <c r="FS8" s="346">
        <f>IF('Start-up Cashflow'!FS7&gt;EOMONTH('Project Assumptions'!$F$25,0),1+(IF('Start-up Cashflow'!FR8&lt;=5,'Start-up Cashflow'!FR8,0)),0)</f>
        <v>4</v>
      </c>
      <c r="FT8" s="346">
        <f>IF('Start-up Cashflow'!FT7&gt;EOMONTH('Project Assumptions'!$F$25,0),1+(IF('Start-up Cashflow'!FS8&lt;=5,'Start-up Cashflow'!FS8,0)),0)</f>
        <v>5</v>
      </c>
      <c r="FU8" s="346">
        <f>IF('Start-up Cashflow'!FU7&gt;EOMONTH('Project Assumptions'!$F$25,0),1+(IF('Start-up Cashflow'!FT8&lt;=5,'Start-up Cashflow'!FT8,0)),0)</f>
        <v>6</v>
      </c>
      <c r="FV8" s="346">
        <f>IF('Start-up Cashflow'!FV7&gt;EOMONTH('Project Assumptions'!$F$25,0),1+(IF('Start-up Cashflow'!FU8&lt;=5,'Start-up Cashflow'!FU8,0)),0)</f>
        <v>1</v>
      </c>
      <c r="FW8" s="346">
        <f>IF('Start-up Cashflow'!FW7&gt;EOMONTH('Project Assumptions'!$F$25,0),1+(IF('Start-up Cashflow'!FV8&lt;=5,'Start-up Cashflow'!FV8,0)),0)</f>
        <v>2</v>
      </c>
      <c r="FX8" s="346">
        <f>IF('Start-up Cashflow'!FX7&gt;EOMONTH('Project Assumptions'!$F$25,0),1+(IF('Start-up Cashflow'!FW8&lt;=5,'Start-up Cashflow'!FW8,0)),0)</f>
        <v>3</v>
      </c>
      <c r="FY8" s="346">
        <f>IF('Start-up Cashflow'!FY7&gt;EOMONTH('Project Assumptions'!$F$25,0),1+(IF('Start-up Cashflow'!FX8&lt;=5,'Start-up Cashflow'!FX8,0)),0)</f>
        <v>4</v>
      </c>
      <c r="FZ8" s="346">
        <f>IF('Start-up Cashflow'!FZ7&gt;EOMONTH('Project Assumptions'!$F$25,0),1+(IF('Start-up Cashflow'!FY8&lt;=5,'Start-up Cashflow'!FY8,0)),0)</f>
        <v>5</v>
      </c>
      <c r="GA8" s="346">
        <f>IF('Start-up Cashflow'!GA7&gt;EOMONTH('Project Assumptions'!$F$25,0),1+(IF('Start-up Cashflow'!FZ8&lt;=5,'Start-up Cashflow'!FZ8,0)),0)</f>
        <v>6</v>
      </c>
      <c r="GB8" s="346">
        <f>IF('Start-up Cashflow'!GB7&gt;EOMONTH('Project Assumptions'!$F$25,0),1+(IF('Start-up Cashflow'!GA8&lt;=5,'Start-up Cashflow'!GA8,0)),0)</f>
        <v>1</v>
      </c>
      <c r="GC8" s="346">
        <f>IF('Start-up Cashflow'!GC7&gt;EOMONTH('Project Assumptions'!$F$25,0),1+(IF('Start-up Cashflow'!GB8&lt;=5,'Start-up Cashflow'!GB8,0)),0)</f>
        <v>2</v>
      </c>
      <c r="GD8" s="346">
        <f>IF('Start-up Cashflow'!GD7&gt;EOMONTH('Project Assumptions'!$F$25,0),1+(IF('Start-up Cashflow'!GC8&lt;=5,'Start-up Cashflow'!GC8,0)),0)</f>
        <v>3</v>
      </c>
      <c r="GE8" s="346">
        <f>IF('Start-up Cashflow'!GE7&gt;EOMONTH('Project Assumptions'!$F$25,0),1+(IF('Start-up Cashflow'!GD8&lt;=5,'Start-up Cashflow'!GD8,0)),0)</f>
        <v>4</v>
      </c>
      <c r="GF8" s="346">
        <f>IF('Start-up Cashflow'!GF7&gt;EOMONTH('Project Assumptions'!$F$25,0),1+(IF('Start-up Cashflow'!GE8&lt;=5,'Start-up Cashflow'!GE8,0)),0)</f>
        <v>5</v>
      </c>
      <c r="GG8" s="346">
        <f>IF('Start-up Cashflow'!GG7&gt;EOMONTH('Project Assumptions'!$F$25,0),1+(IF('Start-up Cashflow'!GF8&lt;=5,'Start-up Cashflow'!GF8,0)),0)</f>
        <v>6</v>
      </c>
      <c r="GH8" s="212"/>
      <c r="GI8" s="212"/>
      <c r="GJ8" s="212"/>
      <c r="GK8" s="212"/>
      <c r="GL8" s="212"/>
      <c r="GM8" s="212"/>
      <c r="GN8" s="212"/>
      <c r="GO8" s="212"/>
      <c r="GP8" s="212"/>
      <c r="GQ8" s="212"/>
      <c r="GR8" s="212"/>
      <c r="GS8" s="212"/>
      <c r="GT8" s="212"/>
      <c r="GU8" s="212"/>
      <c r="GV8" s="212"/>
      <c r="GW8" s="212"/>
      <c r="GX8" s="212"/>
      <c r="GY8" s="212"/>
      <c r="GZ8" s="212"/>
      <c r="HA8" s="212"/>
      <c r="HB8" s="212"/>
      <c r="HC8" s="212"/>
      <c r="HD8" s="212"/>
      <c r="HE8" s="212"/>
      <c r="HF8" s="212"/>
      <c r="HG8" s="212"/>
      <c r="HH8" s="212"/>
      <c r="HI8" s="212"/>
      <c r="HJ8" s="212"/>
      <c r="HK8" s="212"/>
      <c r="HL8" s="212"/>
      <c r="HM8" s="212"/>
      <c r="HN8" s="212"/>
      <c r="HO8" s="212"/>
      <c r="HP8" s="212"/>
      <c r="HQ8" s="212"/>
      <c r="HR8" s="212"/>
      <c r="HS8" s="212"/>
      <c r="HT8" s="212"/>
      <c r="HU8" s="212"/>
    </row>
    <row r="9" spans="1:229">
      <c r="A9" s="329" t="s">
        <v>375</v>
      </c>
      <c r="B9" s="329"/>
      <c r="C9" s="212"/>
      <c r="D9" s="212">
        <f>(IF('Project Assumptions'!$F$21&lt;'Start-up Cashflow'!D7,'Project Assumptions'!$I$21,0)+IF('Project Assumptions'!$F$22&lt;'Start-up Cashflow'!D7,'Project Assumptions'!$I$22,0)+IF('Project Assumptions'!$F$23&lt;'Start-up Cashflow'!D7,'Project Assumptions'!$I$23,0)+IF('Project Assumptions'!$F$24&lt;'Start-up Cashflow'!D7,'Project Assumptions'!$I$24,0)+IF('Project Assumptions'!$F$25&lt;'Start-up Cashflow'!D7,'Project Assumptions'!$I$25,0))</f>
        <v>183</v>
      </c>
      <c r="E9" s="212">
        <f>(IF('Project Assumptions'!$F$21&lt;'Start-up Cashflow'!E7,'Project Assumptions'!$I$21,0)+IF('Project Assumptions'!$F$22&lt;'Start-up Cashflow'!E7,'Project Assumptions'!$I$22,0)+IF('Project Assumptions'!$F$23&lt;'Start-up Cashflow'!E7,'Project Assumptions'!$I$23,0)+IF('Project Assumptions'!$F$24&lt;'Start-up Cashflow'!E7,'Project Assumptions'!$I$24,0)+IF('Project Assumptions'!$F$25&lt;'Start-up Cashflow'!E7,'Project Assumptions'!$I$25,0))</f>
        <v>183</v>
      </c>
      <c r="F9" s="212">
        <f>(IF('Project Assumptions'!$F$21&lt;'Start-up Cashflow'!F7,'Project Assumptions'!$I$21,0)+IF('Project Assumptions'!$F$22&lt;'Start-up Cashflow'!F7,'Project Assumptions'!$I$22,0)+IF('Project Assumptions'!$F$23&lt;'Start-up Cashflow'!F7,'Project Assumptions'!$I$23,0)+IF('Project Assumptions'!$F$24&lt;'Start-up Cashflow'!F7,'Project Assumptions'!$I$24,0)+IF('Project Assumptions'!$F$25&lt;'Start-up Cashflow'!F7,'Project Assumptions'!$I$25,0))</f>
        <v>259.5</v>
      </c>
      <c r="G9" s="212">
        <f>(IF('Project Assumptions'!$F$21&lt;'Start-up Cashflow'!G7,'Project Assumptions'!$I$21,0)+IF('Project Assumptions'!$F$22&lt;'Start-up Cashflow'!G7,'Project Assumptions'!$I$22,0)+IF('Project Assumptions'!$F$23&lt;'Start-up Cashflow'!G7,'Project Assumptions'!$I$23,0)+IF('Project Assumptions'!$F$24&lt;'Start-up Cashflow'!G7,'Project Assumptions'!$I$24,0)+IF('Project Assumptions'!$F$25&lt;'Start-up Cashflow'!G7,'Project Assumptions'!$I$25,0))</f>
        <v>259.5</v>
      </c>
      <c r="H9" s="212">
        <f>(IF('Project Assumptions'!$F$21&lt;'Start-up Cashflow'!H7,'Project Assumptions'!$I$21,0)+IF('Project Assumptions'!$F$22&lt;'Start-up Cashflow'!H7,'Project Assumptions'!$I$22,0)+IF('Project Assumptions'!$F$23&lt;'Start-up Cashflow'!H7,'Project Assumptions'!$I$23,0)+IF('Project Assumptions'!$F$24&lt;'Start-up Cashflow'!H7,'Project Assumptions'!$I$24,0)+IF('Project Assumptions'!$F$25&lt;'Start-up Cashflow'!H7,'Project Assumptions'!$I$25,0))</f>
        <v>259.5</v>
      </c>
      <c r="I9" s="212">
        <f>(IF('Project Assumptions'!$F$21&lt;'Start-up Cashflow'!I7,'Project Assumptions'!$I$21,0)+IF('Project Assumptions'!$F$22&lt;'Start-up Cashflow'!I7,'Project Assumptions'!$I$22,0)+IF('Project Assumptions'!$F$23&lt;'Start-up Cashflow'!I7,'Project Assumptions'!$I$23,0)+IF('Project Assumptions'!$F$24&lt;'Start-up Cashflow'!I7,'Project Assumptions'!$I$24,0)+IF('Project Assumptions'!$F$25&lt;'Start-up Cashflow'!I7,'Project Assumptions'!$I$25,0))</f>
        <v>259.5</v>
      </c>
      <c r="J9" s="212">
        <f>(IF('Project Assumptions'!$F$21&lt;'Start-up Cashflow'!J7,'Project Assumptions'!$I$21,0)+IF('Project Assumptions'!$F$22&lt;'Start-up Cashflow'!J7,'Project Assumptions'!$I$22,0)+IF('Project Assumptions'!$F$23&lt;'Start-up Cashflow'!J7,'Project Assumptions'!$I$23,0)+IF('Project Assumptions'!$F$24&lt;'Start-up Cashflow'!J7,'Project Assumptions'!$I$24,0)+IF('Project Assumptions'!$F$25&lt;'Start-up Cashflow'!J7,'Project Assumptions'!$I$25,0))</f>
        <v>336</v>
      </c>
      <c r="K9" s="212">
        <f>(IF('Project Assumptions'!$F$21&lt;'Start-up Cashflow'!K7,'Project Assumptions'!$I$21,0)+IF('Project Assumptions'!$F$22&lt;'Start-up Cashflow'!K7,'Project Assumptions'!$I$22,0)+IF('Project Assumptions'!$F$23&lt;'Start-up Cashflow'!K7,'Project Assumptions'!$I$23,0)+IF('Project Assumptions'!$F$24&lt;'Start-up Cashflow'!K7,'Project Assumptions'!$I$24,0)+IF('Project Assumptions'!$F$25&lt;'Start-up Cashflow'!K7,'Project Assumptions'!$I$25,0))</f>
        <v>336</v>
      </c>
      <c r="L9" s="212">
        <f>(IF('Project Assumptions'!$F$21&lt;'Start-up Cashflow'!L7,'Project Assumptions'!$I$21,0)+IF('Project Assumptions'!$F$22&lt;'Start-up Cashflow'!L7,'Project Assumptions'!$I$22,0)+IF('Project Assumptions'!$F$23&lt;'Start-up Cashflow'!L7,'Project Assumptions'!$I$23,0)+IF('Project Assumptions'!$F$24&lt;'Start-up Cashflow'!L7,'Project Assumptions'!$I$24,0)+IF('Project Assumptions'!$F$25&lt;'Start-up Cashflow'!L7,'Project Assumptions'!$I$25,0))</f>
        <v>336</v>
      </c>
      <c r="M9" s="212">
        <f>(IF('Project Assumptions'!$F$21&lt;'Start-up Cashflow'!M7,'Project Assumptions'!$I$21,0)+IF('Project Assumptions'!$F$22&lt;'Start-up Cashflow'!M7,'Project Assumptions'!$I$22,0)+IF('Project Assumptions'!$F$23&lt;'Start-up Cashflow'!M7,'Project Assumptions'!$I$23,0)+IF('Project Assumptions'!$F$24&lt;'Start-up Cashflow'!M7,'Project Assumptions'!$I$24,0)+IF('Project Assumptions'!$F$25&lt;'Start-up Cashflow'!M7,'Project Assumptions'!$I$25,0))</f>
        <v>336</v>
      </c>
      <c r="N9" s="212">
        <f>(IF('Project Assumptions'!$F$21&lt;'Start-up Cashflow'!N7,'Project Assumptions'!$I$21,0)+IF('Project Assumptions'!$F$22&lt;'Start-up Cashflow'!N7,'Project Assumptions'!$I$22,0)+IF('Project Assumptions'!$F$23&lt;'Start-up Cashflow'!N7,'Project Assumptions'!$I$23,0)+IF('Project Assumptions'!$F$24&lt;'Start-up Cashflow'!N7,'Project Assumptions'!$I$24,0)+IF('Project Assumptions'!$F$25&lt;'Start-up Cashflow'!N7,'Project Assumptions'!$I$25,0))</f>
        <v>336</v>
      </c>
      <c r="O9" s="212">
        <f>(IF('Project Assumptions'!$F$21&lt;'Start-up Cashflow'!O7,'Project Assumptions'!$I$21,0)+IF('Project Assumptions'!$F$22&lt;'Start-up Cashflow'!O7,'Project Assumptions'!$I$22,0)+IF('Project Assumptions'!$F$23&lt;'Start-up Cashflow'!O7,'Project Assumptions'!$I$23,0)+IF('Project Assumptions'!$F$24&lt;'Start-up Cashflow'!O7,'Project Assumptions'!$I$24,0)+IF('Project Assumptions'!$F$25&lt;'Start-up Cashflow'!O7,'Project Assumptions'!$I$25,0))</f>
        <v>336</v>
      </c>
      <c r="P9" s="212">
        <f>(IF('Project Assumptions'!$F$21&lt;'Start-up Cashflow'!P7,'Project Assumptions'!$I$21,0)+IF('Project Assumptions'!$F$22&lt;'Start-up Cashflow'!P7,'Project Assumptions'!$I$22,0)+IF('Project Assumptions'!$F$23&lt;'Start-up Cashflow'!P7,'Project Assumptions'!$I$23,0)+IF('Project Assumptions'!$F$24&lt;'Start-up Cashflow'!P7,'Project Assumptions'!$I$24,0)+IF('Project Assumptions'!$F$25&lt;'Start-up Cashflow'!P7,'Project Assumptions'!$I$25,0))</f>
        <v>336</v>
      </c>
      <c r="Q9" s="212">
        <f>(IF('Project Assumptions'!$F$21&lt;'Start-up Cashflow'!Q7,'Project Assumptions'!$I$21,0)+IF('Project Assumptions'!$F$22&lt;'Start-up Cashflow'!Q7,'Project Assumptions'!$I$22,0)+IF('Project Assumptions'!$F$23&lt;'Start-up Cashflow'!Q7,'Project Assumptions'!$I$23,0)+IF('Project Assumptions'!$F$24&lt;'Start-up Cashflow'!Q7,'Project Assumptions'!$I$24,0)+IF('Project Assumptions'!$F$25&lt;'Start-up Cashflow'!Q7,'Project Assumptions'!$I$25,0))</f>
        <v>336</v>
      </c>
      <c r="R9" s="212">
        <f>(IF('Project Assumptions'!$F$21&lt;'Start-up Cashflow'!R7,'Project Assumptions'!$I$21,0)+IF('Project Assumptions'!$F$22&lt;'Start-up Cashflow'!R7,'Project Assumptions'!$I$22,0)+IF('Project Assumptions'!$F$23&lt;'Start-up Cashflow'!R7,'Project Assumptions'!$I$23,0)+IF('Project Assumptions'!$F$24&lt;'Start-up Cashflow'!R7,'Project Assumptions'!$I$24,0)+IF('Project Assumptions'!$F$25&lt;'Start-up Cashflow'!R7,'Project Assumptions'!$I$25,0))</f>
        <v>336</v>
      </c>
      <c r="S9" s="212">
        <f>(IF('Project Assumptions'!$F$21&lt;'Start-up Cashflow'!S7,'Project Assumptions'!$I$21,0)+IF('Project Assumptions'!$F$22&lt;'Start-up Cashflow'!S7,'Project Assumptions'!$I$22,0)+IF('Project Assumptions'!$F$23&lt;'Start-up Cashflow'!S7,'Project Assumptions'!$I$23,0)+IF('Project Assumptions'!$F$24&lt;'Start-up Cashflow'!S7,'Project Assumptions'!$I$24,0)+IF('Project Assumptions'!$F$25&lt;'Start-up Cashflow'!S7,'Project Assumptions'!$I$25,0))</f>
        <v>336</v>
      </c>
      <c r="T9" s="212">
        <f>(IF('Project Assumptions'!$F$21&lt;'Start-up Cashflow'!T7,'Project Assumptions'!$I$21,0)+IF('Project Assumptions'!$F$22&lt;'Start-up Cashflow'!T7,'Project Assumptions'!$I$22,0)+IF('Project Assumptions'!$F$23&lt;'Start-up Cashflow'!T7,'Project Assumptions'!$I$23,0)+IF('Project Assumptions'!$F$24&lt;'Start-up Cashflow'!T7,'Project Assumptions'!$I$24,0)+IF('Project Assumptions'!$F$25&lt;'Start-up Cashflow'!T7,'Project Assumptions'!$I$25,0))</f>
        <v>336</v>
      </c>
      <c r="U9" s="212">
        <f>(IF('Project Assumptions'!$F$21&lt;'Start-up Cashflow'!U7,'Project Assumptions'!$I$21,0)+IF('Project Assumptions'!$F$22&lt;'Start-up Cashflow'!U7,'Project Assumptions'!$I$22,0)+IF('Project Assumptions'!$F$23&lt;'Start-up Cashflow'!U7,'Project Assumptions'!$I$23,0)+IF('Project Assumptions'!$F$24&lt;'Start-up Cashflow'!U7,'Project Assumptions'!$I$24,0)+IF('Project Assumptions'!$F$25&lt;'Start-up Cashflow'!U7,'Project Assumptions'!$I$25,0))</f>
        <v>336</v>
      </c>
      <c r="V9" s="212">
        <f>(IF('Project Assumptions'!$F$21&lt;'Start-up Cashflow'!V7,'Project Assumptions'!$I$21,0)+IF('Project Assumptions'!$F$22&lt;'Start-up Cashflow'!V7,'Project Assumptions'!$I$22,0)+IF('Project Assumptions'!$F$23&lt;'Start-up Cashflow'!V7,'Project Assumptions'!$I$23,0)+IF('Project Assumptions'!$F$24&lt;'Start-up Cashflow'!V7,'Project Assumptions'!$I$24,0)+IF('Project Assumptions'!$F$25&lt;'Start-up Cashflow'!V7,'Project Assumptions'!$I$25,0))</f>
        <v>336</v>
      </c>
      <c r="W9" s="212">
        <f>(IF('Project Assumptions'!$F$21&lt;'Start-up Cashflow'!W7,'Project Assumptions'!$I$21,0)+IF('Project Assumptions'!$F$22&lt;'Start-up Cashflow'!W7,'Project Assumptions'!$I$22,0)+IF('Project Assumptions'!$F$23&lt;'Start-up Cashflow'!W7,'Project Assumptions'!$I$23,0)+IF('Project Assumptions'!$F$24&lt;'Start-up Cashflow'!W7,'Project Assumptions'!$I$24,0)+IF('Project Assumptions'!$F$25&lt;'Start-up Cashflow'!W7,'Project Assumptions'!$I$25,0))</f>
        <v>336</v>
      </c>
      <c r="X9" s="212">
        <f>(IF('Project Assumptions'!$F$21&lt;'Start-up Cashflow'!X7,'Project Assumptions'!$I$21,0)+IF('Project Assumptions'!$F$22&lt;'Start-up Cashflow'!X7,'Project Assumptions'!$I$22,0)+IF('Project Assumptions'!$F$23&lt;'Start-up Cashflow'!X7,'Project Assumptions'!$I$23,0)+IF('Project Assumptions'!$F$24&lt;'Start-up Cashflow'!X7,'Project Assumptions'!$I$24,0)+IF('Project Assumptions'!$F$25&lt;'Start-up Cashflow'!X7,'Project Assumptions'!$I$25,0))</f>
        <v>336</v>
      </c>
      <c r="Y9" s="212">
        <f>(IF('Project Assumptions'!$F$21&lt;'Start-up Cashflow'!Y7,'Project Assumptions'!$I$21,0)+IF('Project Assumptions'!$F$22&lt;'Start-up Cashflow'!Y7,'Project Assumptions'!$I$22,0)+IF('Project Assumptions'!$F$23&lt;'Start-up Cashflow'!Y7,'Project Assumptions'!$I$23,0)+IF('Project Assumptions'!$F$24&lt;'Start-up Cashflow'!Y7,'Project Assumptions'!$I$24,0)+IF('Project Assumptions'!$F$25&lt;'Start-up Cashflow'!Y7,'Project Assumptions'!$I$25,0))</f>
        <v>336</v>
      </c>
      <c r="Z9" s="212">
        <f>(IF('Project Assumptions'!$F$21&lt;'Start-up Cashflow'!Z7,'Project Assumptions'!$I$21,0)+IF('Project Assumptions'!$F$22&lt;'Start-up Cashflow'!Z7,'Project Assumptions'!$I$22,0)+IF('Project Assumptions'!$F$23&lt;'Start-up Cashflow'!Z7,'Project Assumptions'!$I$23,0)+IF('Project Assumptions'!$F$24&lt;'Start-up Cashflow'!Z7,'Project Assumptions'!$I$24,0)+IF('Project Assumptions'!$F$25&lt;'Start-up Cashflow'!Z7,'Project Assumptions'!$I$25,0))</f>
        <v>336</v>
      </c>
      <c r="AA9" s="212">
        <f>(IF('Project Assumptions'!$F$21&lt;'Start-up Cashflow'!AA7,'Project Assumptions'!$I$21,0)+IF('Project Assumptions'!$F$22&lt;'Start-up Cashflow'!AA7,'Project Assumptions'!$I$22,0)+IF('Project Assumptions'!$F$23&lt;'Start-up Cashflow'!AA7,'Project Assumptions'!$I$23,0)+IF('Project Assumptions'!$F$24&lt;'Start-up Cashflow'!AA7,'Project Assumptions'!$I$24,0)+IF('Project Assumptions'!$F$25&lt;'Start-up Cashflow'!AA7,'Project Assumptions'!$I$25,0))</f>
        <v>336</v>
      </c>
      <c r="AB9" s="212">
        <f>(IF('Project Assumptions'!$F$21&lt;'Start-up Cashflow'!AB7,'Project Assumptions'!$I$21,0)+IF('Project Assumptions'!$F$22&lt;'Start-up Cashflow'!AB7,'Project Assumptions'!$I$22,0)+IF('Project Assumptions'!$F$23&lt;'Start-up Cashflow'!AB7,'Project Assumptions'!$I$23,0)+IF('Project Assumptions'!$F$24&lt;'Start-up Cashflow'!AB7,'Project Assumptions'!$I$24,0)+IF('Project Assumptions'!$F$25&lt;'Start-up Cashflow'!AB7,'Project Assumptions'!$I$25,0))</f>
        <v>336</v>
      </c>
      <c r="AC9" s="212">
        <f>(IF('Project Assumptions'!$F$21&lt;'Start-up Cashflow'!AC7,'Project Assumptions'!$I$21,0)+IF('Project Assumptions'!$F$22&lt;'Start-up Cashflow'!AC7,'Project Assumptions'!$I$22,0)+IF('Project Assumptions'!$F$23&lt;'Start-up Cashflow'!AC7,'Project Assumptions'!$I$23,0)+IF('Project Assumptions'!$F$24&lt;'Start-up Cashflow'!AC7,'Project Assumptions'!$I$24,0)+IF('Project Assumptions'!$F$25&lt;'Start-up Cashflow'!AC7,'Project Assumptions'!$I$25,0))</f>
        <v>336</v>
      </c>
      <c r="AD9" s="212">
        <f>(IF('Project Assumptions'!$F$21&lt;'Start-up Cashflow'!AD7,'Project Assumptions'!$I$21,0)+IF('Project Assumptions'!$F$22&lt;'Start-up Cashflow'!AD7,'Project Assumptions'!$I$22,0)+IF('Project Assumptions'!$F$23&lt;'Start-up Cashflow'!AD7,'Project Assumptions'!$I$23,0)+IF('Project Assumptions'!$F$24&lt;'Start-up Cashflow'!AD7,'Project Assumptions'!$I$24,0)+IF('Project Assumptions'!$F$25&lt;'Start-up Cashflow'!AD7,'Project Assumptions'!$I$25,0))</f>
        <v>336</v>
      </c>
      <c r="AE9" s="212">
        <f>(IF('Project Assumptions'!$F$21&lt;'Start-up Cashflow'!AE7,'Project Assumptions'!$I$21,0)+IF('Project Assumptions'!$F$22&lt;'Start-up Cashflow'!AE7,'Project Assumptions'!$I$22,0)+IF('Project Assumptions'!$F$23&lt;'Start-up Cashflow'!AE7,'Project Assumptions'!$I$23,0)+IF('Project Assumptions'!$F$24&lt;'Start-up Cashflow'!AE7,'Project Assumptions'!$I$24,0)+IF('Project Assumptions'!$F$25&lt;'Start-up Cashflow'!AE7,'Project Assumptions'!$I$25,0))</f>
        <v>336</v>
      </c>
      <c r="AF9" s="212">
        <f>(IF('Project Assumptions'!$F$21&lt;'Start-up Cashflow'!AF7,'Project Assumptions'!$I$21,0)+IF('Project Assumptions'!$F$22&lt;'Start-up Cashflow'!AF7,'Project Assumptions'!$I$22,0)+IF('Project Assumptions'!$F$23&lt;'Start-up Cashflow'!AF7,'Project Assumptions'!$I$23,0)+IF('Project Assumptions'!$F$24&lt;'Start-up Cashflow'!AF7,'Project Assumptions'!$I$24,0)+IF('Project Assumptions'!$F$25&lt;'Start-up Cashflow'!AF7,'Project Assumptions'!$I$25,0))</f>
        <v>336</v>
      </c>
      <c r="AG9" s="212">
        <f>(IF('Project Assumptions'!$F$21&lt;'Start-up Cashflow'!AG7,'Project Assumptions'!$I$21,0)+IF('Project Assumptions'!$F$22&lt;'Start-up Cashflow'!AG7,'Project Assumptions'!$I$22,0)+IF('Project Assumptions'!$F$23&lt;'Start-up Cashflow'!AG7,'Project Assumptions'!$I$23,0)+IF('Project Assumptions'!$F$24&lt;'Start-up Cashflow'!AG7,'Project Assumptions'!$I$24,0)+IF('Project Assumptions'!$F$25&lt;'Start-up Cashflow'!AG7,'Project Assumptions'!$I$25,0))</f>
        <v>336</v>
      </c>
      <c r="AH9" s="212">
        <f>(IF('Project Assumptions'!$F$21&lt;'Start-up Cashflow'!AH7,'Project Assumptions'!$I$21,0)+IF('Project Assumptions'!$F$22&lt;'Start-up Cashflow'!AH7,'Project Assumptions'!$I$22,0)+IF('Project Assumptions'!$F$23&lt;'Start-up Cashflow'!AH7,'Project Assumptions'!$I$23,0)+IF('Project Assumptions'!$F$24&lt;'Start-up Cashflow'!AH7,'Project Assumptions'!$I$24,0)+IF('Project Assumptions'!$F$25&lt;'Start-up Cashflow'!AH7,'Project Assumptions'!$I$25,0))</f>
        <v>336</v>
      </c>
      <c r="AI9" s="212">
        <f>(IF('Project Assumptions'!$F$21&lt;'Start-up Cashflow'!AI7,'Project Assumptions'!$I$21,0)+IF('Project Assumptions'!$F$22&lt;'Start-up Cashflow'!AI7,'Project Assumptions'!$I$22,0)+IF('Project Assumptions'!$F$23&lt;'Start-up Cashflow'!AI7,'Project Assumptions'!$I$23,0)+IF('Project Assumptions'!$F$24&lt;'Start-up Cashflow'!AI7,'Project Assumptions'!$I$24,0)+IF('Project Assumptions'!$F$25&lt;'Start-up Cashflow'!AI7,'Project Assumptions'!$I$25,0))</f>
        <v>336</v>
      </c>
      <c r="AJ9" s="212">
        <f>(IF('Project Assumptions'!$F$21&lt;'Start-up Cashflow'!AJ7,'Project Assumptions'!$I$21,0)+IF('Project Assumptions'!$F$22&lt;'Start-up Cashflow'!AJ7,'Project Assumptions'!$I$22,0)+IF('Project Assumptions'!$F$23&lt;'Start-up Cashflow'!AJ7,'Project Assumptions'!$I$23,0)+IF('Project Assumptions'!$F$24&lt;'Start-up Cashflow'!AJ7,'Project Assumptions'!$I$24,0)+IF('Project Assumptions'!$F$25&lt;'Start-up Cashflow'!AJ7,'Project Assumptions'!$I$25,0))</f>
        <v>336</v>
      </c>
      <c r="AK9" s="212">
        <f>(IF('Project Assumptions'!$F$21&lt;'Start-up Cashflow'!AK7,'Project Assumptions'!$I$21,0)+IF('Project Assumptions'!$F$22&lt;'Start-up Cashflow'!AK7,'Project Assumptions'!$I$22,0)+IF('Project Assumptions'!$F$23&lt;'Start-up Cashflow'!AK7,'Project Assumptions'!$I$23,0)+IF('Project Assumptions'!$F$24&lt;'Start-up Cashflow'!AK7,'Project Assumptions'!$I$24,0)+IF('Project Assumptions'!$F$25&lt;'Start-up Cashflow'!AK7,'Project Assumptions'!$I$25,0))</f>
        <v>336</v>
      </c>
      <c r="AL9" s="212">
        <f>(IF('Project Assumptions'!$F$21&lt;'Start-up Cashflow'!AL7,'Project Assumptions'!$I$21,0)+IF('Project Assumptions'!$F$22&lt;'Start-up Cashflow'!AL7,'Project Assumptions'!$I$22,0)+IF('Project Assumptions'!$F$23&lt;'Start-up Cashflow'!AL7,'Project Assumptions'!$I$23,0)+IF('Project Assumptions'!$F$24&lt;'Start-up Cashflow'!AL7,'Project Assumptions'!$I$24,0)+IF('Project Assumptions'!$F$25&lt;'Start-up Cashflow'!AL7,'Project Assumptions'!$I$25,0))</f>
        <v>336</v>
      </c>
      <c r="AM9" s="212">
        <f>(IF('Project Assumptions'!$F$21&lt;'Start-up Cashflow'!AM7,'Project Assumptions'!$I$21,0)+IF('Project Assumptions'!$F$22&lt;'Start-up Cashflow'!AM7,'Project Assumptions'!$I$22,0)+IF('Project Assumptions'!$F$23&lt;'Start-up Cashflow'!AM7,'Project Assumptions'!$I$23,0)+IF('Project Assumptions'!$F$24&lt;'Start-up Cashflow'!AM7,'Project Assumptions'!$I$24,0)+IF('Project Assumptions'!$F$25&lt;'Start-up Cashflow'!AM7,'Project Assumptions'!$I$25,0))</f>
        <v>336</v>
      </c>
      <c r="AN9" s="212">
        <f>(IF('Project Assumptions'!$F$21&lt;'Start-up Cashflow'!AN7,'Project Assumptions'!$I$21,0)+IF('Project Assumptions'!$F$22&lt;'Start-up Cashflow'!AN7,'Project Assumptions'!$I$22,0)+IF('Project Assumptions'!$F$23&lt;'Start-up Cashflow'!AN7,'Project Assumptions'!$I$23,0)+IF('Project Assumptions'!$F$24&lt;'Start-up Cashflow'!AN7,'Project Assumptions'!$I$24,0)+IF('Project Assumptions'!$F$25&lt;'Start-up Cashflow'!AN7,'Project Assumptions'!$I$25,0))</f>
        <v>336</v>
      </c>
      <c r="AO9" s="212">
        <f>(IF('Project Assumptions'!$F$21&lt;'Start-up Cashflow'!AO7,'Project Assumptions'!$I$21,0)+IF('Project Assumptions'!$F$22&lt;'Start-up Cashflow'!AO7,'Project Assumptions'!$I$22,0)+IF('Project Assumptions'!$F$23&lt;'Start-up Cashflow'!AO7,'Project Assumptions'!$I$23,0)+IF('Project Assumptions'!$F$24&lt;'Start-up Cashflow'!AO7,'Project Assumptions'!$I$24,0)+IF('Project Assumptions'!$F$25&lt;'Start-up Cashflow'!AO7,'Project Assumptions'!$I$25,0))</f>
        <v>336</v>
      </c>
      <c r="AP9" s="212">
        <f>(IF('Project Assumptions'!$F$21&lt;'Start-up Cashflow'!AP7,'Project Assumptions'!$I$21,0)+IF('Project Assumptions'!$F$22&lt;'Start-up Cashflow'!AP7,'Project Assumptions'!$I$22,0)+IF('Project Assumptions'!$F$23&lt;'Start-up Cashflow'!AP7,'Project Assumptions'!$I$23,0)+IF('Project Assumptions'!$F$24&lt;'Start-up Cashflow'!AP7,'Project Assumptions'!$I$24,0)+IF('Project Assumptions'!$F$25&lt;'Start-up Cashflow'!AP7,'Project Assumptions'!$I$25,0))</f>
        <v>336</v>
      </c>
      <c r="AQ9" s="212">
        <f>(IF('Project Assumptions'!$F$21&lt;'Start-up Cashflow'!AQ7,'Project Assumptions'!$I$21,0)+IF('Project Assumptions'!$F$22&lt;'Start-up Cashflow'!AQ7,'Project Assumptions'!$I$22,0)+IF('Project Assumptions'!$F$23&lt;'Start-up Cashflow'!AQ7,'Project Assumptions'!$I$23,0)+IF('Project Assumptions'!$F$24&lt;'Start-up Cashflow'!AQ7,'Project Assumptions'!$I$24,0)+IF('Project Assumptions'!$F$25&lt;'Start-up Cashflow'!AQ7,'Project Assumptions'!$I$25,0))</f>
        <v>336</v>
      </c>
      <c r="AR9" s="212">
        <f>(IF('Project Assumptions'!$F$21&lt;'Start-up Cashflow'!AR7,'Project Assumptions'!$I$21,0)+IF('Project Assumptions'!$F$22&lt;'Start-up Cashflow'!AR7,'Project Assumptions'!$I$22,0)+IF('Project Assumptions'!$F$23&lt;'Start-up Cashflow'!AR7,'Project Assumptions'!$I$23,0)+IF('Project Assumptions'!$F$24&lt;'Start-up Cashflow'!AR7,'Project Assumptions'!$I$24,0)+IF('Project Assumptions'!$F$25&lt;'Start-up Cashflow'!AR7,'Project Assumptions'!$I$25,0))</f>
        <v>336</v>
      </c>
      <c r="AS9" s="212">
        <f>(IF('Project Assumptions'!$F$21&lt;'Start-up Cashflow'!AS7,'Project Assumptions'!$I$21,0)+IF('Project Assumptions'!$F$22&lt;'Start-up Cashflow'!AS7,'Project Assumptions'!$I$22,0)+IF('Project Assumptions'!$F$23&lt;'Start-up Cashflow'!AS7,'Project Assumptions'!$I$23,0)+IF('Project Assumptions'!$F$24&lt;'Start-up Cashflow'!AS7,'Project Assumptions'!$I$24,0)+IF('Project Assumptions'!$F$25&lt;'Start-up Cashflow'!AS7,'Project Assumptions'!$I$25,0))</f>
        <v>336</v>
      </c>
      <c r="AT9" s="212">
        <f>(IF('Project Assumptions'!$F$21&lt;'Start-up Cashflow'!AT7,'Project Assumptions'!$I$21,0)+IF('Project Assumptions'!$F$22&lt;'Start-up Cashflow'!AT7,'Project Assumptions'!$I$22,0)+IF('Project Assumptions'!$F$23&lt;'Start-up Cashflow'!AT7,'Project Assumptions'!$I$23,0)+IF('Project Assumptions'!$F$24&lt;'Start-up Cashflow'!AT7,'Project Assumptions'!$I$24,0)+IF('Project Assumptions'!$F$25&lt;'Start-up Cashflow'!AT7,'Project Assumptions'!$I$25,0))</f>
        <v>336</v>
      </c>
      <c r="AU9" s="212">
        <f>(IF('Project Assumptions'!$F$21&lt;'Start-up Cashflow'!AU7,'Project Assumptions'!$I$21,0)+IF('Project Assumptions'!$F$22&lt;'Start-up Cashflow'!AU7,'Project Assumptions'!$I$22,0)+IF('Project Assumptions'!$F$23&lt;'Start-up Cashflow'!AU7,'Project Assumptions'!$I$23,0)+IF('Project Assumptions'!$F$24&lt;'Start-up Cashflow'!AU7,'Project Assumptions'!$I$24,0)+IF('Project Assumptions'!$F$25&lt;'Start-up Cashflow'!AU7,'Project Assumptions'!$I$25,0))</f>
        <v>336</v>
      </c>
      <c r="AV9" s="212">
        <f>(IF('Project Assumptions'!$F$21&lt;'Start-up Cashflow'!AV7,'Project Assumptions'!$I$21,0)+IF('Project Assumptions'!$F$22&lt;'Start-up Cashflow'!AV7,'Project Assumptions'!$I$22,0)+IF('Project Assumptions'!$F$23&lt;'Start-up Cashflow'!AV7,'Project Assumptions'!$I$23,0)+IF('Project Assumptions'!$F$24&lt;'Start-up Cashflow'!AV7,'Project Assumptions'!$I$24,0)+IF('Project Assumptions'!$F$25&lt;'Start-up Cashflow'!AV7,'Project Assumptions'!$I$25,0))</f>
        <v>336</v>
      </c>
      <c r="AW9" s="212">
        <f>(IF('Project Assumptions'!$F$21&lt;'Start-up Cashflow'!AW7,'Project Assumptions'!$I$21,0)+IF('Project Assumptions'!$F$22&lt;'Start-up Cashflow'!AW7,'Project Assumptions'!$I$22,0)+IF('Project Assumptions'!$F$23&lt;'Start-up Cashflow'!AW7,'Project Assumptions'!$I$23,0)+IF('Project Assumptions'!$F$24&lt;'Start-up Cashflow'!AW7,'Project Assumptions'!$I$24,0)+IF('Project Assumptions'!$F$25&lt;'Start-up Cashflow'!AW7,'Project Assumptions'!$I$25,0))</f>
        <v>336</v>
      </c>
      <c r="AX9" s="212">
        <f>(IF('Project Assumptions'!$F$21&lt;'Start-up Cashflow'!AX7,'Project Assumptions'!$I$21,0)+IF('Project Assumptions'!$F$22&lt;'Start-up Cashflow'!AX7,'Project Assumptions'!$I$22,0)+IF('Project Assumptions'!$F$23&lt;'Start-up Cashflow'!AX7,'Project Assumptions'!$I$23,0)+IF('Project Assumptions'!$F$24&lt;'Start-up Cashflow'!AX7,'Project Assumptions'!$I$24,0)+IF('Project Assumptions'!$F$25&lt;'Start-up Cashflow'!AX7,'Project Assumptions'!$I$25,0))</f>
        <v>336</v>
      </c>
      <c r="AY9" s="212">
        <f>(IF('Project Assumptions'!$F$21&lt;'Start-up Cashflow'!AY7,'Project Assumptions'!$I$21,0)+IF('Project Assumptions'!$F$22&lt;'Start-up Cashflow'!AY7,'Project Assumptions'!$I$22,0)+IF('Project Assumptions'!$F$23&lt;'Start-up Cashflow'!AY7,'Project Assumptions'!$I$23,0)+IF('Project Assumptions'!$F$24&lt;'Start-up Cashflow'!AY7,'Project Assumptions'!$I$24,0)+IF('Project Assumptions'!$F$25&lt;'Start-up Cashflow'!AY7,'Project Assumptions'!$I$25,0))</f>
        <v>336</v>
      </c>
      <c r="AZ9" s="212">
        <f>(IF('Project Assumptions'!$F$21&lt;'Start-up Cashflow'!AZ7,'Project Assumptions'!$I$21,0)+IF('Project Assumptions'!$F$22&lt;'Start-up Cashflow'!AZ7,'Project Assumptions'!$I$22,0)+IF('Project Assumptions'!$F$23&lt;'Start-up Cashflow'!AZ7,'Project Assumptions'!$I$23,0)+IF('Project Assumptions'!$F$24&lt;'Start-up Cashflow'!AZ7,'Project Assumptions'!$I$24,0)+IF('Project Assumptions'!$F$25&lt;'Start-up Cashflow'!AZ7,'Project Assumptions'!$I$25,0))</f>
        <v>336</v>
      </c>
      <c r="BA9" s="212">
        <f>(IF('Project Assumptions'!$F$21&lt;'Start-up Cashflow'!BA7,'Project Assumptions'!$I$21,0)+IF('Project Assumptions'!$F$22&lt;'Start-up Cashflow'!BA7,'Project Assumptions'!$I$22,0)+IF('Project Assumptions'!$F$23&lt;'Start-up Cashflow'!BA7,'Project Assumptions'!$I$23,0)+IF('Project Assumptions'!$F$24&lt;'Start-up Cashflow'!BA7,'Project Assumptions'!$I$24,0)+IF('Project Assumptions'!$F$25&lt;'Start-up Cashflow'!BA7,'Project Assumptions'!$I$25,0))</f>
        <v>336</v>
      </c>
      <c r="BB9" s="212">
        <f>(IF('Project Assumptions'!$F$21&lt;'Start-up Cashflow'!BB7,'Project Assumptions'!$I$21,0)+IF('Project Assumptions'!$F$22&lt;'Start-up Cashflow'!BB7,'Project Assumptions'!$I$22,0)+IF('Project Assumptions'!$F$23&lt;'Start-up Cashflow'!BB7,'Project Assumptions'!$I$23,0)+IF('Project Assumptions'!$F$24&lt;'Start-up Cashflow'!BB7,'Project Assumptions'!$I$24,0)+IF('Project Assumptions'!$F$25&lt;'Start-up Cashflow'!BB7,'Project Assumptions'!$I$25,0))</f>
        <v>336</v>
      </c>
      <c r="BC9" s="212">
        <f>(IF('Project Assumptions'!$F$21&lt;'Start-up Cashflow'!BC7,'Project Assumptions'!$I$21,0)+IF('Project Assumptions'!$F$22&lt;'Start-up Cashflow'!BC7,'Project Assumptions'!$I$22,0)+IF('Project Assumptions'!$F$23&lt;'Start-up Cashflow'!BC7,'Project Assumptions'!$I$23,0)+IF('Project Assumptions'!$F$24&lt;'Start-up Cashflow'!BC7,'Project Assumptions'!$I$24,0)+IF('Project Assumptions'!$F$25&lt;'Start-up Cashflow'!BC7,'Project Assumptions'!$I$25,0))</f>
        <v>336</v>
      </c>
      <c r="BD9" s="212">
        <f>(IF('Project Assumptions'!$F$21&lt;'Start-up Cashflow'!BD7,'Project Assumptions'!$I$21,0)+IF('Project Assumptions'!$F$22&lt;'Start-up Cashflow'!BD7,'Project Assumptions'!$I$22,0)+IF('Project Assumptions'!$F$23&lt;'Start-up Cashflow'!BD7,'Project Assumptions'!$I$23,0)+IF('Project Assumptions'!$F$24&lt;'Start-up Cashflow'!BD7,'Project Assumptions'!$I$24,0)+IF('Project Assumptions'!$F$25&lt;'Start-up Cashflow'!BD7,'Project Assumptions'!$I$25,0))</f>
        <v>336</v>
      </c>
      <c r="BE9" s="212">
        <f>(IF('Project Assumptions'!$F$21&lt;'Start-up Cashflow'!BE7,'Project Assumptions'!$I$21,0)+IF('Project Assumptions'!$F$22&lt;'Start-up Cashflow'!BE7,'Project Assumptions'!$I$22,0)+IF('Project Assumptions'!$F$23&lt;'Start-up Cashflow'!BE7,'Project Assumptions'!$I$23,0)+IF('Project Assumptions'!$F$24&lt;'Start-up Cashflow'!BE7,'Project Assumptions'!$I$24,0)+IF('Project Assumptions'!$F$25&lt;'Start-up Cashflow'!BE7,'Project Assumptions'!$I$25,0))</f>
        <v>336</v>
      </c>
      <c r="BF9" s="212">
        <f>(IF('Project Assumptions'!$F$21&lt;'Start-up Cashflow'!BF7,'Project Assumptions'!$I$21,0)+IF('Project Assumptions'!$F$22&lt;'Start-up Cashflow'!BF7,'Project Assumptions'!$I$22,0)+IF('Project Assumptions'!$F$23&lt;'Start-up Cashflow'!BF7,'Project Assumptions'!$I$23,0)+IF('Project Assumptions'!$F$24&lt;'Start-up Cashflow'!BF7,'Project Assumptions'!$I$24,0)+IF('Project Assumptions'!$F$25&lt;'Start-up Cashflow'!BF7,'Project Assumptions'!$I$25,0))</f>
        <v>336</v>
      </c>
      <c r="BG9" s="212">
        <f>(IF('Project Assumptions'!$F$21&lt;'Start-up Cashflow'!BG7,'Project Assumptions'!$I$21,0)+IF('Project Assumptions'!$F$22&lt;'Start-up Cashflow'!BG7,'Project Assumptions'!$I$22,0)+IF('Project Assumptions'!$F$23&lt;'Start-up Cashflow'!BG7,'Project Assumptions'!$I$23,0)+IF('Project Assumptions'!$F$24&lt;'Start-up Cashflow'!BG7,'Project Assumptions'!$I$24,0)+IF('Project Assumptions'!$F$25&lt;'Start-up Cashflow'!BG7,'Project Assumptions'!$I$25,0))</f>
        <v>336</v>
      </c>
      <c r="BH9" s="212">
        <f>(IF('Project Assumptions'!$F$21&lt;'Start-up Cashflow'!BH7,'Project Assumptions'!$I$21,0)+IF('Project Assumptions'!$F$22&lt;'Start-up Cashflow'!BH7,'Project Assumptions'!$I$22,0)+IF('Project Assumptions'!$F$23&lt;'Start-up Cashflow'!BH7,'Project Assumptions'!$I$23,0)+IF('Project Assumptions'!$F$24&lt;'Start-up Cashflow'!BH7,'Project Assumptions'!$I$24,0)+IF('Project Assumptions'!$F$25&lt;'Start-up Cashflow'!BH7,'Project Assumptions'!$I$25,0))</f>
        <v>336</v>
      </c>
      <c r="BI9" s="212">
        <f>(IF('Project Assumptions'!$F$21&lt;'Start-up Cashflow'!BI7,'Project Assumptions'!$I$21,0)+IF('Project Assumptions'!$F$22&lt;'Start-up Cashflow'!BI7,'Project Assumptions'!$I$22,0)+IF('Project Assumptions'!$F$23&lt;'Start-up Cashflow'!BI7,'Project Assumptions'!$I$23,0)+IF('Project Assumptions'!$F$24&lt;'Start-up Cashflow'!BI7,'Project Assumptions'!$I$24,0)+IF('Project Assumptions'!$F$25&lt;'Start-up Cashflow'!BI7,'Project Assumptions'!$I$25,0))</f>
        <v>336</v>
      </c>
      <c r="BJ9" s="212">
        <f>(IF('Project Assumptions'!$F$21&lt;'Start-up Cashflow'!BJ7,'Project Assumptions'!$I$21,0)+IF('Project Assumptions'!$F$22&lt;'Start-up Cashflow'!BJ7,'Project Assumptions'!$I$22,0)+IF('Project Assumptions'!$F$23&lt;'Start-up Cashflow'!BJ7,'Project Assumptions'!$I$23,0)+IF('Project Assumptions'!$F$24&lt;'Start-up Cashflow'!BJ7,'Project Assumptions'!$I$24,0)+IF('Project Assumptions'!$F$25&lt;'Start-up Cashflow'!BJ7,'Project Assumptions'!$I$25,0))</f>
        <v>336</v>
      </c>
      <c r="BK9" s="212">
        <f>(IF('Project Assumptions'!$F$21&lt;'Start-up Cashflow'!BK7,'Project Assumptions'!$I$21,0)+IF('Project Assumptions'!$F$22&lt;'Start-up Cashflow'!BK7,'Project Assumptions'!$I$22,0)+IF('Project Assumptions'!$F$23&lt;'Start-up Cashflow'!BK7,'Project Assumptions'!$I$23,0)+IF('Project Assumptions'!$F$24&lt;'Start-up Cashflow'!BK7,'Project Assumptions'!$I$24,0)+IF('Project Assumptions'!$F$25&lt;'Start-up Cashflow'!BK7,'Project Assumptions'!$I$25,0))</f>
        <v>336</v>
      </c>
      <c r="BL9" s="212">
        <f>(IF('Project Assumptions'!$F$21&lt;'Start-up Cashflow'!BL7,'Project Assumptions'!$I$21,0)+IF('Project Assumptions'!$F$22&lt;'Start-up Cashflow'!BL7,'Project Assumptions'!$I$22,0)+IF('Project Assumptions'!$F$23&lt;'Start-up Cashflow'!BL7,'Project Assumptions'!$I$23,0)+IF('Project Assumptions'!$F$24&lt;'Start-up Cashflow'!BL7,'Project Assumptions'!$I$24,0)+IF('Project Assumptions'!$F$25&lt;'Start-up Cashflow'!BL7,'Project Assumptions'!$I$25,0))</f>
        <v>336</v>
      </c>
      <c r="BM9" s="212">
        <f>(IF('Project Assumptions'!$F$21&lt;'Start-up Cashflow'!BM7,'Project Assumptions'!$I$21,0)+IF('Project Assumptions'!$F$22&lt;'Start-up Cashflow'!BM7,'Project Assumptions'!$I$22,0)+IF('Project Assumptions'!$F$23&lt;'Start-up Cashflow'!BM7,'Project Assumptions'!$I$23,0)+IF('Project Assumptions'!$F$24&lt;'Start-up Cashflow'!BM7,'Project Assumptions'!$I$24,0)+IF('Project Assumptions'!$F$25&lt;'Start-up Cashflow'!BM7,'Project Assumptions'!$I$25,0))</f>
        <v>336</v>
      </c>
      <c r="BN9" s="212">
        <f>(IF('Project Assumptions'!$F$21&lt;'Start-up Cashflow'!BN7,'Project Assumptions'!$I$21,0)+IF('Project Assumptions'!$F$22&lt;'Start-up Cashflow'!BN7,'Project Assumptions'!$I$22,0)+IF('Project Assumptions'!$F$23&lt;'Start-up Cashflow'!BN7,'Project Assumptions'!$I$23,0)+IF('Project Assumptions'!$F$24&lt;'Start-up Cashflow'!BN7,'Project Assumptions'!$I$24,0)+IF('Project Assumptions'!$F$25&lt;'Start-up Cashflow'!BN7,'Project Assumptions'!$I$25,0))</f>
        <v>336</v>
      </c>
      <c r="BO9" s="212">
        <f>(IF('Project Assumptions'!$F$21&lt;'Start-up Cashflow'!BO7,'Project Assumptions'!$I$21,0)+IF('Project Assumptions'!$F$22&lt;'Start-up Cashflow'!BO7,'Project Assumptions'!$I$22,0)+IF('Project Assumptions'!$F$23&lt;'Start-up Cashflow'!BO7,'Project Assumptions'!$I$23,0)+IF('Project Assumptions'!$F$24&lt;'Start-up Cashflow'!BO7,'Project Assumptions'!$I$24,0)+IF('Project Assumptions'!$F$25&lt;'Start-up Cashflow'!BO7,'Project Assumptions'!$I$25,0))</f>
        <v>336</v>
      </c>
      <c r="BP9" s="212">
        <f>(IF('Project Assumptions'!$F$21&lt;'Start-up Cashflow'!BP7,'Project Assumptions'!$I$21,0)+IF('Project Assumptions'!$F$22&lt;'Start-up Cashflow'!BP7,'Project Assumptions'!$I$22,0)+IF('Project Assumptions'!$F$23&lt;'Start-up Cashflow'!BP7,'Project Assumptions'!$I$23,0)+IF('Project Assumptions'!$F$24&lt;'Start-up Cashflow'!BP7,'Project Assumptions'!$I$24,0)+IF('Project Assumptions'!$F$25&lt;'Start-up Cashflow'!BP7,'Project Assumptions'!$I$25,0))</f>
        <v>336</v>
      </c>
      <c r="BQ9" s="212">
        <f>(IF('Project Assumptions'!$F$21&lt;'Start-up Cashflow'!BQ7,'Project Assumptions'!$I$21,0)+IF('Project Assumptions'!$F$22&lt;'Start-up Cashflow'!BQ7,'Project Assumptions'!$I$22,0)+IF('Project Assumptions'!$F$23&lt;'Start-up Cashflow'!BQ7,'Project Assumptions'!$I$23,0)+IF('Project Assumptions'!$F$24&lt;'Start-up Cashflow'!BQ7,'Project Assumptions'!$I$24,0)+IF('Project Assumptions'!$F$25&lt;'Start-up Cashflow'!BQ7,'Project Assumptions'!$I$25,0))</f>
        <v>336</v>
      </c>
      <c r="BR9" s="212">
        <f>(IF('Project Assumptions'!$F$21&lt;'Start-up Cashflow'!BR7,'Project Assumptions'!$I$21,0)+IF('Project Assumptions'!$F$22&lt;'Start-up Cashflow'!BR7,'Project Assumptions'!$I$22,0)+IF('Project Assumptions'!$F$23&lt;'Start-up Cashflow'!BR7,'Project Assumptions'!$I$23,0)+IF('Project Assumptions'!$F$24&lt;'Start-up Cashflow'!BR7,'Project Assumptions'!$I$24,0)+IF('Project Assumptions'!$F$25&lt;'Start-up Cashflow'!BR7,'Project Assumptions'!$I$25,0))</f>
        <v>336</v>
      </c>
      <c r="BS9" s="212">
        <f>(IF('Project Assumptions'!$F$21&lt;'Start-up Cashflow'!BS7,'Project Assumptions'!$I$21,0)+IF('Project Assumptions'!$F$22&lt;'Start-up Cashflow'!BS7,'Project Assumptions'!$I$22,0)+IF('Project Assumptions'!$F$23&lt;'Start-up Cashflow'!BS7,'Project Assumptions'!$I$23,0)+IF('Project Assumptions'!$F$24&lt;'Start-up Cashflow'!BS7,'Project Assumptions'!$I$24,0)+IF('Project Assumptions'!$F$25&lt;'Start-up Cashflow'!BS7,'Project Assumptions'!$I$25,0))</f>
        <v>336</v>
      </c>
      <c r="BT9" s="212">
        <f>(IF('Project Assumptions'!$F$21&lt;'Start-up Cashflow'!BT7,'Project Assumptions'!$I$21,0)+IF('Project Assumptions'!$F$22&lt;'Start-up Cashflow'!BT7,'Project Assumptions'!$I$22,0)+IF('Project Assumptions'!$F$23&lt;'Start-up Cashflow'!BT7,'Project Assumptions'!$I$23,0)+IF('Project Assumptions'!$F$24&lt;'Start-up Cashflow'!BT7,'Project Assumptions'!$I$24,0)+IF('Project Assumptions'!$F$25&lt;'Start-up Cashflow'!BT7,'Project Assumptions'!$I$25,0))</f>
        <v>336</v>
      </c>
      <c r="BU9" s="212">
        <f>(IF('Project Assumptions'!$F$21&lt;'Start-up Cashflow'!BU7,'Project Assumptions'!$I$21,0)+IF('Project Assumptions'!$F$22&lt;'Start-up Cashflow'!BU7,'Project Assumptions'!$I$22,0)+IF('Project Assumptions'!$F$23&lt;'Start-up Cashflow'!BU7,'Project Assumptions'!$I$23,0)+IF('Project Assumptions'!$F$24&lt;'Start-up Cashflow'!BU7,'Project Assumptions'!$I$24,0)+IF('Project Assumptions'!$F$25&lt;'Start-up Cashflow'!BU7,'Project Assumptions'!$I$25,0))</f>
        <v>336</v>
      </c>
      <c r="BV9" s="212">
        <f>(IF('Project Assumptions'!$F$21&lt;'Start-up Cashflow'!BV7,'Project Assumptions'!$I$21,0)+IF('Project Assumptions'!$F$22&lt;'Start-up Cashflow'!BV7,'Project Assumptions'!$I$22,0)+IF('Project Assumptions'!$F$23&lt;'Start-up Cashflow'!BV7,'Project Assumptions'!$I$23,0)+IF('Project Assumptions'!$F$24&lt;'Start-up Cashflow'!BV7,'Project Assumptions'!$I$24,0)+IF('Project Assumptions'!$F$25&lt;'Start-up Cashflow'!BV7,'Project Assumptions'!$I$25,0))</f>
        <v>336</v>
      </c>
      <c r="BW9" s="212">
        <f>(IF('Project Assumptions'!$F$21&lt;'Start-up Cashflow'!BW7,'Project Assumptions'!$I$21,0)+IF('Project Assumptions'!$F$22&lt;'Start-up Cashflow'!BW7,'Project Assumptions'!$I$22,0)+IF('Project Assumptions'!$F$23&lt;'Start-up Cashflow'!BW7,'Project Assumptions'!$I$23,0)+IF('Project Assumptions'!$F$24&lt;'Start-up Cashflow'!BW7,'Project Assumptions'!$I$24,0)+IF('Project Assumptions'!$F$25&lt;'Start-up Cashflow'!BW7,'Project Assumptions'!$I$25,0))</f>
        <v>336</v>
      </c>
      <c r="BX9" s="212">
        <f>(IF('Project Assumptions'!$F$21&lt;'Start-up Cashflow'!BX7,'Project Assumptions'!$I$21,0)+IF('Project Assumptions'!$F$22&lt;'Start-up Cashflow'!BX7,'Project Assumptions'!$I$22,0)+IF('Project Assumptions'!$F$23&lt;'Start-up Cashflow'!BX7,'Project Assumptions'!$I$23,0)+IF('Project Assumptions'!$F$24&lt;'Start-up Cashflow'!BX7,'Project Assumptions'!$I$24,0)+IF('Project Assumptions'!$F$25&lt;'Start-up Cashflow'!BX7,'Project Assumptions'!$I$25,0))</f>
        <v>336</v>
      </c>
      <c r="BY9" s="212">
        <f>(IF('Project Assumptions'!$F$21&lt;'Start-up Cashflow'!BY7,'Project Assumptions'!$I$21,0)+IF('Project Assumptions'!$F$22&lt;'Start-up Cashflow'!BY7,'Project Assumptions'!$I$22,0)+IF('Project Assumptions'!$F$23&lt;'Start-up Cashflow'!BY7,'Project Assumptions'!$I$23,0)+IF('Project Assumptions'!$F$24&lt;'Start-up Cashflow'!BY7,'Project Assumptions'!$I$24,0)+IF('Project Assumptions'!$F$25&lt;'Start-up Cashflow'!BY7,'Project Assumptions'!$I$25,0))</f>
        <v>336</v>
      </c>
      <c r="BZ9" s="212">
        <f>(IF('Project Assumptions'!$F$21&lt;'Start-up Cashflow'!BZ7,'Project Assumptions'!$I$21,0)+IF('Project Assumptions'!$F$22&lt;'Start-up Cashflow'!BZ7,'Project Assumptions'!$I$22,0)+IF('Project Assumptions'!$F$23&lt;'Start-up Cashflow'!BZ7,'Project Assumptions'!$I$23,0)+IF('Project Assumptions'!$F$24&lt;'Start-up Cashflow'!BZ7,'Project Assumptions'!$I$24,0)+IF('Project Assumptions'!$F$25&lt;'Start-up Cashflow'!BZ7,'Project Assumptions'!$I$25,0))</f>
        <v>336</v>
      </c>
      <c r="CA9" s="212">
        <f>(IF('Project Assumptions'!$F$21&lt;'Start-up Cashflow'!CA7,'Project Assumptions'!$I$21,0)+IF('Project Assumptions'!$F$22&lt;'Start-up Cashflow'!CA7,'Project Assumptions'!$I$22,0)+IF('Project Assumptions'!$F$23&lt;'Start-up Cashflow'!CA7,'Project Assumptions'!$I$23,0)+IF('Project Assumptions'!$F$24&lt;'Start-up Cashflow'!CA7,'Project Assumptions'!$I$24,0)+IF('Project Assumptions'!$F$25&lt;'Start-up Cashflow'!CA7,'Project Assumptions'!$I$25,0))</f>
        <v>336</v>
      </c>
      <c r="CB9" s="212">
        <f>(IF('Project Assumptions'!$F$21&lt;'Start-up Cashflow'!CB7,'Project Assumptions'!$I$21,0)+IF('Project Assumptions'!$F$22&lt;'Start-up Cashflow'!CB7,'Project Assumptions'!$I$22,0)+IF('Project Assumptions'!$F$23&lt;'Start-up Cashflow'!CB7,'Project Assumptions'!$I$23,0)+IF('Project Assumptions'!$F$24&lt;'Start-up Cashflow'!CB7,'Project Assumptions'!$I$24,0)+IF('Project Assumptions'!$F$25&lt;'Start-up Cashflow'!CB7,'Project Assumptions'!$I$25,0))</f>
        <v>336</v>
      </c>
      <c r="CC9" s="212">
        <f>(IF('Project Assumptions'!$F$21&lt;'Start-up Cashflow'!CC7,'Project Assumptions'!$I$21,0)+IF('Project Assumptions'!$F$22&lt;'Start-up Cashflow'!CC7,'Project Assumptions'!$I$22,0)+IF('Project Assumptions'!$F$23&lt;'Start-up Cashflow'!CC7,'Project Assumptions'!$I$23,0)+IF('Project Assumptions'!$F$24&lt;'Start-up Cashflow'!CC7,'Project Assumptions'!$I$24,0)+IF('Project Assumptions'!$F$25&lt;'Start-up Cashflow'!CC7,'Project Assumptions'!$I$25,0))</f>
        <v>336</v>
      </c>
      <c r="CD9" s="212">
        <f>(IF('Project Assumptions'!$F$21&lt;'Start-up Cashflow'!CD7,'Project Assumptions'!$I$21,0)+IF('Project Assumptions'!$F$22&lt;'Start-up Cashflow'!CD7,'Project Assumptions'!$I$22,0)+IF('Project Assumptions'!$F$23&lt;'Start-up Cashflow'!CD7,'Project Assumptions'!$I$23,0)+IF('Project Assumptions'!$F$24&lt;'Start-up Cashflow'!CD7,'Project Assumptions'!$I$24,0)+IF('Project Assumptions'!$F$25&lt;'Start-up Cashflow'!CD7,'Project Assumptions'!$I$25,0))</f>
        <v>336</v>
      </c>
      <c r="CE9" s="212">
        <f>(IF('Project Assumptions'!$F$21&lt;'Start-up Cashflow'!CE7,'Project Assumptions'!$I$21,0)+IF('Project Assumptions'!$F$22&lt;'Start-up Cashflow'!CE7,'Project Assumptions'!$I$22,0)+IF('Project Assumptions'!$F$23&lt;'Start-up Cashflow'!CE7,'Project Assumptions'!$I$23,0)+IF('Project Assumptions'!$F$24&lt;'Start-up Cashflow'!CE7,'Project Assumptions'!$I$24,0)+IF('Project Assumptions'!$F$25&lt;'Start-up Cashflow'!CE7,'Project Assumptions'!$I$25,0))</f>
        <v>336</v>
      </c>
      <c r="CF9" s="212">
        <f>(IF('Project Assumptions'!$F$21&lt;'Start-up Cashflow'!CF7,'Project Assumptions'!$I$21,0)+IF('Project Assumptions'!$F$22&lt;'Start-up Cashflow'!CF7,'Project Assumptions'!$I$22,0)+IF('Project Assumptions'!$F$23&lt;'Start-up Cashflow'!CF7,'Project Assumptions'!$I$23,0)+IF('Project Assumptions'!$F$24&lt;'Start-up Cashflow'!CF7,'Project Assumptions'!$I$24,0)+IF('Project Assumptions'!$F$25&lt;'Start-up Cashflow'!CF7,'Project Assumptions'!$I$25,0))</f>
        <v>336</v>
      </c>
      <c r="CG9" s="212">
        <f>(IF('Project Assumptions'!$F$21&lt;'Start-up Cashflow'!CG7,'Project Assumptions'!$I$21,0)+IF('Project Assumptions'!$F$22&lt;'Start-up Cashflow'!CG7,'Project Assumptions'!$I$22,0)+IF('Project Assumptions'!$F$23&lt;'Start-up Cashflow'!CG7,'Project Assumptions'!$I$23,0)+IF('Project Assumptions'!$F$24&lt;'Start-up Cashflow'!CG7,'Project Assumptions'!$I$24,0)+IF('Project Assumptions'!$F$25&lt;'Start-up Cashflow'!CG7,'Project Assumptions'!$I$25,0))</f>
        <v>336</v>
      </c>
      <c r="CH9" s="212">
        <f>(IF('Project Assumptions'!$F$21&lt;'Start-up Cashflow'!CH7,'Project Assumptions'!$I$21,0)+IF('Project Assumptions'!$F$22&lt;'Start-up Cashflow'!CH7,'Project Assumptions'!$I$22,0)+IF('Project Assumptions'!$F$23&lt;'Start-up Cashflow'!CH7,'Project Assumptions'!$I$23,0)+IF('Project Assumptions'!$F$24&lt;'Start-up Cashflow'!CH7,'Project Assumptions'!$I$24,0)+IF('Project Assumptions'!$F$25&lt;'Start-up Cashflow'!CH7,'Project Assumptions'!$I$25,0))</f>
        <v>336</v>
      </c>
      <c r="CI9" s="212">
        <f>(IF('Project Assumptions'!$F$21&lt;'Start-up Cashflow'!CI7,'Project Assumptions'!$I$21,0)+IF('Project Assumptions'!$F$22&lt;'Start-up Cashflow'!CI7,'Project Assumptions'!$I$22,0)+IF('Project Assumptions'!$F$23&lt;'Start-up Cashflow'!CI7,'Project Assumptions'!$I$23,0)+IF('Project Assumptions'!$F$24&lt;'Start-up Cashflow'!CI7,'Project Assumptions'!$I$24,0)+IF('Project Assumptions'!$F$25&lt;'Start-up Cashflow'!CI7,'Project Assumptions'!$I$25,0))</f>
        <v>336</v>
      </c>
      <c r="CJ9" s="212">
        <f>(IF('Project Assumptions'!$F$21&lt;'Start-up Cashflow'!CJ7,'Project Assumptions'!$I$21,0)+IF('Project Assumptions'!$F$22&lt;'Start-up Cashflow'!CJ7,'Project Assumptions'!$I$22,0)+IF('Project Assumptions'!$F$23&lt;'Start-up Cashflow'!CJ7,'Project Assumptions'!$I$23,0)+IF('Project Assumptions'!$F$24&lt;'Start-up Cashflow'!CJ7,'Project Assumptions'!$I$24,0)+IF('Project Assumptions'!$F$25&lt;'Start-up Cashflow'!CJ7,'Project Assumptions'!$I$25,0))</f>
        <v>336</v>
      </c>
      <c r="CK9" s="212">
        <f>(IF('Project Assumptions'!$F$21&lt;'Start-up Cashflow'!CK7,'Project Assumptions'!$I$21,0)+IF('Project Assumptions'!$F$22&lt;'Start-up Cashflow'!CK7,'Project Assumptions'!$I$22,0)+IF('Project Assumptions'!$F$23&lt;'Start-up Cashflow'!CK7,'Project Assumptions'!$I$23,0)+IF('Project Assumptions'!$F$24&lt;'Start-up Cashflow'!CK7,'Project Assumptions'!$I$24,0)+IF('Project Assumptions'!$F$25&lt;'Start-up Cashflow'!CK7,'Project Assumptions'!$I$25,0))</f>
        <v>336</v>
      </c>
      <c r="CL9" s="212">
        <f>(IF('Project Assumptions'!$F$21&lt;'Start-up Cashflow'!CL7,'Project Assumptions'!$I$21,0)+IF('Project Assumptions'!$F$22&lt;'Start-up Cashflow'!CL7,'Project Assumptions'!$I$22,0)+IF('Project Assumptions'!$F$23&lt;'Start-up Cashflow'!CL7,'Project Assumptions'!$I$23,0)+IF('Project Assumptions'!$F$24&lt;'Start-up Cashflow'!CL7,'Project Assumptions'!$I$24,0)+IF('Project Assumptions'!$F$25&lt;'Start-up Cashflow'!CL7,'Project Assumptions'!$I$25,0))</f>
        <v>336</v>
      </c>
      <c r="CM9" s="212">
        <f>(IF('Project Assumptions'!$F$21&lt;'Start-up Cashflow'!CM7,'Project Assumptions'!$I$21,0)+IF('Project Assumptions'!$F$22&lt;'Start-up Cashflow'!CM7,'Project Assumptions'!$I$22,0)+IF('Project Assumptions'!$F$23&lt;'Start-up Cashflow'!CM7,'Project Assumptions'!$I$23,0)+IF('Project Assumptions'!$F$24&lt;'Start-up Cashflow'!CM7,'Project Assumptions'!$I$24,0)+IF('Project Assumptions'!$F$25&lt;'Start-up Cashflow'!CM7,'Project Assumptions'!$I$25,0))</f>
        <v>336</v>
      </c>
      <c r="CN9" s="212">
        <f>(IF('Project Assumptions'!$F$21&lt;'Start-up Cashflow'!CN7,'Project Assumptions'!$I$21,0)+IF('Project Assumptions'!$F$22&lt;'Start-up Cashflow'!CN7,'Project Assumptions'!$I$22,0)+IF('Project Assumptions'!$F$23&lt;'Start-up Cashflow'!CN7,'Project Assumptions'!$I$23,0)+IF('Project Assumptions'!$F$24&lt;'Start-up Cashflow'!CN7,'Project Assumptions'!$I$24,0)+IF('Project Assumptions'!$F$25&lt;'Start-up Cashflow'!CN7,'Project Assumptions'!$I$25,0))</f>
        <v>336</v>
      </c>
      <c r="CO9" s="212">
        <f>(IF('Project Assumptions'!$F$21&lt;'Start-up Cashflow'!CO7,'Project Assumptions'!$I$21,0)+IF('Project Assumptions'!$F$22&lt;'Start-up Cashflow'!CO7,'Project Assumptions'!$I$22,0)+IF('Project Assumptions'!$F$23&lt;'Start-up Cashflow'!CO7,'Project Assumptions'!$I$23,0)+IF('Project Assumptions'!$F$24&lt;'Start-up Cashflow'!CO7,'Project Assumptions'!$I$24,0)+IF('Project Assumptions'!$F$25&lt;'Start-up Cashflow'!CO7,'Project Assumptions'!$I$25,0))</f>
        <v>336</v>
      </c>
      <c r="CP9" s="212">
        <f>(IF('Project Assumptions'!$F$21&lt;'Start-up Cashflow'!CP7,'Project Assumptions'!$I$21,0)+IF('Project Assumptions'!$F$22&lt;'Start-up Cashflow'!CP7,'Project Assumptions'!$I$22,0)+IF('Project Assumptions'!$F$23&lt;'Start-up Cashflow'!CP7,'Project Assumptions'!$I$23,0)+IF('Project Assumptions'!$F$24&lt;'Start-up Cashflow'!CP7,'Project Assumptions'!$I$24,0)+IF('Project Assumptions'!$F$25&lt;'Start-up Cashflow'!CP7,'Project Assumptions'!$I$25,0))</f>
        <v>336</v>
      </c>
      <c r="CQ9" s="212">
        <f>(IF('Project Assumptions'!$F$21&lt;'Start-up Cashflow'!CQ7,'Project Assumptions'!$I$21,0)+IF('Project Assumptions'!$F$22&lt;'Start-up Cashflow'!CQ7,'Project Assumptions'!$I$22,0)+IF('Project Assumptions'!$F$23&lt;'Start-up Cashflow'!CQ7,'Project Assumptions'!$I$23,0)+IF('Project Assumptions'!$F$24&lt;'Start-up Cashflow'!CQ7,'Project Assumptions'!$I$24,0)+IF('Project Assumptions'!$F$25&lt;'Start-up Cashflow'!CQ7,'Project Assumptions'!$I$25,0))</f>
        <v>336</v>
      </c>
      <c r="CR9" s="212">
        <f>(IF('Project Assumptions'!$F$21&lt;'Start-up Cashflow'!CR7,'Project Assumptions'!$I$21,0)+IF('Project Assumptions'!$F$22&lt;'Start-up Cashflow'!CR7,'Project Assumptions'!$I$22,0)+IF('Project Assumptions'!$F$23&lt;'Start-up Cashflow'!CR7,'Project Assumptions'!$I$23,0)+IF('Project Assumptions'!$F$24&lt;'Start-up Cashflow'!CR7,'Project Assumptions'!$I$24,0)+IF('Project Assumptions'!$F$25&lt;'Start-up Cashflow'!CR7,'Project Assumptions'!$I$25,0))</f>
        <v>336</v>
      </c>
      <c r="CS9" s="212">
        <f>(IF('Project Assumptions'!$F$21&lt;'Start-up Cashflow'!CS7,'Project Assumptions'!$I$21,0)+IF('Project Assumptions'!$F$22&lt;'Start-up Cashflow'!CS7,'Project Assumptions'!$I$22,0)+IF('Project Assumptions'!$F$23&lt;'Start-up Cashflow'!CS7,'Project Assumptions'!$I$23,0)+IF('Project Assumptions'!$F$24&lt;'Start-up Cashflow'!CS7,'Project Assumptions'!$I$24,0)+IF('Project Assumptions'!$F$25&lt;'Start-up Cashflow'!CS7,'Project Assumptions'!$I$25,0))</f>
        <v>336</v>
      </c>
      <c r="CT9" s="212">
        <f>(IF('Project Assumptions'!$F$21&lt;'Start-up Cashflow'!CT7,'Project Assumptions'!$I$21,0)+IF('Project Assumptions'!$F$22&lt;'Start-up Cashflow'!CT7,'Project Assumptions'!$I$22,0)+IF('Project Assumptions'!$F$23&lt;'Start-up Cashflow'!CT7,'Project Assumptions'!$I$23,0)+IF('Project Assumptions'!$F$24&lt;'Start-up Cashflow'!CT7,'Project Assumptions'!$I$24,0)+IF('Project Assumptions'!$F$25&lt;'Start-up Cashflow'!CT7,'Project Assumptions'!$I$25,0))</f>
        <v>336</v>
      </c>
      <c r="CU9" s="212">
        <f>(IF('Project Assumptions'!$F$21&lt;'Start-up Cashflow'!CU7,'Project Assumptions'!$I$21,0)+IF('Project Assumptions'!$F$22&lt;'Start-up Cashflow'!CU7,'Project Assumptions'!$I$22,0)+IF('Project Assumptions'!$F$23&lt;'Start-up Cashflow'!CU7,'Project Assumptions'!$I$23,0)+IF('Project Assumptions'!$F$24&lt;'Start-up Cashflow'!CU7,'Project Assumptions'!$I$24,0)+IF('Project Assumptions'!$F$25&lt;'Start-up Cashflow'!CU7,'Project Assumptions'!$I$25,0))</f>
        <v>336</v>
      </c>
      <c r="CV9" s="212">
        <f>(IF('Project Assumptions'!$F$21&lt;'Start-up Cashflow'!CV7,'Project Assumptions'!$I$21,0)+IF('Project Assumptions'!$F$22&lt;'Start-up Cashflow'!CV7,'Project Assumptions'!$I$22,0)+IF('Project Assumptions'!$F$23&lt;'Start-up Cashflow'!CV7,'Project Assumptions'!$I$23,0)+IF('Project Assumptions'!$F$24&lt;'Start-up Cashflow'!CV7,'Project Assumptions'!$I$24,0)+IF('Project Assumptions'!$F$25&lt;'Start-up Cashflow'!CV7,'Project Assumptions'!$I$25,0))</f>
        <v>336</v>
      </c>
      <c r="CW9" s="212">
        <f>(IF('Project Assumptions'!$F$21&lt;'Start-up Cashflow'!CW7,'Project Assumptions'!$I$21,0)+IF('Project Assumptions'!$F$22&lt;'Start-up Cashflow'!CW7,'Project Assumptions'!$I$22,0)+IF('Project Assumptions'!$F$23&lt;'Start-up Cashflow'!CW7,'Project Assumptions'!$I$23,0)+IF('Project Assumptions'!$F$24&lt;'Start-up Cashflow'!CW7,'Project Assumptions'!$I$24,0)+IF('Project Assumptions'!$F$25&lt;'Start-up Cashflow'!CW7,'Project Assumptions'!$I$25,0))</f>
        <v>336</v>
      </c>
      <c r="CX9" s="212">
        <f>(IF('Project Assumptions'!$F$21&lt;'Start-up Cashflow'!CX7,'Project Assumptions'!$I$21,0)+IF('Project Assumptions'!$F$22&lt;'Start-up Cashflow'!CX7,'Project Assumptions'!$I$22,0)+IF('Project Assumptions'!$F$23&lt;'Start-up Cashflow'!CX7,'Project Assumptions'!$I$23,0)+IF('Project Assumptions'!$F$24&lt;'Start-up Cashflow'!CX7,'Project Assumptions'!$I$24,0)+IF('Project Assumptions'!$F$25&lt;'Start-up Cashflow'!CX7,'Project Assumptions'!$I$25,0))</f>
        <v>336</v>
      </c>
      <c r="CY9" s="212">
        <f>(IF('Project Assumptions'!$F$21&lt;'Start-up Cashflow'!CY7,'Project Assumptions'!$I$21,0)+IF('Project Assumptions'!$F$22&lt;'Start-up Cashflow'!CY7,'Project Assumptions'!$I$22,0)+IF('Project Assumptions'!$F$23&lt;'Start-up Cashflow'!CY7,'Project Assumptions'!$I$23,0)+IF('Project Assumptions'!$F$24&lt;'Start-up Cashflow'!CY7,'Project Assumptions'!$I$24,0)+IF('Project Assumptions'!$F$25&lt;'Start-up Cashflow'!CY7,'Project Assumptions'!$I$25,0))</f>
        <v>336</v>
      </c>
      <c r="CZ9" s="212">
        <f>(IF('Project Assumptions'!$F$21&lt;'Start-up Cashflow'!CZ7,'Project Assumptions'!$I$21,0)+IF('Project Assumptions'!$F$22&lt;'Start-up Cashflow'!CZ7,'Project Assumptions'!$I$22,0)+IF('Project Assumptions'!$F$23&lt;'Start-up Cashflow'!CZ7,'Project Assumptions'!$I$23,0)+IF('Project Assumptions'!$F$24&lt;'Start-up Cashflow'!CZ7,'Project Assumptions'!$I$24,0)+IF('Project Assumptions'!$F$25&lt;'Start-up Cashflow'!CZ7,'Project Assumptions'!$I$25,0))</f>
        <v>336</v>
      </c>
      <c r="DA9" s="212">
        <f>(IF('Project Assumptions'!$F$21&lt;'Start-up Cashflow'!DA7,'Project Assumptions'!$I$21,0)+IF('Project Assumptions'!$F$22&lt;'Start-up Cashflow'!DA7,'Project Assumptions'!$I$22,0)+IF('Project Assumptions'!$F$23&lt;'Start-up Cashflow'!DA7,'Project Assumptions'!$I$23,0)+IF('Project Assumptions'!$F$24&lt;'Start-up Cashflow'!DA7,'Project Assumptions'!$I$24,0)+IF('Project Assumptions'!$F$25&lt;'Start-up Cashflow'!DA7,'Project Assumptions'!$I$25,0))</f>
        <v>336</v>
      </c>
      <c r="DB9" s="212">
        <f>(IF('Project Assumptions'!$F$21&lt;'Start-up Cashflow'!DB7,'Project Assumptions'!$I$21,0)+IF('Project Assumptions'!$F$22&lt;'Start-up Cashflow'!DB7,'Project Assumptions'!$I$22,0)+IF('Project Assumptions'!$F$23&lt;'Start-up Cashflow'!DB7,'Project Assumptions'!$I$23,0)+IF('Project Assumptions'!$F$24&lt;'Start-up Cashflow'!DB7,'Project Assumptions'!$I$24,0)+IF('Project Assumptions'!$F$25&lt;'Start-up Cashflow'!DB7,'Project Assumptions'!$I$25,0))</f>
        <v>336</v>
      </c>
      <c r="DC9" s="212">
        <f>(IF('Project Assumptions'!$F$21&lt;'Start-up Cashflow'!DC7,'Project Assumptions'!$I$21,0)+IF('Project Assumptions'!$F$22&lt;'Start-up Cashflow'!DC7,'Project Assumptions'!$I$22,0)+IF('Project Assumptions'!$F$23&lt;'Start-up Cashflow'!DC7,'Project Assumptions'!$I$23,0)+IF('Project Assumptions'!$F$24&lt;'Start-up Cashflow'!DC7,'Project Assumptions'!$I$24,0)+IF('Project Assumptions'!$F$25&lt;'Start-up Cashflow'!DC7,'Project Assumptions'!$I$25,0))</f>
        <v>336</v>
      </c>
      <c r="DD9" s="212">
        <f>(IF('Project Assumptions'!$F$21&lt;'Start-up Cashflow'!DD7,'Project Assumptions'!$I$21,0)+IF('Project Assumptions'!$F$22&lt;'Start-up Cashflow'!DD7,'Project Assumptions'!$I$22,0)+IF('Project Assumptions'!$F$23&lt;'Start-up Cashflow'!DD7,'Project Assumptions'!$I$23,0)+IF('Project Assumptions'!$F$24&lt;'Start-up Cashflow'!DD7,'Project Assumptions'!$I$24,0)+IF('Project Assumptions'!$F$25&lt;'Start-up Cashflow'!DD7,'Project Assumptions'!$I$25,0))</f>
        <v>336</v>
      </c>
      <c r="DE9" s="212">
        <f>(IF('Project Assumptions'!$F$21&lt;'Start-up Cashflow'!DE7,'Project Assumptions'!$I$21,0)+IF('Project Assumptions'!$F$22&lt;'Start-up Cashflow'!DE7,'Project Assumptions'!$I$22,0)+IF('Project Assumptions'!$F$23&lt;'Start-up Cashflow'!DE7,'Project Assumptions'!$I$23,0)+IF('Project Assumptions'!$F$24&lt;'Start-up Cashflow'!DE7,'Project Assumptions'!$I$24,0)+IF('Project Assumptions'!$F$25&lt;'Start-up Cashflow'!DE7,'Project Assumptions'!$I$25,0))</f>
        <v>336</v>
      </c>
      <c r="DF9" s="212">
        <f>(IF('Project Assumptions'!$F$21&lt;'Start-up Cashflow'!DF7,'Project Assumptions'!$I$21,0)+IF('Project Assumptions'!$F$22&lt;'Start-up Cashflow'!DF7,'Project Assumptions'!$I$22,0)+IF('Project Assumptions'!$F$23&lt;'Start-up Cashflow'!DF7,'Project Assumptions'!$I$23,0)+IF('Project Assumptions'!$F$24&lt;'Start-up Cashflow'!DF7,'Project Assumptions'!$I$24,0)+IF('Project Assumptions'!$F$25&lt;'Start-up Cashflow'!DF7,'Project Assumptions'!$I$25,0))</f>
        <v>336</v>
      </c>
      <c r="DG9" s="212">
        <f>(IF('Project Assumptions'!$F$21&lt;'Start-up Cashflow'!DG7,'Project Assumptions'!$I$21,0)+IF('Project Assumptions'!$F$22&lt;'Start-up Cashflow'!DG7,'Project Assumptions'!$I$22,0)+IF('Project Assumptions'!$F$23&lt;'Start-up Cashflow'!DG7,'Project Assumptions'!$I$23,0)+IF('Project Assumptions'!$F$24&lt;'Start-up Cashflow'!DG7,'Project Assumptions'!$I$24,0)+IF('Project Assumptions'!$F$25&lt;'Start-up Cashflow'!DG7,'Project Assumptions'!$I$25,0))</f>
        <v>336</v>
      </c>
      <c r="DH9" s="212">
        <f>(IF('Project Assumptions'!$F$21&lt;'Start-up Cashflow'!DH7,'Project Assumptions'!$I$21,0)+IF('Project Assumptions'!$F$22&lt;'Start-up Cashflow'!DH7,'Project Assumptions'!$I$22,0)+IF('Project Assumptions'!$F$23&lt;'Start-up Cashflow'!DH7,'Project Assumptions'!$I$23,0)+IF('Project Assumptions'!$F$24&lt;'Start-up Cashflow'!DH7,'Project Assumptions'!$I$24,0)+IF('Project Assumptions'!$F$25&lt;'Start-up Cashflow'!DH7,'Project Assumptions'!$I$25,0))</f>
        <v>336</v>
      </c>
      <c r="DI9" s="212">
        <f>(IF('Project Assumptions'!$F$21&lt;'Start-up Cashflow'!DI7,'Project Assumptions'!$I$21,0)+IF('Project Assumptions'!$F$22&lt;'Start-up Cashflow'!DI7,'Project Assumptions'!$I$22,0)+IF('Project Assumptions'!$F$23&lt;'Start-up Cashflow'!DI7,'Project Assumptions'!$I$23,0)+IF('Project Assumptions'!$F$24&lt;'Start-up Cashflow'!DI7,'Project Assumptions'!$I$24,0)+IF('Project Assumptions'!$F$25&lt;'Start-up Cashflow'!DI7,'Project Assumptions'!$I$25,0))</f>
        <v>336</v>
      </c>
      <c r="DJ9" s="212">
        <f>(IF('Project Assumptions'!$F$21&lt;'Start-up Cashflow'!DJ7,'Project Assumptions'!$I$21,0)+IF('Project Assumptions'!$F$22&lt;'Start-up Cashflow'!DJ7,'Project Assumptions'!$I$22,0)+IF('Project Assumptions'!$F$23&lt;'Start-up Cashflow'!DJ7,'Project Assumptions'!$I$23,0)+IF('Project Assumptions'!$F$24&lt;'Start-up Cashflow'!DJ7,'Project Assumptions'!$I$24,0)+IF('Project Assumptions'!$F$25&lt;'Start-up Cashflow'!DJ7,'Project Assumptions'!$I$25,0))</f>
        <v>336</v>
      </c>
      <c r="DK9" s="212">
        <f>(IF('Project Assumptions'!$F$21&lt;'Start-up Cashflow'!DK7,'Project Assumptions'!$I$21,0)+IF('Project Assumptions'!$F$22&lt;'Start-up Cashflow'!DK7,'Project Assumptions'!$I$22,0)+IF('Project Assumptions'!$F$23&lt;'Start-up Cashflow'!DK7,'Project Assumptions'!$I$23,0)+IF('Project Assumptions'!$F$24&lt;'Start-up Cashflow'!DK7,'Project Assumptions'!$I$24,0)+IF('Project Assumptions'!$F$25&lt;'Start-up Cashflow'!DK7,'Project Assumptions'!$I$25,0))</f>
        <v>336</v>
      </c>
      <c r="DL9" s="212">
        <f>(IF('Project Assumptions'!$F$21&lt;'Start-up Cashflow'!DL7,'Project Assumptions'!$I$21,0)+IF('Project Assumptions'!$F$22&lt;'Start-up Cashflow'!DL7,'Project Assumptions'!$I$22,0)+IF('Project Assumptions'!$F$23&lt;'Start-up Cashflow'!DL7,'Project Assumptions'!$I$23,0)+IF('Project Assumptions'!$F$24&lt;'Start-up Cashflow'!DL7,'Project Assumptions'!$I$24,0)+IF('Project Assumptions'!$F$25&lt;'Start-up Cashflow'!DL7,'Project Assumptions'!$I$25,0))</f>
        <v>336</v>
      </c>
      <c r="DM9" s="212">
        <f>(IF('Project Assumptions'!$F$21&lt;'Start-up Cashflow'!DM7,'Project Assumptions'!$I$21,0)+IF('Project Assumptions'!$F$22&lt;'Start-up Cashflow'!DM7,'Project Assumptions'!$I$22,0)+IF('Project Assumptions'!$F$23&lt;'Start-up Cashflow'!DM7,'Project Assumptions'!$I$23,0)+IF('Project Assumptions'!$F$24&lt;'Start-up Cashflow'!DM7,'Project Assumptions'!$I$24,0)+IF('Project Assumptions'!$F$25&lt;'Start-up Cashflow'!DM7,'Project Assumptions'!$I$25,0))</f>
        <v>336</v>
      </c>
      <c r="DN9" s="212">
        <f>(IF('Project Assumptions'!$F$21&lt;'Start-up Cashflow'!DN7,'Project Assumptions'!$I$21,0)+IF('Project Assumptions'!$F$22&lt;'Start-up Cashflow'!DN7,'Project Assumptions'!$I$22,0)+IF('Project Assumptions'!$F$23&lt;'Start-up Cashflow'!DN7,'Project Assumptions'!$I$23,0)+IF('Project Assumptions'!$F$24&lt;'Start-up Cashflow'!DN7,'Project Assumptions'!$I$24,0)+IF('Project Assumptions'!$F$25&lt;'Start-up Cashflow'!DN7,'Project Assumptions'!$I$25,0))</f>
        <v>336</v>
      </c>
      <c r="DO9" s="212">
        <f>(IF('Project Assumptions'!$F$21&lt;'Start-up Cashflow'!DO7,'Project Assumptions'!$I$21,0)+IF('Project Assumptions'!$F$22&lt;'Start-up Cashflow'!DO7,'Project Assumptions'!$I$22,0)+IF('Project Assumptions'!$F$23&lt;'Start-up Cashflow'!DO7,'Project Assumptions'!$I$23,0)+IF('Project Assumptions'!$F$24&lt;'Start-up Cashflow'!DO7,'Project Assumptions'!$I$24,0)+IF('Project Assumptions'!$F$25&lt;'Start-up Cashflow'!DO7,'Project Assumptions'!$I$25,0))</f>
        <v>336</v>
      </c>
      <c r="DP9" s="212">
        <f>(IF('Project Assumptions'!$F$21&lt;'Start-up Cashflow'!DP7,'Project Assumptions'!$I$21,0)+IF('Project Assumptions'!$F$22&lt;'Start-up Cashflow'!DP7,'Project Assumptions'!$I$22,0)+IF('Project Assumptions'!$F$23&lt;'Start-up Cashflow'!DP7,'Project Assumptions'!$I$23,0)+IF('Project Assumptions'!$F$24&lt;'Start-up Cashflow'!DP7,'Project Assumptions'!$I$24,0)+IF('Project Assumptions'!$F$25&lt;'Start-up Cashflow'!DP7,'Project Assumptions'!$I$25,0))</f>
        <v>336</v>
      </c>
      <c r="DQ9" s="212">
        <f>(IF('Project Assumptions'!$F$21&lt;'Start-up Cashflow'!DQ7,'Project Assumptions'!$I$21,0)+IF('Project Assumptions'!$F$22&lt;'Start-up Cashflow'!DQ7,'Project Assumptions'!$I$22,0)+IF('Project Assumptions'!$F$23&lt;'Start-up Cashflow'!DQ7,'Project Assumptions'!$I$23,0)+IF('Project Assumptions'!$F$24&lt;'Start-up Cashflow'!DQ7,'Project Assumptions'!$I$24,0)+IF('Project Assumptions'!$F$25&lt;'Start-up Cashflow'!DQ7,'Project Assumptions'!$I$25,0))</f>
        <v>336</v>
      </c>
      <c r="DR9" s="212">
        <f>(IF('Project Assumptions'!$F$21&lt;'Start-up Cashflow'!DR7,'Project Assumptions'!$I$21,0)+IF('Project Assumptions'!$F$22&lt;'Start-up Cashflow'!DR7,'Project Assumptions'!$I$22,0)+IF('Project Assumptions'!$F$23&lt;'Start-up Cashflow'!DR7,'Project Assumptions'!$I$23,0)+IF('Project Assumptions'!$F$24&lt;'Start-up Cashflow'!DR7,'Project Assumptions'!$I$24,0)+IF('Project Assumptions'!$F$25&lt;'Start-up Cashflow'!DR7,'Project Assumptions'!$I$25,0))</f>
        <v>336</v>
      </c>
      <c r="DS9" s="212">
        <f>(IF('Project Assumptions'!$F$21&lt;'Start-up Cashflow'!DS7,'Project Assumptions'!$I$21,0)+IF('Project Assumptions'!$F$22&lt;'Start-up Cashflow'!DS7,'Project Assumptions'!$I$22,0)+IF('Project Assumptions'!$F$23&lt;'Start-up Cashflow'!DS7,'Project Assumptions'!$I$23,0)+IF('Project Assumptions'!$F$24&lt;'Start-up Cashflow'!DS7,'Project Assumptions'!$I$24,0)+IF('Project Assumptions'!$F$25&lt;'Start-up Cashflow'!DS7,'Project Assumptions'!$I$25,0))</f>
        <v>336</v>
      </c>
      <c r="DT9" s="212">
        <f>(IF('Project Assumptions'!$F$21&lt;'Start-up Cashflow'!DT7,'Project Assumptions'!$I$21,0)+IF('Project Assumptions'!$F$22&lt;'Start-up Cashflow'!DT7,'Project Assumptions'!$I$22,0)+IF('Project Assumptions'!$F$23&lt;'Start-up Cashflow'!DT7,'Project Assumptions'!$I$23,0)+IF('Project Assumptions'!$F$24&lt;'Start-up Cashflow'!DT7,'Project Assumptions'!$I$24,0)+IF('Project Assumptions'!$F$25&lt;'Start-up Cashflow'!DT7,'Project Assumptions'!$I$25,0))</f>
        <v>336</v>
      </c>
      <c r="DU9" s="212">
        <f>(IF('Project Assumptions'!$F$21&lt;'Start-up Cashflow'!DU7,'Project Assumptions'!$I$21,0)+IF('Project Assumptions'!$F$22&lt;'Start-up Cashflow'!DU7,'Project Assumptions'!$I$22,0)+IF('Project Assumptions'!$F$23&lt;'Start-up Cashflow'!DU7,'Project Assumptions'!$I$23,0)+IF('Project Assumptions'!$F$24&lt;'Start-up Cashflow'!DU7,'Project Assumptions'!$I$24,0)+IF('Project Assumptions'!$F$25&lt;'Start-up Cashflow'!DU7,'Project Assumptions'!$I$25,0))</f>
        <v>336</v>
      </c>
      <c r="DV9" s="212">
        <f>(IF('Project Assumptions'!$F$21&lt;'Start-up Cashflow'!DV7,'Project Assumptions'!$I$21,0)+IF('Project Assumptions'!$F$22&lt;'Start-up Cashflow'!DV7,'Project Assumptions'!$I$22,0)+IF('Project Assumptions'!$F$23&lt;'Start-up Cashflow'!DV7,'Project Assumptions'!$I$23,0)+IF('Project Assumptions'!$F$24&lt;'Start-up Cashflow'!DV7,'Project Assumptions'!$I$24,0)+IF('Project Assumptions'!$F$25&lt;'Start-up Cashflow'!DV7,'Project Assumptions'!$I$25,0))</f>
        <v>336</v>
      </c>
      <c r="DW9" s="212">
        <f>(IF('Project Assumptions'!$F$21&lt;'Start-up Cashflow'!DW7,'Project Assumptions'!$I$21,0)+IF('Project Assumptions'!$F$22&lt;'Start-up Cashflow'!DW7,'Project Assumptions'!$I$22,0)+IF('Project Assumptions'!$F$23&lt;'Start-up Cashflow'!DW7,'Project Assumptions'!$I$23,0)+IF('Project Assumptions'!$F$24&lt;'Start-up Cashflow'!DW7,'Project Assumptions'!$I$24,0)+IF('Project Assumptions'!$F$25&lt;'Start-up Cashflow'!DW7,'Project Assumptions'!$I$25,0))</f>
        <v>336</v>
      </c>
      <c r="DX9" s="212">
        <f>(IF('Project Assumptions'!$F$21&lt;'Start-up Cashflow'!DX7,'Project Assumptions'!$I$21,0)+IF('Project Assumptions'!$F$22&lt;'Start-up Cashflow'!DX7,'Project Assumptions'!$I$22,0)+IF('Project Assumptions'!$F$23&lt;'Start-up Cashflow'!DX7,'Project Assumptions'!$I$23,0)+IF('Project Assumptions'!$F$24&lt;'Start-up Cashflow'!DX7,'Project Assumptions'!$I$24,0)+IF('Project Assumptions'!$F$25&lt;'Start-up Cashflow'!DX7,'Project Assumptions'!$I$25,0))</f>
        <v>336</v>
      </c>
      <c r="DY9" s="212">
        <f>(IF('Project Assumptions'!$F$21&lt;'Start-up Cashflow'!DY7,'Project Assumptions'!$I$21,0)+IF('Project Assumptions'!$F$22&lt;'Start-up Cashflow'!DY7,'Project Assumptions'!$I$22,0)+IF('Project Assumptions'!$F$23&lt;'Start-up Cashflow'!DY7,'Project Assumptions'!$I$23,0)+IF('Project Assumptions'!$F$24&lt;'Start-up Cashflow'!DY7,'Project Assumptions'!$I$24,0)+IF('Project Assumptions'!$F$25&lt;'Start-up Cashflow'!DY7,'Project Assumptions'!$I$25,0))</f>
        <v>336</v>
      </c>
      <c r="DZ9" s="212">
        <f>(IF('Project Assumptions'!$F$21&lt;'Start-up Cashflow'!DZ7,'Project Assumptions'!$I$21,0)+IF('Project Assumptions'!$F$22&lt;'Start-up Cashflow'!DZ7,'Project Assumptions'!$I$22,0)+IF('Project Assumptions'!$F$23&lt;'Start-up Cashflow'!DZ7,'Project Assumptions'!$I$23,0)+IF('Project Assumptions'!$F$24&lt;'Start-up Cashflow'!DZ7,'Project Assumptions'!$I$24,0)+IF('Project Assumptions'!$F$25&lt;'Start-up Cashflow'!DZ7,'Project Assumptions'!$I$25,0))</f>
        <v>336</v>
      </c>
      <c r="EA9" s="212">
        <f>(IF('Project Assumptions'!$F$21&lt;'Start-up Cashflow'!EA7,'Project Assumptions'!$I$21,0)+IF('Project Assumptions'!$F$22&lt;'Start-up Cashflow'!EA7,'Project Assumptions'!$I$22,0)+IF('Project Assumptions'!$F$23&lt;'Start-up Cashflow'!EA7,'Project Assumptions'!$I$23,0)+IF('Project Assumptions'!$F$24&lt;'Start-up Cashflow'!EA7,'Project Assumptions'!$I$24,0)+IF('Project Assumptions'!$F$25&lt;'Start-up Cashflow'!EA7,'Project Assumptions'!$I$25,0))</f>
        <v>336</v>
      </c>
      <c r="EB9" s="212">
        <f>(IF('Project Assumptions'!$F$21&lt;'Start-up Cashflow'!EB7,'Project Assumptions'!$I$21,0)+IF('Project Assumptions'!$F$22&lt;'Start-up Cashflow'!EB7,'Project Assumptions'!$I$22,0)+IF('Project Assumptions'!$F$23&lt;'Start-up Cashflow'!EB7,'Project Assumptions'!$I$23,0)+IF('Project Assumptions'!$F$24&lt;'Start-up Cashflow'!EB7,'Project Assumptions'!$I$24,0)+IF('Project Assumptions'!$F$25&lt;'Start-up Cashflow'!EB7,'Project Assumptions'!$I$25,0))</f>
        <v>336</v>
      </c>
      <c r="EC9" s="212">
        <f>(IF('Project Assumptions'!$F$21&lt;'Start-up Cashflow'!EC7,'Project Assumptions'!$I$21,0)+IF('Project Assumptions'!$F$22&lt;'Start-up Cashflow'!EC7,'Project Assumptions'!$I$22,0)+IF('Project Assumptions'!$F$23&lt;'Start-up Cashflow'!EC7,'Project Assumptions'!$I$23,0)+IF('Project Assumptions'!$F$24&lt;'Start-up Cashflow'!EC7,'Project Assumptions'!$I$24,0)+IF('Project Assumptions'!$F$25&lt;'Start-up Cashflow'!EC7,'Project Assumptions'!$I$25,0))</f>
        <v>336</v>
      </c>
      <c r="ED9" s="212">
        <f>(IF('Project Assumptions'!$F$21&lt;'Start-up Cashflow'!ED7,'Project Assumptions'!$I$21,0)+IF('Project Assumptions'!$F$22&lt;'Start-up Cashflow'!ED7,'Project Assumptions'!$I$22,0)+IF('Project Assumptions'!$F$23&lt;'Start-up Cashflow'!ED7,'Project Assumptions'!$I$23,0)+IF('Project Assumptions'!$F$24&lt;'Start-up Cashflow'!ED7,'Project Assumptions'!$I$24,0)+IF('Project Assumptions'!$F$25&lt;'Start-up Cashflow'!ED7,'Project Assumptions'!$I$25,0))</f>
        <v>336</v>
      </c>
      <c r="EE9" s="212">
        <f>(IF('Project Assumptions'!$F$21&lt;'Start-up Cashflow'!EE7,'Project Assumptions'!$I$21,0)+IF('Project Assumptions'!$F$22&lt;'Start-up Cashflow'!EE7,'Project Assumptions'!$I$22,0)+IF('Project Assumptions'!$F$23&lt;'Start-up Cashflow'!EE7,'Project Assumptions'!$I$23,0)+IF('Project Assumptions'!$F$24&lt;'Start-up Cashflow'!EE7,'Project Assumptions'!$I$24,0)+IF('Project Assumptions'!$F$25&lt;'Start-up Cashflow'!EE7,'Project Assumptions'!$I$25,0))</f>
        <v>336</v>
      </c>
      <c r="EF9" s="212">
        <f>(IF('Project Assumptions'!$F$21&lt;'Start-up Cashflow'!EF7,'Project Assumptions'!$I$21,0)+IF('Project Assumptions'!$F$22&lt;'Start-up Cashflow'!EF7,'Project Assumptions'!$I$22,0)+IF('Project Assumptions'!$F$23&lt;'Start-up Cashflow'!EF7,'Project Assumptions'!$I$23,0)+IF('Project Assumptions'!$F$24&lt;'Start-up Cashflow'!EF7,'Project Assumptions'!$I$24,0)+IF('Project Assumptions'!$F$25&lt;'Start-up Cashflow'!EF7,'Project Assumptions'!$I$25,0))</f>
        <v>336</v>
      </c>
      <c r="EG9" s="212">
        <f>(IF('Project Assumptions'!$F$21&lt;'Start-up Cashflow'!EG7,'Project Assumptions'!$I$21,0)+IF('Project Assumptions'!$F$22&lt;'Start-up Cashflow'!EG7,'Project Assumptions'!$I$22,0)+IF('Project Assumptions'!$F$23&lt;'Start-up Cashflow'!EG7,'Project Assumptions'!$I$23,0)+IF('Project Assumptions'!$F$24&lt;'Start-up Cashflow'!EG7,'Project Assumptions'!$I$24,0)+IF('Project Assumptions'!$F$25&lt;'Start-up Cashflow'!EG7,'Project Assumptions'!$I$25,0))</f>
        <v>336</v>
      </c>
      <c r="EH9" s="212">
        <f>(IF('Project Assumptions'!$F$21&lt;'Start-up Cashflow'!EH7,'Project Assumptions'!$I$21,0)+IF('Project Assumptions'!$F$22&lt;'Start-up Cashflow'!EH7,'Project Assumptions'!$I$22,0)+IF('Project Assumptions'!$F$23&lt;'Start-up Cashflow'!EH7,'Project Assumptions'!$I$23,0)+IF('Project Assumptions'!$F$24&lt;'Start-up Cashflow'!EH7,'Project Assumptions'!$I$24,0)+IF('Project Assumptions'!$F$25&lt;'Start-up Cashflow'!EH7,'Project Assumptions'!$I$25,0))</f>
        <v>336</v>
      </c>
      <c r="EI9" s="212">
        <f>(IF('Project Assumptions'!$F$21&lt;'Start-up Cashflow'!EI7,'Project Assumptions'!$I$21,0)+IF('Project Assumptions'!$F$22&lt;'Start-up Cashflow'!EI7,'Project Assumptions'!$I$22,0)+IF('Project Assumptions'!$F$23&lt;'Start-up Cashflow'!EI7,'Project Assumptions'!$I$23,0)+IF('Project Assumptions'!$F$24&lt;'Start-up Cashflow'!EI7,'Project Assumptions'!$I$24,0)+IF('Project Assumptions'!$F$25&lt;'Start-up Cashflow'!EI7,'Project Assumptions'!$I$25,0))</f>
        <v>336</v>
      </c>
      <c r="EJ9" s="212">
        <f>(IF('Project Assumptions'!$F$21&lt;'Start-up Cashflow'!EJ7,'Project Assumptions'!$I$21,0)+IF('Project Assumptions'!$F$22&lt;'Start-up Cashflow'!EJ7,'Project Assumptions'!$I$22,0)+IF('Project Assumptions'!$F$23&lt;'Start-up Cashflow'!EJ7,'Project Assumptions'!$I$23,0)+IF('Project Assumptions'!$F$24&lt;'Start-up Cashflow'!EJ7,'Project Assumptions'!$I$24,0)+IF('Project Assumptions'!$F$25&lt;'Start-up Cashflow'!EJ7,'Project Assumptions'!$I$25,0))</f>
        <v>336</v>
      </c>
      <c r="EK9" s="212">
        <f>(IF('Project Assumptions'!$F$21&lt;'Start-up Cashflow'!EK7,'Project Assumptions'!$I$21,0)+IF('Project Assumptions'!$F$22&lt;'Start-up Cashflow'!EK7,'Project Assumptions'!$I$22,0)+IF('Project Assumptions'!$F$23&lt;'Start-up Cashflow'!EK7,'Project Assumptions'!$I$23,0)+IF('Project Assumptions'!$F$24&lt;'Start-up Cashflow'!EK7,'Project Assumptions'!$I$24,0)+IF('Project Assumptions'!$F$25&lt;'Start-up Cashflow'!EK7,'Project Assumptions'!$I$25,0))</f>
        <v>336</v>
      </c>
      <c r="EL9" s="212">
        <f>(IF('Project Assumptions'!$F$21&lt;'Start-up Cashflow'!EL7,'Project Assumptions'!$I$21,0)+IF('Project Assumptions'!$F$22&lt;'Start-up Cashflow'!EL7,'Project Assumptions'!$I$22,0)+IF('Project Assumptions'!$F$23&lt;'Start-up Cashflow'!EL7,'Project Assumptions'!$I$23,0)+IF('Project Assumptions'!$F$24&lt;'Start-up Cashflow'!EL7,'Project Assumptions'!$I$24,0)+IF('Project Assumptions'!$F$25&lt;'Start-up Cashflow'!EL7,'Project Assumptions'!$I$25,0))</f>
        <v>336</v>
      </c>
      <c r="EM9" s="212">
        <f>(IF('Project Assumptions'!$F$21&lt;'Start-up Cashflow'!EM7,'Project Assumptions'!$I$21,0)+IF('Project Assumptions'!$F$22&lt;'Start-up Cashflow'!EM7,'Project Assumptions'!$I$22,0)+IF('Project Assumptions'!$F$23&lt;'Start-up Cashflow'!EM7,'Project Assumptions'!$I$23,0)+IF('Project Assumptions'!$F$24&lt;'Start-up Cashflow'!EM7,'Project Assumptions'!$I$24,0)+IF('Project Assumptions'!$F$25&lt;'Start-up Cashflow'!EM7,'Project Assumptions'!$I$25,0))</f>
        <v>336</v>
      </c>
      <c r="EN9" s="212">
        <f>(IF('Project Assumptions'!$F$21&lt;'Start-up Cashflow'!EN7,'Project Assumptions'!$I$21,0)+IF('Project Assumptions'!$F$22&lt;'Start-up Cashflow'!EN7,'Project Assumptions'!$I$22,0)+IF('Project Assumptions'!$F$23&lt;'Start-up Cashflow'!EN7,'Project Assumptions'!$I$23,0)+IF('Project Assumptions'!$F$24&lt;'Start-up Cashflow'!EN7,'Project Assumptions'!$I$24,0)+IF('Project Assumptions'!$F$25&lt;'Start-up Cashflow'!EN7,'Project Assumptions'!$I$25,0))</f>
        <v>336</v>
      </c>
      <c r="EO9" s="212">
        <f>(IF('Project Assumptions'!$F$21&lt;'Start-up Cashflow'!EO7,'Project Assumptions'!$I$21,0)+IF('Project Assumptions'!$F$22&lt;'Start-up Cashflow'!EO7,'Project Assumptions'!$I$22,0)+IF('Project Assumptions'!$F$23&lt;'Start-up Cashflow'!EO7,'Project Assumptions'!$I$23,0)+IF('Project Assumptions'!$F$24&lt;'Start-up Cashflow'!EO7,'Project Assumptions'!$I$24,0)+IF('Project Assumptions'!$F$25&lt;'Start-up Cashflow'!EO7,'Project Assumptions'!$I$25,0))</f>
        <v>336</v>
      </c>
      <c r="EP9" s="212">
        <f>(IF('Project Assumptions'!$F$21&lt;'Start-up Cashflow'!EP7,'Project Assumptions'!$I$21,0)+IF('Project Assumptions'!$F$22&lt;'Start-up Cashflow'!EP7,'Project Assumptions'!$I$22,0)+IF('Project Assumptions'!$F$23&lt;'Start-up Cashflow'!EP7,'Project Assumptions'!$I$23,0)+IF('Project Assumptions'!$F$24&lt;'Start-up Cashflow'!EP7,'Project Assumptions'!$I$24,0)+IF('Project Assumptions'!$F$25&lt;'Start-up Cashflow'!EP7,'Project Assumptions'!$I$25,0))</f>
        <v>336</v>
      </c>
      <c r="EQ9" s="212">
        <f>(IF('Project Assumptions'!$F$21&lt;'Start-up Cashflow'!EQ7,'Project Assumptions'!$I$21,0)+IF('Project Assumptions'!$F$22&lt;'Start-up Cashflow'!EQ7,'Project Assumptions'!$I$22,0)+IF('Project Assumptions'!$F$23&lt;'Start-up Cashflow'!EQ7,'Project Assumptions'!$I$23,0)+IF('Project Assumptions'!$F$24&lt;'Start-up Cashflow'!EQ7,'Project Assumptions'!$I$24,0)+IF('Project Assumptions'!$F$25&lt;'Start-up Cashflow'!EQ7,'Project Assumptions'!$I$25,0))</f>
        <v>336</v>
      </c>
      <c r="ER9" s="212">
        <f>(IF('Project Assumptions'!$F$21&lt;'Start-up Cashflow'!ER7,'Project Assumptions'!$I$21,0)+IF('Project Assumptions'!$F$22&lt;'Start-up Cashflow'!ER7,'Project Assumptions'!$I$22,0)+IF('Project Assumptions'!$F$23&lt;'Start-up Cashflow'!ER7,'Project Assumptions'!$I$23,0)+IF('Project Assumptions'!$F$24&lt;'Start-up Cashflow'!ER7,'Project Assumptions'!$I$24,0)+IF('Project Assumptions'!$F$25&lt;'Start-up Cashflow'!ER7,'Project Assumptions'!$I$25,0))</f>
        <v>336</v>
      </c>
      <c r="ES9" s="212">
        <f>(IF('Project Assumptions'!$F$21&lt;'Start-up Cashflow'!ES7,'Project Assumptions'!$I$21,0)+IF('Project Assumptions'!$F$22&lt;'Start-up Cashflow'!ES7,'Project Assumptions'!$I$22,0)+IF('Project Assumptions'!$F$23&lt;'Start-up Cashflow'!ES7,'Project Assumptions'!$I$23,0)+IF('Project Assumptions'!$F$24&lt;'Start-up Cashflow'!ES7,'Project Assumptions'!$I$24,0)+IF('Project Assumptions'!$F$25&lt;'Start-up Cashflow'!ES7,'Project Assumptions'!$I$25,0))</f>
        <v>336</v>
      </c>
      <c r="ET9" s="212">
        <f>(IF('Project Assumptions'!$F$21&lt;'Start-up Cashflow'!ET7,'Project Assumptions'!$I$21,0)+IF('Project Assumptions'!$F$22&lt;'Start-up Cashflow'!ET7,'Project Assumptions'!$I$22,0)+IF('Project Assumptions'!$F$23&lt;'Start-up Cashflow'!ET7,'Project Assumptions'!$I$23,0)+IF('Project Assumptions'!$F$24&lt;'Start-up Cashflow'!ET7,'Project Assumptions'!$I$24,0)+IF('Project Assumptions'!$F$25&lt;'Start-up Cashflow'!ET7,'Project Assumptions'!$I$25,0))</f>
        <v>336</v>
      </c>
      <c r="EU9" s="212">
        <f>(IF('Project Assumptions'!$F$21&lt;'Start-up Cashflow'!EU7,'Project Assumptions'!$I$21,0)+IF('Project Assumptions'!$F$22&lt;'Start-up Cashflow'!EU7,'Project Assumptions'!$I$22,0)+IF('Project Assumptions'!$F$23&lt;'Start-up Cashflow'!EU7,'Project Assumptions'!$I$23,0)+IF('Project Assumptions'!$F$24&lt;'Start-up Cashflow'!EU7,'Project Assumptions'!$I$24,0)+IF('Project Assumptions'!$F$25&lt;'Start-up Cashflow'!EU7,'Project Assumptions'!$I$25,0))</f>
        <v>336</v>
      </c>
      <c r="EV9" s="212">
        <f>(IF('Project Assumptions'!$F$21&lt;'Start-up Cashflow'!EV7,'Project Assumptions'!$I$21,0)+IF('Project Assumptions'!$F$22&lt;'Start-up Cashflow'!EV7,'Project Assumptions'!$I$22,0)+IF('Project Assumptions'!$F$23&lt;'Start-up Cashflow'!EV7,'Project Assumptions'!$I$23,0)+IF('Project Assumptions'!$F$24&lt;'Start-up Cashflow'!EV7,'Project Assumptions'!$I$24,0)+IF('Project Assumptions'!$F$25&lt;'Start-up Cashflow'!EV7,'Project Assumptions'!$I$25,0))</f>
        <v>336</v>
      </c>
      <c r="EW9" s="212">
        <f>(IF('Project Assumptions'!$F$21&lt;'Start-up Cashflow'!EW7,'Project Assumptions'!$I$21,0)+IF('Project Assumptions'!$F$22&lt;'Start-up Cashflow'!EW7,'Project Assumptions'!$I$22,0)+IF('Project Assumptions'!$F$23&lt;'Start-up Cashflow'!EW7,'Project Assumptions'!$I$23,0)+IF('Project Assumptions'!$F$24&lt;'Start-up Cashflow'!EW7,'Project Assumptions'!$I$24,0)+IF('Project Assumptions'!$F$25&lt;'Start-up Cashflow'!EW7,'Project Assumptions'!$I$25,0))</f>
        <v>336</v>
      </c>
      <c r="EX9" s="212">
        <f>(IF('Project Assumptions'!$F$21&lt;'Start-up Cashflow'!EX7,'Project Assumptions'!$I$21,0)+IF('Project Assumptions'!$F$22&lt;'Start-up Cashflow'!EX7,'Project Assumptions'!$I$22,0)+IF('Project Assumptions'!$F$23&lt;'Start-up Cashflow'!EX7,'Project Assumptions'!$I$23,0)+IF('Project Assumptions'!$F$24&lt;'Start-up Cashflow'!EX7,'Project Assumptions'!$I$24,0)+IF('Project Assumptions'!$F$25&lt;'Start-up Cashflow'!EX7,'Project Assumptions'!$I$25,0))</f>
        <v>336</v>
      </c>
      <c r="EY9" s="212">
        <f>(IF('Project Assumptions'!$F$21&lt;'Start-up Cashflow'!EY7,'Project Assumptions'!$I$21,0)+IF('Project Assumptions'!$F$22&lt;'Start-up Cashflow'!EY7,'Project Assumptions'!$I$22,0)+IF('Project Assumptions'!$F$23&lt;'Start-up Cashflow'!EY7,'Project Assumptions'!$I$23,0)+IF('Project Assumptions'!$F$24&lt;'Start-up Cashflow'!EY7,'Project Assumptions'!$I$24,0)+IF('Project Assumptions'!$F$25&lt;'Start-up Cashflow'!EY7,'Project Assumptions'!$I$25,0))</f>
        <v>336</v>
      </c>
      <c r="EZ9" s="212">
        <f>(IF('Project Assumptions'!$F$21&lt;'Start-up Cashflow'!EZ7,'Project Assumptions'!$I$21,0)+IF('Project Assumptions'!$F$22&lt;'Start-up Cashflow'!EZ7,'Project Assumptions'!$I$22,0)+IF('Project Assumptions'!$F$23&lt;'Start-up Cashflow'!EZ7,'Project Assumptions'!$I$23,0)+IF('Project Assumptions'!$F$24&lt;'Start-up Cashflow'!EZ7,'Project Assumptions'!$I$24,0)+IF('Project Assumptions'!$F$25&lt;'Start-up Cashflow'!EZ7,'Project Assumptions'!$I$25,0))</f>
        <v>336</v>
      </c>
      <c r="FA9" s="212">
        <f>(IF('Project Assumptions'!$F$21&lt;'Start-up Cashflow'!FA7,'Project Assumptions'!$I$21,0)+IF('Project Assumptions'!$F$22&lt;'Start-up Cashflow'!FA7,'Project Assumptions'!$I$22,0)+IF('Project Assumptions'!$F$23&lt;'Start-up Cashflow'!FA7,'Project Assumptions'!$I$23,0)+IF('Project Assumptions'!$F$24&lt;'Start-up Cashflow'!FA7,'Project Assumptions'!$I$24,0)+IF('Project Assumptions'!$F$25&lt;'Start-up Cashflow'!FA7,'Project Assumptions'!$I$25,0))</f>
        <v>336</v>
      </c>
      <c r="FB9" s="212">
        <f>(IF('Project Assumptions'!$F$21&lt;'Start-up Cashflow'!FB7,'Project Assumptions'!$I$21,0)+IF('Project Assumptions'!$F$22&lt;'Start-up Cashflow'!FB7,'Project Assumptions'!$I$22,0)+IF('Project Assumptions'!$F$23&lt;'Start-up Cashflow'!FB7,'Project Assumptions'!$I$23,0)+IF('Project Assumptions'!$F$24&lt;'Start-up Cashflow'!FB7,'Project Assumptions'!$I$24,0)+IF('Project Assumptions'!$F$25&lt;'Start-up Cashflow'!FB7,'Project Assumptions'!$I$25,0))</f>
        <v>336</v>
      </c>
      <c r="FC9" s="212">
        <f>(IF('Project Assumptions'!$F$21&lt;'Start-up Cashflow'!FC7,'Project Assumptions'!$I$21,0)+IF('Project Assumptions'!$F$22&lt;'Start-up Cashflow'!FC7,'Project Assumptions'!$I$22,0)+IF('Project Assumptions'!$F$23&lt;'Start-up Cashflow'!FC7,'Project Assumptions'!$I$23,0)+IF('Project Assumptions'!$F$24&lt;'Start-up Cashflow'!FC7,'Project Assumptions'!$I$24,0)+IF('Project Assumptions'!$F$25&lt;'Start-up Cashflow'!FC7,'Project Assumptions'!$I$25,0))</f>
        <v>336</v>
      </c>
      <c r="FD9" s="212">
        <f>(IF('Project Assumptions'!$F$21&lt;'Start-up Cashflow'!FD7,'Project Assumptions'!$I$21,0)+IF('Project Assumptions'!$F$22&lt;'Start-up Cashflow'!FD7,'Project Assumptions'!$I$22,0)+IF('Project Assumptions'!$F$23&lt;'Start-up Cashflow'!FD7,'Project Assumptions'!$I$23,0)+IF('Project Assumptions'!$F$24&lt;'Start-up Cashflow'!FD7,'Project Assumptions'!$I$24,0)+IF('Project Assumptions'!$F$25&lt;'Start-up Cashflow'!FD7,'Project Assumptions'!$I$25,0))</f>
        <v>336</v>
      </c>
      <c r="FE9" s="212">
        <f>(IF('Project Assumptions'!$F$21&lt;'Start-up Cashflow'!FE7,'Project Assumptions'!$I$21,0)+IF('Project Assumptions'!$F$22&lt;'Start-up Cashflow'!FE7,'Project Assumptions'!$I$22,0)+IF('Project Assumptions'!$F$23&lt;'Start-up Cashflow'!FE7,'Project Assumptions'!$I$23,0)+IF('Project Assumptions'!$F$24&lt;'Start-up Cashflow'!FE7,'Project Assumptions'!$I$24,0)+IF('Project Assumptions'!$F$25&lt;'Start-up Cashflow'!FE7,'Project Assumptions'!$I$25,0))</f>
        <v>336</v>
      </c>
      <c r="FF9" s="212">
        <f>(IF('Project Assumptions'!$F$21&lt;'Start-up Cashflow'!FF7,'Project Assumptions'!$I$21,0)+IF('Project Assumptions'!$F$22&lt;'Start-up Cashflow'!FF7,'Project Assumptions'!$I$22,0)+IF('Project Assumptions'!$F$23&lt;'Start-up Cashflow'!FF7,'Project Assumptions'!$I$23,0)+IF('Project Assumptions'!$F$24&lt;'Start-up Cashflow'!FF7,'Project Assumptions'!$I$24,0)+IF('Project Assumptions'!$F$25&lt;'Start-up Cashflow'!FF7,'Project Assumptions'!$I$25,0))</f>
        <v>336</v>
      </c>
      <c r="FG9" s="212">
        <f>(IF('Project Assumptions'!$F$21&lt;'Start-up Cashflow'!FG7,'Project Assumptions'!$I$21,0)+IF('Project Assumptions'!$F$22&lt;'Start-up Cashflow'!FG7,'Project Assumptions'!$I$22,0)+IF('Project Assumptions'!$F$23&lt;'Start-up Cashflow'!FG7,'Project Assumptions'!$I$23,0)+IF('Project Assumptions'!$F$24&lt;'Start-up Cashflow'!FG7,'Project Assumptions'!$I$24,0)+IF('Project Assumptions'!$F$25&lt;'Start-up Cashflow'!FG7,'Project Assumptions'!$I$25,0))</f>
        <v>336</v>
      </c>
      <c r="FH9" s="212">
        <f>(IF('Project Assumptions'!$F$21&lt;'Start-up Cashflow'!FH7,'Project Assumptions'!$I$21,0)+IF('Project Assumptions'!$F$22&lt;'Start-up Cashflow'!FH7,'Project Assumptions'!$I$22,0)+IF('Project Assumptions'!$F$23&lt;'Start-up Cashflow'!FH7,'Project Assumptions'!$I$23,0)+IF('Project Assumptions'!$F$24&lt;'Start-up Cashflow'!FH7,'Project Assumptions'!$I$24,0)+IF('Project Assumptions'!$F$25&lt;'Start-up Cashflow'!FH7,'Project Assumptions'!$I$25,0))</f>
        <v>336</v>
      </c>
      <c r="FI9" s="212">
        <f>(IF('Project Assumptions'!$F$21&lt;'Start-up Cashflow'!FI7,'Project Assumptions'!$I$21,0)+IF('Project Assumptions'!$F$22&lt;'Start-up Cashflow'!FI7,'Project Assumptions'!$I$22,0)+IF('Project Assumptions'!$F$23&lt;'Start-up Cashflow'!FI7,'Project Assumptions'!$I$23,0)+IF('Project Assumptions'!$F$24&lt;'Start-up Cashflow'!FI7,'Project Assumptions'!$I$24,0)+IF('Project Assumptions'!$F$25&lt;'Start-up Cashflow'!FI7,'Project Assumptions'!$I$25,0))</f>
        <v>336</v>
      </c>
      <c r="FJ9" s="212">
        <f>(IF('Project Assumptions'!$F$21&lt;'Start-up Cashflow'!FJ7,'Project Assumptions'!$I$21,0)+IF('Project Assumptions'!$F$22&lt;'Start-up Cashflow'!FJ7,'Project Assumptions'!$I$22,0)+IF('Project Assumptions'!$F$23&lt;'Start-up Cashflow'!FJ7,'Project Assumptions'!$I$23,0)+IF('Project Assumptions'!$F$24&lt;'Start-up Cashflow'!FJ7,'Project Assumptions'!$I$24,0)+IF('Project Assumptions'!$F$25&lt;'Start-up Cashflow'!FJ7,'Project Assumptions'!$I$25,0))</f>
        <v>336</v>
      </c>
      <c r="FK9" s="212">
        <f>(IF('Project Assumptions'!$F$21&lt;'Start-up Cashflow'!FK7,'Project Assumptions'!$I$21,0)+IF('Project Assumptions'!$F$22&lt;'Start-up Cashflow'!FK7,'Project Assumptions'!$I$22,0)+IF('Project Assumptions'!$F$23&lt;'Start-up Cashflow'!FK7,'Project Assumptions'!$I$23,0)+IF('Project Assumptions'!$F$24&lt;'Start-up Cashflow'!FK7,'Project Assumptions'!$I$24,0)+IF('Project Assumptions'!$F$25&lt;'Start-up Cashflow'!FK7,'Project Assumptions'!$I$25,0))</f>
        <v>336</v>
      </c>
      <c r="FL9" s="212">
        <f>(IF('Project Assumptions'!$F$21&lt;'Start-up Cashflow'!FL7,'Project Assumptions'!$I$21,0)+IF('Project Assumptions'!$F$22&lt;'Start-up Cashflow'!FL7,'Project Assumptions'!$I$22,0)+IF('Project Assumptions'!$F$23&lt;'Start-up Cashflow'!FL7,'Project Assumptions'!$I$23,0)+IF('Project Assumptions'!$F$24&lt;'Start-up Cashflow'!FL7,'Project Assumptions'!$I$24,0)+IF('Project Assumptions'!$F$25&lt;'Start-up Cashflow'!FL7,'Project Assumptions'!$I$25,0))</f>
        <v>336</v>
      </c>
      <c r="FM9" s="212">
        <f>(IF('Project Assumptions'!$F$21&lt;'Start-up Cashflow'!FM7,'Project Assumptions'!$I$21,0)+IF('Project Assumptions'!$F$22&lt;'Start-up Cashflow'!FM7,'Project Assumptions'!$I$22,0)+IF('Project Assumptions'!$F$23&lt;'Start-up Cashflow'!FM7,'Project Assumptions'!$I$23,0)+IF('Project Assumptions'!$F$24&lt;'Start-up Cashflow'!FM7,'Project Assumptions'!$I$24,0)+IF('Project Assumptions'!$F$25&lt;'Start-up Cashflow'!FM7,'Project Assumptions'!$I$25,0))</f>
        <v>336</v>
      </c>
      <c r="FN9" s="212">
        <f>(IF('Project Assumptions'!$F$21&lt;'Start-up Cashflow'!FN7,'Project Assumptions'!$I$21,0)+IF('Project Assumptions'!$F$22&lt;'Start-up Cashflow'!FN7,'Project Assumptions'!$I$22,0)+IF('Project Assumptions'!$F$23&lt;'Start-up Cashflow'!FN7,'Project Assumptions'!$I$23,0)+IF('Project Assumptions'!$F$24&lt;'Start-up Cashflow'!FN7,'Project Assumptions'!$I$24,0)+IF('Project Assumptions'!$F$25&lt;'Start-up Cashflow'!FN7,'Project Assumptions'!$I$25,0))</f>
        <v>336</v>
      </c>
      <c r="FO9" s="212">
        <f>(IF('Project Assumptions'!$F$21&lt;'Start-up Cashflow'!FO7,'Project Assumptions'!$I$21,0)+IF('Project Assumptions'!$F$22&lt;'Start-up Cashflow'!FO7,'Project Assumptions'!$I$22,0)+IF('Project Assumptions'!$F$23&lt;'Start-up Cashflow'!FO7,'Project Assumptions'!$I$23,0)+IF('Project Assumptions'!$F$24&lt;'Start-up Cashflow'!FO7,'Project Assumptions'!$I$24,0)+IF('Project Assumptions'!$F$25&lt;'Start-up Cashflow'!FO7,'Project Assumptions'!$I$25,0))</f>
        <v>336</v>
      </c>
      <c r="FP9" s="212">
        <f>(IF('Project Assumptions'!$F$21&lt;'Start-up Cashflow'!FP7,'Project Assumptions'!$I$21,0)+IF('Project Assumptions'!$F$22&lt;'Start-up Cashflow'!FP7,'Project Assumptions'!$I$22,0)+IF('Project Assumptions'!$F$23&lt;'Start-up Cashflow'!FP7,'Project Assumptions'!$I$23,0)+IF('Project Assumptions'!$F$24&lt;'Start-up Cashflow'!FP7,'Project Assumptions'!$I$24,0)+IF('Project Assumptions'!$F$25&lt;'Start-up Cashflow'!FP7,'Project Assumptions'!$I$25,0))</f>
        <v>336</v>
      </c>
      <c r="FQ9" s="212">
        <f>(IF('Project Assumptions'!$F$21&lt;'Start-up Cashflow'!FQ7,'Project Assumptions'!$I$21,0)+IF('Project Assumptions'!$F$22&lt;'Start-up Cashflow'!FQ7,'Project Assumptions'!$I$22,0)+IF('Project Assumptions'!$F$23&lt;'Start-up Cashflow'!FQ7,'Project Assumptions'!$I$23,0)+IF('Project Assumptions'!$F$24&lt;'Start-up Cashflow'!FQ7,'Project Assumptions'!$I$24,0)+IF('Project Assumptions'!$F$25&lt;'Start-up Cashflow'!FQ7,'Project Assumptions'!$I$25,0))</f>
        <v>336</v>
      </c>
      <c r="FR9" s="212">
        <f>(IF('Project Assumptions'!$F$21&lt;'Start-up Cashflow'!FR7,'Project Assumptions'!$I$21,0)+IF('Project Assumptions'!$F$22&lt;'Start-up Cashflow'!FR7,'Project Assumptions'!$I$22,0)+IF('Project Assumptions'!$F$23&lt;'Start-up Cashflow'!FR7,'Project Assumptions'!$I$23,0)+IF('Project Assumptions'!$F$24&lt;'Start-up Cashflow'!FR7,'Project Assumptions'!$I$24,0)+IF('Project Assumptions'!$F$25&lt;'Start-up Cashflow'!FR7,'Project Assumptions'!$I$25,0))</f>
        <v>336</v>
      </c>
      <c r="FS9" s="212">
        <f>(IF('Project Assumptions'!$F$21&lt;'Start-up Cashflow'!FS7,'Project Assumptions'!$I$21,0)+IF('Project Assumptions'!$F$22&lt;'Start-up Cashflow'!FS7,'Project Assumptions'!$I$22,0)+IF('Project Assumptions'!$F$23&lt;'Start-up Cashflow'!FS7,'Project Assumptions'!$I$23,0)+IF('Project Assumptions'!$F$24&lt;'Start-up Cashflow'!FS7,'Project Assumptions'!$I$24,0)+IF('Project Assumptions'!$F$25&lt;'Start-up Cashflow'!FS7,'Project Assumptions'!$I$25,0))</f>
        <v>336</v>
      </c>
      <c r="FT9" s="212">
        <f>(IF('Project Assumptions'!$F$21&lt;'Start-up Cashflow'!FT7,'Project Assumptions'!$I$21,0)+IF('Project Assumptions'!$F$22&lt;'Start-up Cashflow'!FT7,'Project Assumptions'!$I$22,0)+IF('Project Assumptions'!$F$23&lt;'Start-up Cashflow'!FT7,'Project Assumptions'!$I$23,0)+IF('Project Assumptions'!$F$24&lt;'Start-up Cashflow'!FT7,'Project Assumptions'!$I$24,0)+IF('Project Assumptions'!$F$25&lt;'Start-up Cashflow'!FT7,'Project Assumptions'!$I$25,0))</f>
        <v>336</v>
      </c>
      <c r="FU9" s="212">
        <f>(IF('Project Assumptions'!$F$21&lt;'Start-up Cashflow'!FU7,'Project Assumptions'!$I$21,0)+IF('Project Assumptions'!$F$22&lt;'Start-up Cashflow'!FU7,'Project Assumptions'!$I$22,0)+IF('Project Assumptions'!$F$23&lt;'Start-up Cashflow'!FU7,'Project Assumptions'!$I$23,0)+IF('Project Assumptions'!$F$24&lt;'Start-up Cashflow'!FU7,'Project Assumptions'!$I$24,0)+IF('Project Assumptions'!$F$25&lt;'Start-up Cashflow'!FU7,'Project Assumptions'!$I$25,0))</f>
        <v>336</v>
      </c>
      <c r="FV9" s="212">
        <f>(IF('Project Assumptions'!$F$21&lt;'Start-up Cashflow'!FV7,'Project Assumptions'!$I$21,0)+IF('Project Assumptions'!$F$22&lt;'Start-up Cashflow'!FV7,'Project Assumptions'!$I$22,0)+IF('Project Assumptions'!$F$23&lt;'Start-up Cashflow'!FV7,'Project Assumptions'!$I$23,0)+IF('Project Assumptions'!$F$24&lt;'Start-up Cashflow'!FV7,'Project Assumptions'!$I$24,0)+IF('Project Assumptions'!$F$25&lt;'Start-up Cashflow'!FV7,'Project Assumptions'!$I$25,0))</f>
        <v>336</v>
      </c>
      <c r="FW9" s="212">
        <f>(IF('Project Assumptions'!$F$21&lt;'Start-up Cashflow'!FW7,'Project Assumptions'!$I$21,0)+IF('Project Assumptions'!$F$22&lt;'Start-up Cashflow'!FW7,'Project Assumptions'!$I$22,0)+IF('Project Assumptions'!$F$23&lt;'Start-up Cashflow'!FW7,'Project Assumptions'!$I$23,0)+IF('Project Assumptions'!$F$24&lt;'Start-up Cashflow'!FW7,'Project Assumptions'!$I$24,0)+IF('Project Assumptions'!$F$25&lt;'Start-up Cashflow'!FW7,'Project Assumptions'!$I$25,0))</f>
        <v>336</v>
      </c>
      <c r="FX9" s="212">
        <f>(IF('Project Assumptions'!$F$21&lt;'Start-up Cashflow'!FX7,'Project Assumptions'!$I$21,0)+IF('Project Assumptions'!$F$22&lt;'Start-up Cashflow'!FX7,'Project Assumptions'!$I$22,0)+IF('Project Assumptions'!$F$23&lt;'Start-up Cashflow'!FX7,'Project Assumptions'!$I$23,0)+IF('Project Assumptions'!$F$24&lt;'Start-up Cashflow'!FX7,'Project Assumptions'!$I$24,0)+IF('Project Assumptions'!$F$25&lt;'Start-up Cashflow'!FX7,'Project Assumptions'!$I$25,0))</f>
        <v>336</v>
      </c>
      <c r="FY9" s="212">
        <f>(IF('Project Assumptions'!$F$21&lt;'Start-up Cashflow'!FY7,'Project Assumptions'!$I$21,0)+IF('Project Assumptions'!$F$22&lt;'Start-up Cashflow'!FY7,'Project Assumptions'!$I$22,0)+IF('Project Assumptions'!$F$23&lt;'Start-up Cashflow'!FY7,'Project Assumptions'!$I$23,0)+IF('Project Assumptions'!$F$24&lt;'Start-up Cashflow'!FY7,'Project Assumptions'!$I$24,0)+IF('Project Assumptions'!$F$25&lt;'Start-up Cashflow'!FY7,'Project Assumptions'!$I$25,0))</f>
        <v>336</v>
      </c>
      <c r="FZ9" s="212">
        <f>(IF('Project Assumptions'!$F$21&lt;'Start-up Cashflow'!FZ7,'Project Assumptions'!$I$21,0)+IF('Project Assumptions'!$F$22&lt;'Start-up Cashflow'!FZ7,'Project Assumptions'!$I$22,0)+IF('Project Assumptions'!$F$23&lt;'Start-up Cashflow'!FZ7,'Project Assumptions'!$I$23,0)+IF('Project Assumptions'!$F$24&lt;'Start-up Cashflow'!FZ7,'Project Assumptions'!$I$24,0)+IF('Project Assumptions'!$F$25&lt;'Start-up Cashflow'!FZ7,'Project Assumptions'!$I$25,0))</f>
        <v>336</v>
      </c>
      <c r="GA9" s="212">
        <f>(IF('Project Assumptions'!$F$21&lt;'Start-up Cashflow'!GA7,'Project Assumptions'!$I$21,0)+IF('Project Assumptions'!$F$22&lt;'Start-up Cashflow'!GA7,'Project Assumptions'!$I$22,0)+IF('Project Assumptions'!$F$23&lt;'Start-up Cashflow'!GA7,'Project Assumptions'!$I$23,0)+IF('Project Assumptions'!$F$24&lt;'Start-up Cashflow'!GA7,'Project Assumptions'!$I$24,0)+IF('Project Assumptions'!$F$25&lt;'Start-up Cashflow'!GA7,'Project Assumptions'!$I$25,0))</f>
        <v>336</v>
      </c>
      <c r="GB9" s="212">
        <f>(IF('Project Assumptions'!$F$21&lt;'Start-up Cashflow'!GB7,'Project Assumptions'!$I$21,0)+IF('Project Assumptions'!$F$22&lt;'Start-up Cashflow'!GB7,'Project Assumptions'!$I$22,0)+IF('Project Assumptions'!$F$23&lt;'Start-up Cashflow'!GB7,'Project Assumptions'!$I$23,0)+IF('Project Assumptions'!$F$24&lt;'Start-up Cashflow'!GB7,'Project Assumptions'!$I$24,0)+IF('Project Assumptions'!$F$25&lt;'Start-up Cashflow'!GB7,'Project Assumptions'!$I$25,0))</f>
        <v>336</v>
      </c>
      <c r="GC9" s="212">
        <f>(IF('Project Assumptions'!$F$21&lt;'Start-up Cashflow'!GC7,'Project Assumptions'!$I$21,0)+IF('Project Assumptions'!$F$22&lt;'Start-up Cashflow'!GC7,'Project Assumptions'!$I$22,0)+IF('Project Assumptions'!$F$23&lt;'Start-up Cashflow'!GC7,'Project Assumptions'!$I$23,0)+IF('Project Assumptions'!$F$24&lt;'Start-up Cashflow'!GC7,'Project Assumptions'!$I$24,0)+IF('Project Assumptions'!$F$25&lt;'Start-up Cashflow'!GC7,'Project Assumptions'!$I$25,0))</f>
        <v>336</v>
      </c>
      <c r="GD9" s="212">
        <f>(IF('Project Assumptions'!$F$21&lt;'Start-up Cashflow'!GD7,'Project Assumptions'!$I$21,0)+IF('Project Assumptions'!$F$22&lt;'Start-up Cashflow'!GD7,'Project Assumptions'!$I$22,0)+IF('Project Assumptions'!$F$23&lt;'Start-up Cashflow'!GD7,'Project Assumptions'!$I$23,0)+IF('Project Assumptions'!$F$24&lt;'Start-up Cashflow'!GD7,'Project Assumptions'!$I$24,0)+IF('Project Assumptions'!$F$25&lt;'Start-up Cashflow'!GD7,'Project Assumptions'!$I$25,0))</f>
        <v>336</v>
      </c>
      <c r="GE9" s="212">
        <f>(IF('Project Assumptions'!$F$21&lt;'Start-up Cashflow'!GE7,'Project Assumptions'!$I$21,0)+IF('Project Assumptions'!$F$22&lt;'Start-up Cashflow'!GE7,'Project Assumptions'!$I$22,0)+IF('Project Assumptions'!$F$23&lt;'Start-up Cashflow'!GE7,'Project Assumptions'!$I$23,0)+IF('Project Assumptions'!$F$24&lt;'Start-up Cashflow'!GE7,'Project Assumptions'!$I$24,0)+IF('Project Assumptions'!$F$25&lt;'Start-up Cashflow'!GE7,'Project Assumptions'!$I$25,0))</f>
        <v>336</v>
      </c>
      <c r="GF9" s="212">
        <f>(IF('Project Assumptions'!$F$21&lt;'Start-up Cashflow'!GF7,'Project Assumptions'!$I$21,0)+IF('Project Assumptions'!$F$22&lt;'Start-up Cashflow'!GF7,'Project Assumptions'!$I$22,0)+IF('Project Assumptions'!$F$23&lt;'Start-up Cashflow'!GF7,'Project Assumptions'!$I$23,0)+IF('Project Assumptions'!$F$24&lt;'Start-up Cashflow'!GF7,'Project Assumptions'!$I$24,0)+IF('Project Assumptions'!$F$25&lt;'Start-up Cashflow'!GF7,'Project Assumptions'!$I$25,0))</f>
        <v>336</v>
      </c>
      <c r="GG9" s="212">
        <f>(IF('Project Assumptions'!$F$21&lt;'Start-up Cashflow'!GG7,'Project Assumptions'!$I$21,0)+IF('Project Assumptions'!$F$22&lt;'Start-up Cashflow'!GG7,'Project Assumptions'!$I$22,0)+IF('Project Assumptions'!$F$23&lt;'Start-up Cashflow'!GG7,'Project Assumptions'!$I$23,0)+IF('Project Assumptions'!$F$24&lt;'Start-up Cashflow'!GG7,'Project Assumptions'!$I$24,0)+IF('Project Assumptions'!$F$25&lt;'Start-up Cashflow'!GG7,'Project Assumptions'!$I$25,0))</f>
        <v>336</v>
      </c>
      <c r="GH9" s="212"/>
      <c r="GI9" s="212"/>
      <c r="GJ9" s="212"/>
      <c r="GK9" s="212"/>
      <c r="GL9" s="212"/>
      <c r="GM9" s="212"/>
      <c r="GN9" s="212"/>
      <c r="GO9" s="212"/>
      <c r="GP9" s="212"/>
      <c r="GQ9" s="212"/>
      <c r="GR9" s="212"/>
      <c r="GS9" s="212"/>
      <c r="GT9" s="212"/>
      <c r="GU9" s="212"/>
      <c r="GV9" s="212"/>
      <c r="GW9" s="212"/>
      <c r="GX9" s="212"/>
      <c r="GY9" s="212"/>
      <c r="GZ9" s="212"/>
      <c r="HA9" s="212"/>
      <c r="HB9" s="212"/>
      <c r="HC9" s="212"/>
      <c r="HD9" s="212"/>
      <c r="HE9" s="212"/>
      <c r="HF9" s="212"/>
      <c r="HG9" s="212"/>
      <c r="HH9" s="212"/>
      <c r="HI9" s="212"/>
      <c r="HJ9" s="212"/>
      <c r="HK9" s="212"/>
      <c r="HL9" s="212"/>
      <c r="HM9" s="212"/>
      <c r="HN9" s="212"/>
      <c r="HO9" s="212"/>
      <c r="HP9" s="212"/>
      <c r="HQ9" s="212"/>
      <c r="HR9" s="212"/>
      <c r="HS9" s="212"/>
      <c r="HT9" s="212"/>
      <c r="HU9" s="212"/>
    </row>
    <row r="10" spans="1:229">
      <c r="A10" s="329"/>
      <c r="B10" s="329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212"/>
      <c r="AQ10" s="212"/>
      <c r="AR10" s="212"/>
      <c r="AS10" s="212"/>
      <c r="AT10" s="212"/>
      <c r="AU10" s="212"/>
      <c r="AV10" s="212"/>
      <c r="AW10" s="212"/>
      <c r="AX10" s="212"/>
      <c r="AY10" s="212"/>
      <c r="AZ10" s="212"/>
      <c r="BA10" s="212"/>
      <c r="BB10" s="212"/>
      <c r="BC10" s="212"/>
      <c r="BD10" s="212"/>
      <c r="BE10" s="212"/>
      <c r="BF10" s="212"/>
      <c r="BG10" s="212"/>
      <c r="BH10" s="212"/>
      <c r="BI10" s="212"/>
      <c r="BJ10" s="212"/>
      <c r="BK10" s="212"/>
      <c r="BL10" s="212"/>
      <c r="BM10" s="212"/>
      <c r="BN10" s="212"/>
      <c r="BO10" s="212"/>
      <c r="BP10" s="212"/>
      <c r="BQ10" s="212"/>
      <c r="BR10" s="212"/>
      <c r="BS10" s="212"/>
      <c r="BT10" s="212"/>
      <c r="BU10" s="212"/>
      <c r="BV10" s="212"/>
      <c r="BW10" s="212"/>
      <c r="BX10" s="212"/>
      <c r="BY10" s="212"/>
      <c r="BZ10" s="212"/>
      <c r="CA10" s="212"/>
      <c r="CB10" s="212"/>
      <c r="CC10" s="212"/>
      <c r="CD10" s="212"/>
      <c r="CE10" s="212"/>
      <c r="CF10" s="212"/>
      <c r="CG10" s="212"/>
      <c r="CH10" s="212"/>
      <c r="CI10" s="212"/>
      <c r="CJ10" s="212"/>
      <c r="CK10" s="212"/>
      <c r="CL10" s="212"/>
      <c r="CM10" s="212"/>
      <c r="CN10" s="212"/>
      <c r="CO10" s="212"/>
      <c r="CP10" s="212"/>
      <c r="CQ10" s="212"/>
      <c r="CR10" s="212"/>
      <c r="CS10" s="212"/>
      <c r="CT10" s="212"/>
      <c r="CU10" s="212"/>
      <c r="CV10" s="212"/>
      <c r="CW10" s="212"/>
      <c r="CX10" s="212"/>
      <c r="CY10" s="212"/>
      <c r="CZ10" s="212"/>
      <c r="DA10" s="212"/>
      <c r="DB10" s="212"/>
      <c r="DC10" s="212"/>
      <c r="DD10" s="212"/>
      <c r="DE10" s="212"/>
      <c r="DF10" s="212"/>
      <c r="DG10" s="212"/>
      <c r="DH10" s="212"/>
      <c r="DI10" s="212"/>
      <c r="DJ10" s="212"/>
      <c r="DK10" s="212"/>
      <c r="DL10" s="212"/>
      <c r="DM10" s="212"/>
      <c r="DN10" s="212"/>
      <c r="DO10" s="212"/>
      <c r="DP10" s="212"/>
      <c r="DQ10" s="212"/>
      <c r="DR10" s="212"/>
      <c r="DS10" s="212"/>
      <c r="DT10" s="212"/>
      <c r="DU10" s="212"/>
      <c r="DV10" s="212"/>
      <c r="DW10" s="212"/>
      <c r="DX10" s="212"/>
      <c r="DY10" s="212"/>
      <c r="DZ10" s="212"/>
      <c r="EA10" s="212"/>
      <c r="EB10" s="212"/>
      <c r="EC10" s="212"/>
      <c r="ED10" s="212"/>
      <c r="EE10" s="212"/>
      <c r="EF10" s="212"/>
      <c r="EG10" s="212"/>
      <c r="EH10" s="212"/>
      <c r="EI10" s="212"/>
      <c r="EJ10" s="212"/>
      <c r="EK10" s="212"/>
      <c r="EL10" s="212"/>
      <c r="EM10" s="212"/>
      <c r="EN10" s="212"/>
      <c r="EO10" s="212"/>
      <c r="EP10" s="212"/>
      <c r="EQ10" s="212"/>
      <c r="ER10" s="212"/>
      <c r="ES10" s="212"/>
      <c r="ET10" s="212"/>
      <c r="EU10" s="212"/>
      <c r="EV10" s="212"/>
      <c r="EW10" s="212"/>
      <c r="EX10" s="212"/>
      <c r="EY10" s="212"/>
      <c r="EZ10" s="212"/>
      <c r="FA10" s="212"/>
      <c r="FB10" s="212"/>
      <c r="FC10" s="212"/>
      <c r="FD10" s="212"/>
      <c r="FE10" s="212"/>
      <c r="FF10" s="212"/>
      <c r="FG10" s="212"/>
      <c r="FH10" s="212"/>
      <c r="FI10" s="212"/>
      <c r="FJ10" s="212"/>
      <c r="FK10" s="212"/>
      <c r="FL10" s="212"/>
      <c r="FM10" s="212"/>
      <c r="FN10" s="212"/>
      <c r="FO10" s="212"/>
      <c r="FP10" s="212"/>
      <c r="FQ10" s="212"/>
      <c r="FR10" s="212"/>
      <c r="FS10" s="212"/>
      <c r="FT10" s="212"/>
      <c r="FU10" s="212"/>
      <c r="FV10" s="212"/>
      <c r="FW10" s="212"/>
      <c r="FX10" s="212"/>
      <c r="FY10" s="212"/>
      <c r="FZ10" s="212"/>
      <c r="GA10" s="212"/>
      <c r="GB10" s="212"/>
      <c r="GC10" s="212"/>
      <c r="GD10" s="212"/>
      <c r="GE10" s="212"/>
      <c r="GF10" s="212"/>
      <c r="GG10" s="212"/>
      <c r="GH10" s="212"/>
      <c r="GI10" s="212"/>
      <c r="GJ10" s="212"/>
      <c r="GK10" s="212"/>
      <c r="GL10" s="212"/>
      <c r="GM10" s="212"/>
      <c r="GN10" s="212"/>
      <c r="GO10" s="212"/>
      <c r="GP10" s="212"/>
      <c r="GQ10" s="212"/>
      <c r="GR10" s="212"/>
      <c r="GS10" s="212"/>
      <c r="GT10" s="212"/>
      <c r="GU10" s="212"/>
      <c r="GV10" s="212"/>
      <c r="GW10" s="212"/>
      <c r="GX10" s="212"/>
      <c r="GY10" s="212"/>
      <c r="GZ10" s="212"/>
      <c r="HA10" s="212"/>
      <c r="HB10" s="212"/>
      <c r="HC10" s="212"/>
      <c r="HD10" s="212"/>
      <c r="HE10" s="212"/>
      <c r="HF10" s="212"/>
      <c r="HG10" s="212"/>
      <c r="HH10" s="212"/>
      <c r="HI10" s="212"/>
      <c r="HJ10" s="212"/>
      <c r="HK10" s="212"/>
      <c r="HL10" s="212"/>
      <c r="HM10" s="212"/>
      <c r="HN10" s="212"/>
      <c r="HO10" s="212"/>
      <c r="HP10" s="212"/>
      <c r="HQ10" s="212"/>
      <c r="HR10" s="212"/>
      <c r="HS10" s="212"/>
      <c r="HT10" s="212"/>
      <c r="HU10" s="212"/>
    </row>
    <row r="11" spans="1:229">
      <c r="A11" s="211" t="s">
        <v>1</v>
      </c>
      <c r="B11" s="211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GH11" s="212"/>
      <c r="GI11" s="212"/>
      <c r="GJ11" s="212"/>
      <c r="GK11" s="212"/>
      <c r="GL11" s="212"/>
      <c r="GM11" s="212"/>
      <c r="GN11" s="212"/>
      <c r="GO11" s="212"/>
      <c r="GP11" s="212"/>
      <c r="GQ11" s="212"/>
      <c r="GR11" s="212"/>
      <c r="GS11" s="212"/>
      <c r="GT11" s="212"/>
      <c r="GU11" s="212"/>
      <c r="GV11" s="212"/>
      <c r="GW11" s="212"/>
      <c r="GX11" s="212"/>
      <c r="GY11" s="212"/>
      <c r="GZ11" s="212"/>
      <c r="HA11" s="212"/>
      <c r="HB11" s="212"/>
      <c r="HC11" s="212"/>
      <c r="HD11" s="212"/>
      <c r="HE11" s="212"/>
      <c r="HF11" s="212"/>
      <c r="HG11" s="212"/>
      <c r="HH11" s="212"/>
      <c r="HI11" s="212"/>
      <c r="HJ11" s="212"/>
      <c r="HK11" s="212"/>
      <c r="HL11" s="212"/>
      <c r="HM11" s="212"/>
      <c r="HN11" s="212"/>
      <c r="HO11" s="212"/>
      <c r="HP11" s="212"/>
      <c r="HQ11" s="212"/>
      <c r="HR11" s="212"/>
      <c r="HS11" s="212"/>
      <c r="HT11" s="212"/>
      <c r="HU11" s="212"/>
    </row>
    <row r="12" spans="1:229" ht="15">
      <c r="A12" s="214" t="s">
        <v>314</v>
      </c>
      <c r="B12" s="214"/>
      <c r="C12" s="212"/>
      <c r="D12" s="351">
        <f>IF(D7-C7&gt;=28,'Project Assumptions'!$I$28*'Start-up Cashflow'!D$9,'Project Assumptions'!$I$28*'Start-up Cashflow'!D$9*((D7-C7)/30.4375))</f>
        <v>282.62715400410679</v>
      </c>
      <c r="E12" s="351">
        <f>IF(E7-D7&gt;=28,'Project Assumptions'!$I$28*'Start-up Cashflow'!E$9,'Project Assumptions'!$I$28*'Start-up Cashflow'!E$9*((E7-D7)/30.4375))</f>
        <v>537.654</v>
      </c>
      <c r="F12" s="351">
        <f>IF(F7-E7&gt;=28,'Project Assumptions'!$I$28*'Start-up Cashflow'!F$9,'Project Assumptions'!$I$28*'Start-up Cashflow'!F$9*((F7-E7)/30.4375))</f>
        <v>762.41100000000006</v>
      </c>
      <c r="G12" s="351">
        <f>IF(G7-F7&gt;=28,'Project Assumptions'!$I$28*'Start-up Cashflow'!G$9,'Project Assumptions'!$I$28*'Start-up Cashflow'!G$9*((G7-F7)/30.4375))</f>
        <v>0</v>
      </c>
      <c r="H12" s="351">
        <f>IF(H7-G7&gt;=28,'Project Assumptions'!$I$28*'Start-up Cashflow'!H$9,'Project Assumptions'!$I$28*'Start-up Cashflow'!H$9*((H7-G7)/30.4375))</f>
        <v>762.41100000000006</v>
      </c>
      <c r="I12" s="351">
        <f>IF(I7-H7&gt;=28,'Project Assumptions'!$I$28*'Start-up Cashflow'!I$9,'Project Assumptions'!$I$28*'Start-up Cashflow'!I$9*((I7-H7)/30.4375))</f>
        <v>0</v>
      </c>
      <c r="J12" s="351">
        <f>IF(J7-I7&gt;=28,'Project Assumptions'!$I$28*'Start-up Cashflow'!J$9,'Project Assumptions'!$I$28*'Start-up Cashflow'!J$9*((J7-I7)/30.4375))</f>
        <v>987.16800000000001</v>
      </c>
      <c r="K12" s="351">
        <f>IF(K7-J7&gt;=28,'Project Assumptions'!$I$28*'Start-up Cashflow'!K$9,'Project Assumptions'!$I$28*'Start-up Cashflow'!K$9*((K7-J7)/30.4375))</f>
        <v>987.16800000000001</v>
      </c>
      <c r="L12" s="351">
        <f>IF(L7-K7&gt;=28,'Project Assumptions'!$I$28*'Start-up Cashflow'!L$9,'Project Assumptions'!$I$28*'Start-up Cashflow'!L$9*((L7-K7)/30.4375))</f>
        <v>987.16800000000001</v>
      </c>
      <c r="M12" s="351">
        <f>IF(M7-L7&gt;=28,'Project Assumptions'!$I$28*'Start-up Cashflow'!M$9,'Project Assumptions'!$I$28*'Start-up Cashflow'!M$9*((M7-L7)/30.4375))</f>
        <v>987.16800000000001</v>
      </c>
      <c r="N12" s="351">
        <f>IF(N7-M7&gt;=28,'Project Assumptions'!$I$28*'Start-up Cashflow'!N$9,'Project Assumptions'!$I$28*'Start-up Cashflow'!N$9*((N7-M7)/30.4375))</f>
        <v>987.16800000000001</v>
      </c>
      <c r="O12" s="351">
        <f>IF(O7-N7&gt;=28,'Project Assumptions'!$I$28*'Start-up Cashflow'!O$9,'Project Assumptions'!$I$28*'Start-up Cashflow'!O$9*((O7-N7)/30.4375))</f>
        <v>987.16800000000001</v>
      </c>
      <c r="P12" s="351">
        <f>IF(P7-O7&gt;=28,'Project Assumptions'!$I$28*'Start-up Cashflow'!P$9,'Project Assumptions'!$I$28*'Start-up Cashflow'!P$9*((P7-O7)/30.4375))</f>
        <v>987.16800000000001</v>
      </c>
      <c r="Q12" s="351">
        <f>IF(Q7-P7&gt;=28,'Project Assumptions'!$I$28*'Start-up Cashflow'!Q$9,'Project Assumptions'!$I$28*'Start-up Cashflow'!Q$9*((Q7-P7)/30.4375))</f>
        <v>987.16800000000001</v>
      </c>
      <c r="R12" s="351">
        <f>IF(R7-Q7&gt;=28,'Project Assumptions'!$I$28*'Start-up Cashflow'!R$9,'Project Assumptions'!$I$28*'Start-up Cashflow'!R$9*((R7-Q7)/30.4375))</f>
        <v>987.16800000000001</v>
      </c>
      <c r="S12" s="351">
        <f>IF(S7-R7&gt;=28,'Project Assumptions'!$I$28*'Start-up Cashflow'!S$9,'Project Assumptions'!$I$28*'Start-up Cashflow'!S$9*((S7-R7)/30.4375))</f>
        <v>987.16800000000001</v>
      </c>
      <c r="T12" s="351">
        <f>IF(T7-S7&gt;=28,'Project Assumptions'!$I$28*'Start-up Cashflow'!T$9,'Project Assumptions'!$I$28*'Start-up Cashflow'!T$9*((T7-S7)/30.4375))</f>
        <v>987.16800000000001</v>
      </c>
      <c r="U12" s="351">
        <f>IF(U7-T7&gt;=28,'Project Assumptions'!$I$28*'Start-up Cashflow'!U$9,'Project Assumptions'!$I$28*'Start-up Cashflow'!U$9*((U7-T7)/30.4375))</f>
        <v>987.16800000000001</v>
      </c>
      <c r="V12" s="351">
        <f>IF(V7-U7&gt;=28,'Project Assumptions'!$I$28*'Start-up Cashflow'!V$9,'Project Assumptions'!$I$28*'Start-up Cashflow'!V$9*((V7-U7)/30.4375))</f>
        <v>987.16800000000001</v>
      </c>
      <c r="W12" s="351">
        <f>IF(W7-V7&gt;=28,'Project Assumptions'!$I$28*'Start-up Cashflow'!W$9,'Project Assumptions'!$I$28*'Start-up Cashflow'!W$9*((W7-V7)/30.4375))</f>
        <v>987.16800000000001</v>
      </c>
      <c r="X12" s="351">
        <f>IF(X7-W7&gt;=28,'Project Assumptions'!$I$28*'Start-up Cashflow'!X$9,'Project Assumptions'!$I$28*'Start-up Cashflow'!X$9*((X7-W7)/30.4375))</f>
        <v>987.16800000000001</v>
      </c>
      <c r="Y12" s="351">
        <f>IF(Y7-X7&gt;=28,'Project Assumptions'!$I$28*'Start-up Cashflow'!Y$9,'Project Assumptions'!$I$28*'Start-up Cashflow'!Y$9*((Y7-X7)/30.4375))</f>
        <v>987.16800000000001</v>
      </c>
      <c r="Z12" s="351">
        <f>IF(Z7-Y7&gt;=28,'Project Assumptions'!$I$28*'Start-up Cashflow'!Z$9,'Project Assumptions'!$I$28*'Start-up Cashflow'!Z$9*((Z7-Y7)/30.4375))</f>
        <v>987.16800000000001</v>
      </c>
      <c r="AA12" s="351">
        <f>IF(AA7-Z7&gt;=28,'Project Assumptions'!$I$28*'Start-up Cashflow'!AA$9,'Project Assumptions'!$I$28*'Start-up Cashflow'!AA$9*((AA7-Z7)/30.4375))</f>
        <v>987.16800000000001</v>
      </c>
      <c r="AB12" s="351">
        <f>IF(AB7-AA7&gt;=28,'Project Assumptions'!$I$28*'Start-up Cashflow'!AB$9,'Project Assumptions'!$I$28*'Start-up Cashflow'!AB$9*((AB7-AA7)/30.4375))</f>
        <v>987.16800000000001</v>
      </c>
      <c r="AC12" s="351">
        <f>IF(AC7-AB7&gt;=28,'Project Assumptions'!$I$28*'Start-up Cashflow'!AC$9,'Project Assumptions'!$I$28*'Start-up Cashflow'!AC$9*((AC7-AB7)/30.4375))</f>
        <v>987.16800000000001</v>
      </c>
      <c r="AD12" s="351">
        <f>IF(AD7-AC7&gt;=28,'Project Assumptions'!$I$28*'Start-up Cashflow'!AD$9,'Project Assumptions'!$I$28*'Start-up Cashflow'!AD$9*((AD7-AC7)/30.4375))</f>
        <v>987.16800000000001</v>
      </c>
      <c r="AE12" s="351">
        <f>IF(AE7-AD7&gt;=28,'Project Assumptions'!$I$28*'Start-up Cashflow'!AE$9,'Project Assumptions'!$I$28*'Start-up Cashflow'!AE$9*((AE7-AD7)/30.4375))</f>
        <v>987.16800000000001</v>
      </c>
      <c r="AF12" s="351">
        <f>IF(AF7-AE7&gt;=28,'Project Assumptions'!$I$28*'Start-up Cashflow'!AF$9,'Project Assumptions'!$I$28*'Start-up Cashflow'!AF$9*((AF7-AE7)/30.4375))</f>
        <v>987.16800000000001</v>
      </c>
      <c r="AG12" s="351">
        <f>IF(AG7-AF7&gt;=28,'Project Assumptions'!$I$28*'Start-up Cashflow'!AG$9,'Project Assumptions'!$I$28*'Start-up Cashflow'!AG$9*((AG7-AF7)/30.4375))</f>
        <v>987.16800000000001</v>
      </c>
      <c r="AH12" s="351">
        <f>IF(AH7-AG7&gt;=28,'Project Assumptions'!$I$28*'Start-up Cashflow'!AH$9,'Project Assumptions'!$I$28*'Start-up Cashflow'!AH$9*((AH7-AG7)/30.4375))</f>
        <v>987.16800000000001</v>
      </c>
      <c r="AI12" s="351">
        <f>IF(AI7-AH7&gt;=28,'Project Assumptions'!$I$28*'Start-up Cashflow'!AI$9,'Project Assumptions'!$I$28*'Start-up Cashflow'!AI$9*((AI7-AH7)/30.4375))</f>
        <v>987.16800000000001</v>
      </c>
      <c r="AJ12" s="351">
        <f>IF(AJ7-AI7&gt;=28,'Project Assumptions'!$I$28*'Start-up Cashflow'!AJ$9,'Project Assumptions'!$I$28*'Start-up Cashflow'!AJ$9*((AJ7-AI7)/30.4375))</f>
        <v>987.16800000000001</v>
      </c>
      <c r="AK12" s="351">
        <f>IF(AK7-AJ7&gt;=28,'Project Assumptions'!$I$28*'Start-up Cashflow'!AK$9,'Project Assumptions'!$I$28*'Start-up Cashflow'!AK$9*((AK7-AJ7)/30.4375))</f>
        <v>987.16800000000001</v>
      </c>
      <c r="AL12" s="351">
        <f>IF(AL7-AK7&gt;=28,'Project Assumptions'!$I$28*'Start-up Cashflow'!AL$9,'Project Assumptions'!$I$28*'Start-up Cashflow'!AL$9*((AL7-AK7)/30.4375))</f>
        <v>987.16800000000001</v>
      </c>
      <c r="AM12" s="351">
        <f>IF(AM7-AL7&gt;=28,'Project Assumptions'!$I$28*'Start-up Cashflow'!AM$9,'Project Assumptions'!$I$28*'Start-up Cashflow'!AM$9*((AM7-AL7)/30.4375))</f>
        <v>987.16800000000001</v>
      </c>
      <c r="AN12" s="351">
        <f>IF(AN7-AM7&gt;=28,'Project Assumptions'!$I$28*'Start-up Cashflow'!AN$9,'Project Assumptions'!$I$28*'Start-up Cashflow'!AN$9*((AN7-AM7)/30.4375))</f>
        <v>987.16800000000001</v>
      </c>
      <c r="AO12" s="351">
        <f>IF(AO7-AN7&gt;=28,'Project Assumptions'!$I$28*'Start-up Cashflow'!AO$9,'Project Assumptions'!$I$28*'Start-up Cashflow'!AO$9*((AO7-AN7)/30.4375))</f>
        <v>987.16800000000001</v>
      </c>
      <c r="AP12" s="351">
        <f>IF(AP7-AO7&gt;=28,'Project Assumptions'!$I$28*'Start-up Cashflow'!AP$9,'Project Assumptions'!$I$28*'Start-up Cashflow'!AP$9*((AP7-AO7)/30.4375))</f>
        <v>987.16800000000001</v>
      </c>
      <c r="AQ12" s="351">
        <f>IF(AQ7-AP7&gt;=28,'Project Assumptions'!$I$28*'Start-up Cashflow'!AQ$9,'Project Assumptions'!$I$28*'Start-up Cashflow'!AQ$9*((AQ7-AP7)/30.4375))</f>
        <v>987.16800000000001</v>
      </c>
      <c r="AR12" s="351">
        <f>IF(AR7-AQ7&gt;=28,'Project Assumptions'!$I$28*'Start-up Cashflow'!AR$9,'Project Assumptions'!$I$28*'Start-up Cashflow'!AR$9*((AR7-AQ7)/30.4375))</f>
        <v>987.16800000000001</v>
      </c>
      <c r="AS12" s="351">
        <f>IF(AS7-AR7&gt;=28,'Project Assumptions'!$I$28*'Start-up Cashflow'!AS$9,'Project Assumptions'!$I$28*'Start-up Cashflow'!AS$9*((AS7-AR7)/30.4375))</f>
        <v>987.16800000000001</v>
      </c>
      <c r="AT12" s="351">
        <f>IF(AT7-AS7&gt;=28,'Project Assumptions'!$I$28*'Start-up Cashflow'!AT$9,'Project Assumptions'!$I$28*'Start-up Cashflow'!AT$9*((AT7-AS7)/30.4375))</f>
        <v>987.16800000000001</v>
      </c>
      <c r="AU12" s="351">
        <f>IF(AU7-AT7&gt;=28,'Project Assumptions'!$I$28*'Start-up Cashflow'!AU$9,'Project Assumptions'!$I$28*'Start-up Cashflow'!AU$9*((AU7-AT7)/30.4375))</f>
        <v>987.16800000000001</v>
      </c>
      <c r="AV12" s="351">
        <f>IF(AV7-AU7&gt;=28,'Project Assumptions'!$I$28*'Start-up Cashflow'!AV$9,'Project Assumptions'!$I$28*'Start-up Cashflow'!AV$9*((AV7-AU7)/30.4375))</f>
        <v>987.16800000000001</v>
      </c>
      <c r="AW12" s="351">
        <f>IF(AW7-AV7&gt;=28,'Project Assumptions'!$I$28*'Start-up Cashflow'!AW$9,'Project Assumptions'!$I$28*'Start-up Cashflow'!AW$9*((AW7-AV7)/30.4375))</f>
        <v>987.16800000000001</v>
      </c>
      <c r="AX12" s="351">
        <f>IF(AX7-AW7&gt;=28,'Project Assumptions'!$I$28*'Start-up Cashflow'!AX$9,'Project Assumptions'!$I$28*'Start-up Cashflow'!AX$9*((AX7-AW7)/30.4375))</f>
        <v>987.16800000000001</v>
      </c>
      <c r="AY12" s="351">
        <f>IF(AY7-AX7&gt;=28,'Project Assumptions'!$I$28*'Start-up Cashflow'!AY$9,'Project Assumptions'!$I$28*'Start-up Cashflow'!AY$9*((AY7-AX7)/30.4375))</f>
        <v>987.16800000000001</v>
      </c>
      <c r="AZ12" s="351">
        <f>IF(AZ7-AY7&gt;=28,'Project Assumptions'!$I$28*'Start-up Cashflow'!AZ$9,'Project Assumptions'!$I$28*'Start-up Cashflow'!AZ$9*((AZ7-AY7)/30.4375))</f>
        <v>987.16800000000001</v>
      </c>
      <c r="BA12" s="351">
        <f>IF(BA7-AZ7&gt;=28,'Project Assumptions'!$I$28*'Start-up Cashflow'!BA$9,'Project Assumptions'!$I$28*'Start-up Cashflow'!BA$9*((BA7-AZ7)/30.4375))</f>
        <v>987.16800000000001</v>
      </c>
      <c r="BB12" s="351">
        <f>IF(BB7-BA7&gt;=28,'Project Assumptions'!$I$28*'Start-up Cashflow'!BB$9,'Project Assumptions'!$I$28*'Start-up Cashflow'!BB$9*((BB7-BA7)/30.4375))</f>
        <v>987.16800000000001</v>
      </c>
      <c r="BC12" s="351">
        <f>IF(BC7-BB7&gt;=28,'Project Assumptions'!$I$28*'Start-up Cashflow'!BC$9,'Project Assumptions'!$I$28*'Start-up Cashflow'!BC$9*((BC7-BB7)/30.4375))</f>
        <v>987.16800000000001</v>
      </c>
      <c r="BD12" s="351">
        <f>IF(BD7-BC7&gt;=28,'Project Assumptions'!$I$28*'Start-up Cashflow'!BD$9,'Project Assumptions'!$I$28*'Start-up Cashflow'!BD$9*((BD7-BC7)/30.4375))</f>
        <v>987.16800000000001</v>
      </c>
      <c r="BE12" s="351">
        <f>IF(BE7-BD7&gt;=28,'Project Assumptions'!$I$28*'Start-up Cashflow'!BE$9,'Project Assumptions'!$I$28*'Start-up Cashflow'!BE$9*((BE7-BD7)/30.4375))</f>
        <v>987.16800000000001</v>
      </c>
      <c r="BF12" s="351">
        <f>IF(BF7-BE7&gt;=28,'Project Assumptions'!$I$28*'Start-up Cashflow'!BF$9,'Project Assumptions'!$I$28*'Start-up Cashflow'!BF$9*((BF7-BE7)/30.4375))</f>
        <v>987.16800000000001</v>
      </c>
      <c r="BG12" s="351">
        <f>IF(BG7-BF7&gt;=28,'Project Assumptions'!$I$28*'Start-up Cashflow'!BG$9,'Project Assumptions'!$I$28*'Start-up Cashflow'!BG$9*((BG7-BF7)/30.4375))</f>
        <v>987.16800000000001</v>
      </c>
      <c r="BH12" s="351">
        <f>IF(BH7-BG7&gt;=28,'Project Assumptions'!$I$28*'Start-up Cashflow'!BH$9,'Project Assumptions'!$I$28*'Start-up Cashflow'!BH$9*((BH7-BG7)/30.4375))</f>
        <v>987.16800000000001</v>
      </c>
      <c r="BI12" s="351">
        <f>IF(BI7-BH7&gt;=28,'Project Assumptions'!$I$28*'Start-up Cashflow'!BI$9,'Project Assumptions'!$I$28*'Start-up Cashflow'!BI$9*((BI7-BH7)/30.4375))</f>
        <v>987.16800000000001</v>
      </c>
      <c r="BJ12" s="351">
        <f>IF(BJ7-BI7&gt;=28,'Project Assumptions'!$I$28*'Start-up Cashflow'!BJ$9,'Project Assumptions'!$I$28*'Start-up Cashflow'!BJ$9*((BJ7-BI7)/30.4375))</f>
        <v>987.16800000000001</v>
      </c>
      <c r="BK12" s="351">
        <f>IF(BK7-BJ7&gt;=28,'Project Assumptions'!$I$28*'Start-up Cashflow'!BK$9,'Project Assumptions'!$I$28*'Start-up Cashflow'!BK$9*((BK7-BJ7)/30.4375))</f>
        <v>987.16800000000001</v>
      </c>
      <c r="BL12" s="351">
        <f>IF(BL7-BK7&gt;=28,'Project Assumptions'!$I$28*'Start-up Cashflow'!BL$9,'Project Assumptions'!$I$28*'Start-up Cashflow'!BL$9*((BL7-BK7)/30.4375))</f>
        <v>987.16800000000001</v>
      </c>
      <c r="BM12" s="351">
        <f>IF(BM7-BL7&gt;=28,'Project Assumptions'!$I$28*'Start-up Cashflow'!BM$9,'Project Assumptions'!$I$28*'Start-up Cashflow'!BM$9*((BM7-BL7)/30.4375))</f>
        <v>987.16800000000001</v>
      </c>
      <c r="BN12" s="351">
        <f>IF(BN7-BM7&gt;=28,'Project Assumptions'!$I$28*'Start-up Cashflow'!BN$9,'Project Assumptions'!$I$28*'Start-up Cashflow'!BN$9*((BN7-BM7)/30.4375))</f>
        <v>987.16800000000001</v>
      </c>
      <c r="BO12" s="351">
        <f>IF(BO7-BN7&gt;=28,'Project Assumptions'!$I$28*'Start-up Cashflow'!BO$9,'Project Assumptions'!$I$28*'Start-up Cashflow'!BO$9*((BO7-BN7)/30.4375))</f>
        <v>987.16800000000001</v>
      </c>
      <c r="BP12" s="351">
        <f>IF(BP7-BO7&gt;=28,'Project Assumptions'!$I$28*'Start-up Cashflow'!BP$9,'Project Assumptions'!$I$28*'Start-up Cashflow'!BP$9*((BP7-BO7)/30.4375))</f>
        <v>987.16800000000001</v>
      </c>
      <c r="BQ12" s="351">
        <f>IF(BQ7-BP7&gt;=28,'Project Assumptions'!$I$28*'Start-up Cashflow'!BQ$9,'Project Assumptions'!$I$28*'Start-up Cashflow'!BQ$9*((BQ7-BP7)/30.4375))</f>
        <v>987.16800000000001</v>
      </c>
      <c r="BR12" s="351">
        <f>IF(BR7-BQ7&gt;=28,'Project Assumptions'!$I$28*'Start-up Cashflow'!BR$9,'Project Assumptions'!$I$28*'Start-up Cashflow'!BR$9*((BR7-BQ7)/30.4375))</f>
        <v>987.16800000000001</v>
      </c>
      <c r="BS12" s="351">
        <f>IF(BS7-BR7&gt;=28,'Project Assumptions'!$I$28*'Start-up Cashflow'!BS$9,'Project Assumptions'!$I$28*'Start-up Cashflow'!BS$9*((BS7-BR7)/30.4375))</f>
        <v>987.16800000000001</v>
      </c>
      <c r="BT12" s="351">
        <f>IF(BT7-BS7&gt;=28,'Project Assumptions'!$I$28*'Start-up Cashflow'!BT$9,'Project Assumptions'!$I$28*'Start-up Cashflow'!BT$9*((BT7-BS7)/30.4375))</f>
        <v>987.16800000000001</v>
      </c>
      <c r="BU12" s="351">
        <f>IF(BU7-BT7&gt;=28,'Project Assumptions'!$I$28*'Start-up Cashflow'!BU$9,'Project Assumptions'!$I$28*'Start-up Cashflow'!BU$9*((BU7-BT7)/30.4375))</f>
        <v>987.16800000000001</v>
      </c>
      <c r="BV12" s="351">
        <f>IF(BV7-BU7&gt;=28,'Project Assumptions'!$I$28*'Start-up Cashflow'!BV$9,'Project Assumptions'!$I$28*'Start-up Cashflow'!BV$9*((BV7-BU7)/30.4375))</f>
        <v>987.16800000000001</v>
      </c>
      <c r="BW12" s="351">
        <f>IF(BW7-BV7&gt;=28,'Project Assumptions'!$I$28*'Start-up Cashflow'!BW$9,'Project Assumptions'!$I$28*'Start-up Cashflow'!BW$9*((BW7-BV7)/30.4375))</f>
        <v>987.16800000000001</v>
      </c>
      <c r="BX12" s="351">
        <f>IF(BX7-BW7&gt;=28,'Project Assumptions'!$I$28*'Start-up Cashflow'!BX$9,'Project Assumptions'!$I$28*'Start-up Cashflow'!BX$9*((BX7-BW7)/30.4375))</f>
        <v>987.16800000000001</v>
      </c>
      <c r="BY12" s="351">
        <f>IF(BY7-BX7&gt;=28,'Project Assumptions'!$I$28*'Start-up Cashflow'!BY$9,'Project Assumptions'!$I$28*'Start-up Cashflow'!BY$9*((BY7-BX7)/30.4375))</f>
        <v>987.16800000000001</v>
      </c>
      <c r="BZ12" s="351">
        <f>IF(BZ7-BY7&gt;=28,'Project Assumptions'!$I$28*'Start-up Cashflow'!BZ$9,'Project Assumptions'!$I$28*'Start-up Cashflow'!BZ$9*((BZ7-BY7)/30.4375))</f>
        <v>987.16800000000001</v>
      </c>
      <c r="CA12" s="351">
        <f>IF(CA7-BZ7&gt;=28,'Project Assumptions'!$I$28*'Start-up Cashflow'!CA$9,'Project Assumptions'!$I$28*'Start-up Cashflow'!CA$9*((CA7-BZ7)/30.4375))</f>
        <v>987.16800000000001</v>
      </c>
      <c r="CB12" s="351">
        <f>IF(CB7-CA7&gt;=28,'Project Assumptions'!$I$28*'Start-up Cashflow'!CB$9,'Project Assumptions'!$I$28*'Start-up Cashflow'!CB$9*((CB7-CA7)/30.4375))</f>
        <v>987.16800000000001</v>
      </c>
      <c r="CC12" s="351">
        <f>IF(CC7-CB7&gt;=28,'Project Assumptions'!$I$28*'Start-up Cashflow'!CC$9,'Project Assumptions'!$I$28*'Start-up Cashflow'!CC$9*((CC7-CB7)/30.4375))</f>
        <v>987.16800000000001</v>
      </c>
      <c r="CD12" s="351">
        <f>IF(CD7-CC7&gt;=28,'Project Assumptions'!$I$28*'Start-up Cashflow'!CD$9,'Project Assumptions'!$I$28*'Start-up Cashflow'!CD$9*((CD7-CC7)/30.4375))</f>
        <v>987.16800000000001</v>
      </c>
      <c r="CE12" s="351">
        <f>IF(CE7-CD7&gt;=28,'Project Assumptions'!$I$28*'Start-up Cashflow'!CE$9,'Project Assumptions'!$I$28*'Start-up Cashflow'!CE$9*((CE7-CD7)/30.4375))</f>
        <v>987.16800000000001</v>
      </c>
      <c r="CF12" s="351">
        <f>IF(CF7-CE7&gt;=28,'Project Assumptions'!$I$28*'Start-up Cashflow'!CF$9,'Project Assumptions'!$I$28*'Start-up Cashflow'!CF$9*((CF7-CE7)/30.4375))</f>
        <v>987.16800000000001</v>
      </c>
      <c r="CG12" s="351">
        <f>IF(CG7-CF7&gt;=28,'Project Assumptions'!$I$28*'Start-up Cashflow'!CG$9,'Project Assumptions'!$I$28*'Start-up Cashflow'!CG$9*((CG7-CF7)/30.4375))</f>
        <v>987.16800000000001</v>
      </c>
      <c r="CH12" s="351">
        <f>IF(CH7-CG7&gt;=28,'Project Assumptions'!$I$28*'Start-up Cashflow'!CH$9,'Project Assumptions'!$I$28*'Start-up Cashflow'!CH$9*((CH7-CG7)/30.4375))</f>
        <v>987.16800000000001</v>
      </c>
      <c r="CI12" s="351">
        <f>IF(CI7-CH7&gt;=28,'Project Assumptions'!$I$28*'Start-up Cashflow'!CI$9,'Project Assumptions'!$I$28*'Start-up Cashflow'!CI$9*((CI7-CH7)/30.4375))</f>
        <v>987.16800000000001</v>
      </c>
      <c r="CJ12" s="351">
        <f>IF(CJ7-CI7&gt;=28,'Project Assumptions'!$I$28*'Start-up Cashflow'!CJ$9,'Project Assumptions'!$I$28*'Start-up Cashflow'!CJ$9*((CJ7-CI7)/30.4375))</f>
        <v>987.16800000000001</v>
      </c>
      <c r="CK12" s="351">
        <f>IF(CK7-CJ7&gt;=28,'Project Assumptions'!$I$28*'Start-up Cashflow'!CK$9,'Project Assumptions'!$I$28*'Start-up Cashflow'!CK$9*((CK7-CJ7)/30.4375))</f>
        <v>987.16800000000001</v>
      </c>
      <c r="CL12" s="351">
        <f>IF(CL7-CK7&gt;=28,'Project Assumptions'!$I$28*'Start-up Cashflow'!CL$9,'Project Assumptions'!$I$28*'Start-up Cashflow'!CL$9*((CL7-CK7)/30.4375))</f>
        <v>987.16800000000001</v>
      </c>
      <c r="CM12" s="351">
        <f>IF(CM7-CL7&gt;=28,'Project Assumptions'!$I$28*'Start-up Cashflow'!CM$9,'Project Assumptions'!$I$28*'Start-up Cashflow'!CM$9*((CM7-CL7)/30.4375))</f>
        <v>987.16800000000001</v>
      </c>
      <c r="CN12" s="351">
        <f>IF(CN7-CM7&gt;=28,'Project Assumptions'!$I$28*'Start-up Cashflow'!CN$9,'Project Assumptions'!$I$28*'Start-up Cashflow'!CN$9*((CN7-CM7)/30.4375))</f>
        <v>987.16800000000001</v>
      </c>
      <c r="CO12" s="351">
        <f>IF(CO7-CN7&gt;=28,'Project Assumptions'!$I$28*'Start-up Cashflow'!CO$9,'Project Assumptions'!$I$28*'Start-up Cashflow'!CO$9*((CO7-CN7)/30.4375))</f>
        <v>987.16800000000001</v>
      </c>
      <c r="CP12" s="351">
        <f>IF(CP7-CO7&gt;=28,'Project Assumptions'!$I$28*'Start-up Cashflow'!CP$9,'Project Assumptions'!$I$28*'Start-up Cashflow'!CP$9*((CP7-CO7)/30.4375))</f>
        <v>987.16800000000001</v>
      </c>
      <c r="CQ12" s="351">
        <f>IF(CQ7-CP7&gt;=28,'Project Assumptions'!$I$28*'Start-up Cashflow'!CQ$9,'Project Assumptions'!$I$28*'Start-up Cashflow'!CQ$9*((CQ7-CP7)/30.4375))</f>
        <v>987.16800000000001</v>
      </c>
      <c r="CR12" s="351">
        <f>IF(CR7-CQ7&gt;=28,'Project Assumptions'!$I$28*'Start-up Cashflow'!CR$9,'Project Assumptions'!$I$28*'Start-up Cashflow'!CR$9*((CR7-CQ7)/30.4375))</f>
        <v>987.16800000000001</v>
      </c>
      <c r="CS12" s="351">
        <f>IF(CS7-CR7&gt;=28,'Project Assumptions'!$I$28*'Start-up Cashflow'!CS$9,'Project Assumptions'!$I$28*'Start-up Cashflow'!CS$9*((CS7-CR7)/30.4375))</f>
        <v>987.16800000000001</v>
      </c>
      <c r="CT12" s="351">
        <f>IF(CT7-CS7&gt;=28,'Project Assumptions'!$I$28*'Start-up Cashflow'!CT$9,'Project Assumptions'!$I$28*'Start-up Cashflow'!CT$9*((CT7-CS7)/30.4375))</f>
        <v>987.16800000000001</v>
      </c>
      <c r="CU12" s="351">
        <f>IF(CU7-CT7&gt;=28,'Project Assumptions'!$I$28*'Start-up Cashflow'!CU$9,'Project Assumptions'!$I$28*'Start-up Cashflow'!CU$9*((CU7-CT7)/30.4375))</f>
        <v>987.16800000000001</v>
      </c>
      <c r="CV12" s="351">
        <f>IF(CV7-CU7&gt;=28,'Project Assumptions'!$I$28*'Start-up Cashflow'!CV$9,'Project Assumptions'!$I$28*'Start-up Cashflow'!CV$9*((CV7-CU7)/30.4375))</f>
        <v>987.16800000000001</v>
      </c>
      <c r="CW12" s="351">
        <f>IF(CW7-CV7&gt;=28,'Project Assumptions'!$I$28*'Start-up Cashflow'!CW$9,'Project Assumptions'!$I$28*'Start-up Cashflow'!CW$9*((CW7-CV7)/30.4375))</f>
        <v>987.16800000000001</v>
      </c>
      <c r="CX12" s="351">
        <f>IF(CX7-CW7&gt;=28,'Project Assumptions'!$I$28*'Start-up Cashflow'!CX$9,'Project Assumptions'!$I$28*'Start-up Cashflow'!CX$9*((CX7-CW7)/30.4375))</f>
        <v>987.16800000000001</v>
      </c>
      <c r="CY12" s="351">
        <f>IF(CY7-CX7&gt;=28,'Project Assumptions'!$I$28*'Start-up Cashflow'!CY$9,'Project Assumptions'!$I$28*'Start-up Cashflow'!CY$9*((CY7-CX7)/30.4375))</f>
        <v>987.16800000000001</v>
      </c>
      <c r="CZ12" s="351">
        <f>IF(CZ7-CY7&gt;=28,'Project Assumptions'!$I$28*'Start-up Cashflow'!CZ$9,'Project Assumptions'!$I$28*'Start-up Cashflow'!CZ$9*((CZ7-CY7)/30.4375))</f>
        <v>987.16800000000001</v>
      </c>
      <c r="DA12" s="351">
        <f>IF(DA7-CZ7&gt;=28,'Project Assumptions'!$I$28*'Start-up Cashflow'!DA$9,'Project Assumptions'!$I$28*'Start-up Cashflow'!DA$9*((DA7-CZ7)/30.4375))</f>
        <v>987.16800000000001</v>
      </c>
      <c r="DB12" s="351">
        <f>IF(DB7-DA7&gt;=28,'Project Assumptions'!$I$28*'Start-up Cashflow'!DB$9,'Project Assumptions'!$I$28*'Start-up Cashflow'!DB$9*((DB7-DA7)/30.4375))</f>
        <v>987.16800000000001</v>
      </c>
      <c r="DC12" s="351">
        <f>IF(DC7-DB7&gt;=28,'Project Assumptions'!$I$28*'Start-up Cashflow'!DC$9,'Project Assumptions'!$I$28*'Start-up Cashflow'!DC$9*((DC7-DB7)/30.4375))</f>
        <v>987.16800000000001</v>
      </c>
      <c r="DD12" s="351">
        <f>IF(DD7-DC7&gt;=28,'Project Assumptions'!$I$28*'Start-up Cashflow'!DD$9,'Project Assumptions'!$I$28*'Start-up Cashflow'!DD$9*((DD7-DC7)/30.4375))</f>
        <v>987.16800000000001</v>
      </c>
      <c r="DE12" s="351">
        <f>IF(DE7-DD7&gt;=28,'Project Assumptions'!$I$28*'Start-up Cashflow'!DE$9,'Project Assumptions'!$I$28*'Start-up Cashflow'!DE$9*((DE7-DD7)/30.4375))</f>
        <v>987.16800000000001</v>
      </c>
      <c r="DF12" s="351">
        <f>IF(DF7-DE7&gt;=28,'Project Assumptions'!$I$28*'Start-up Cashflow'!DF$9,'Project Assumptions'!$I$28*'Start-up Cashflow'!DF$9*((DF7-DE7)/30.4375))</f>
        <v>987.16800000000001</v>
      </c>
      <c r="DG12" s="351">
        <f>IF(DG7-DF7&gt;=28,'Project Assumptions'!$I$28*'Start-up Cashflow'!DG$9,'Project Assumptions'!$I$28*'Start-up Cashflow'!DG$9*((DG7-DF7)/30.4375))</f>
        <v>987.16800000000001</v>
      </c>
      <c r="DH12" s="351">
        <f>IF(DH7-DG7&gt;=28,'Project Assumptions'!$I$28*'Start-up Cashflow'!DH$9,'Project Assumptions'!$I$28*'Start-up Cashflow'!DH$9*((DH7-DG7)/30.4375))</f>
        <v>987.16800000000001</v>
      </c>
      <c r="DI12" s="351">
        <f>IF(DI7-DH7&gt;=28,'Project Assumptions'!$I$28*'Start-up Cashflow'!DI$9,'Project Assumptions'!$I$28*'Start-up Cashflow'!DI$9*((DI7-DH7)/30.4375))</f>
        <v>987.16800000000001</v>
      </c>
      <c r="DJ12" s="351">
        <f>IF(DJ7-DI7&gt;=28,'Project Assumptions'!$I$28*'Start-up Cashflow'!DJ$9,'Project Assumptions'!$I$28*'Start-up Cashflow'!DJ$9*((DJ7-DI7)/30.4375))</f>
        <v>987.16800000000001</v>
      </c>
      <c r="DK12" s="351">
        <f>IF(DK7-DJ7&gt;=28,'Project Assumptions'!$I$28*'Start-up Cashflow'!DK$9,'Project Assumptions'!$I$28*'Start-up Cashflow'!DK$9*((DK7-DJ7)/30.4375))</f>
        <v>987.16800000000001</v>
      </c>
      <c r="DL12" s="351">
        <f>IF(DL7-DK7&gt;=28,'Project Assumptions'!$I$28*'Start-up Cashflow'!DL$9,'Project Assumptions'!$I$28*'Start-up Cashflow'!DL$9*((DL7-DK7)/30.4375))</f>
        <v>987.16800000000001</v>
      </c>
      <c r="DM12" s="351">
        <f>IF(DM7-DL7&gt;=28,'Project Assumptions'!$I$28*'Start-up Cashflow'!DM$9,'Project Assumptions'!$I$28*'Start-up Cashflow'!DM$9*((DM7-DL7)/30.4375))</f>
        <v>987.16800000000001</v>
      </c>
      <c r="DN12" s="351">
        <f>IF(DN7-DM7&gt;=28,'Project Assumptions'!$I$28*'Start-up Cashflow'!DN$9,'Project Assumptions'!$I$28*'Start-up Cashflow'!DN$9*((DN7-DM7)/30.4375))</f>
        <v>987.16800000000001</v>
      </c>
      <c r="DO12" s="351">
        <f>IF(DO7-DN7&gt;=28,'Project Assumptions'!$I$28*'Start-up Cashflow'!DO$9,'Project Assumptions'!$I$28*'Start-up Cashflow'!DO$9*((DO7-DN7)/30.4375))</f>
        <v>987.16800000000001</v>
      </c>
      <c r="DP12" s="351">
        <f>IF(DP7-DO7&gt;=28,'Project Assumptions'!$I$28*'Start-up Cashflow'!DP$9,'Project Assumptions'!$I$28*'Start-up Cashflow'!DP$9*((DP7-DO7)/30.4375))</f>
        <v>987.16800000000001</v>
      </c>
      <c r="DQ12" s="351">
        <f>IF(DQ7-DP7&gt;=28,'Project Assumptions'!$I$28*'Start-up Cashflow'!DQ$9,'Project Assumptions'!$I$28*'Start-up Cashflow'!DQ$9*((DQ7-DP7)/30.4375))</f>
        <v>987.16800000000001</v>
      </c>
      <c r="DR12" s="351">
        <f>IF(DR7-DQ7&gt;=28,'Project Assumptions'!$I$28*'Start-up Cashflow'!DR$9,'Project Assumptions'!$I$28*'Start-up Cashflow'!DR$9*((DR7-DQ7)/30.4375))</f>
        <v>987.16800000000001</v>
      </c>
      <c r="DS12" s="351">
        <f>IF(DS7-DR7&gt;=28,'Project Assumptions'!$I$28*'Start-up Cashflow'!DS$9,'Project Assumptions'!$I$28*'Start-up Cashflow'!DS$9*((DS7-DR7)/30.4375))</f>
        <v>987.16800000000001</v>
      </c>
      <c r="DT12" s="351">
        <f>IF(DT7-DS7&gt;=28,'Project Assumptions'!$I$28*'Start-up Cashflow'!DT$9,'Project Assumptions'!$I$28*'Start-up Cashflow'!DT$9*((DT7-DS7)/30.4375))</f>
        <v>987.16800000000001</v>
      </c>
      <c r="DU12" s="351">
        <f>IF(DU7-DT7&gt;=28,'Project Assumptions'!$I$28*'Start-up Cashflow'!DU$9,'Project Assumptions'!$I$28*'Start-up Cashflow'!DU$9*((DU7-DT7)/30.4375))</f>
        <v>987.16800000000001</v>
      </c>
      <c r="DV12" s="351">
        <f>IF(DV7-DU7&gt;=28,'Project Assumptions'!$I$28*'Start-up Cashflow'!DV$9,'Project Assumptions'!$I$28*'Start-up Cashflow'!DV$9*((DV7-DU7)/30.4375))</f>
        <v>987.16800000000001</v>
      </c>
      <c r="DW12" s="351">
        <f>IF(DW7-DV7&gt;=28,'Project Assumptions'!$I$28*'Start-up Cashflow'!DW$9,'Project Assumptions'!$I$28*'Start-up Cashflow'!DW$9*((DW7-DV7)/30.4375))</f>
        <v>987.16800000000001</v>
      </c>
      <c r="DX12" s="351">
        <f>IF(DX7-DW7&gt;=28,'Project Assumptions'!$I$28*'Start-up Cashflow'!DX$9,'Project Assumptions'!$I$28*'Start-up Cashflow'!DX$9*((DX7-DW7)/30.4375))</f>
        <v>987.16800000000001</v>
      </c>
      <c r="DY12" s="351">
        <f>IF(DY7-DX7&gt;=28,'Project Assumptions'!$I$28*'Start-up Cashflow'!DY$9,'Project Assumptions'!$I$28*'Start-up Cashflow'!DY$9*((DY7-DX7)/30.4375))</f>
        <v>987.16800000000001</v>
      </c>
      <c r="DZ12" s="351">
        <f>IF(DZ7-DY7&gt;=28,'Project Assumptions'!$I$28*'Start-up Cashflow'!DZ$9,'Project Assumptions'!$I$28*'Start-up Cashflow'!DZ$9*((DZ7-DY7)/30.4375))</f>
        <v>987.16800000000001</v>
      </c>
      <c r="EA12" s="351">
        <f>IF(EA7-DZ7&gt;=28,'Project Assumptions'!$I$28*'Start-up Cashflow'!EA$9,'Project Assumptions'!$I$28*'Start-up Cashflow'!EA$9*((EA7-DZ7)/30.4375))</f>
        <v>987.16800000000001</v>
      </c>
      <c r="EB12" s="351">
        <f>IF(EB7-EA7&gt;=28,'Project Assumptions'!$I$28*'Start-up Cashflow'!EB$9,'Project Assumptions'!$I$28*'Start-up Cashflow'!EB$9*((EB7-EA7)/30.4375))</f>
        <v>987.16800000000001</v>
      </c>
      <c r="EC12" s="351">
        <f>IF(EC7-EB7&gt;=28,'Project Assumptions'!$I$28*'Start-up Cashflow'!EC$9,'Project Assumptions'!$I$28*'Start-up Cashflow'!EC$9*((EC7-EB7)/30.4375))</f>
        <v>987.16800000000001</v>
      </c>
      <c r="ED12" s="351">
        <f>IF(ED7-EC7&gt;=28,'Project Assumptions'!$I$28*'Start-up Cashflow'!ED$9,'Project Assumptions'!$I$28*'Start-up Cashflow'!ED$9*((ED7-EC7)/30.4375))</f>
        <v>987.16800000000001</v>
      </c>
      <c r="EE12" s="351">
        <f>IF(EE7-ED7&gt;=28,'Project Assumptions'!$I$28*'Start-up Cashflow'!EE$9,'Project Assumptions'!$I$28*'Start-up Cashflow'!EE$9*((EE7-ED7)/30.4375))</f>
        <v>987.16800000000001</v>
      </c>
      <c r="EF12" s="351">
        <f>IF(EF7-EE7&gt;=28,'Project Assumptions'!$I$28*'Start-up Cashflow'!EF$9,'Project Assumptions'!$I$28*'Start-up Cashflow'!EF$9*((EF7-EE7)/30.4375))</f>
        <v>987.16800000000001</v>
      </c>
      <c r="EG12" s="351">
        <f>IF(EG7-EF7&gt;=28,'Project Assumptions'!$I$28*'Start-up Cashflow'!EG$9,'Project Assumptions'!$I$28*'Start-up Cashflow'!EG$9*((EG7-EF7)/30.4375))</f>
        <v>987.16800000000001</v>
      </c>
      <c r="EH12" s="351">
        <f>IF(EH7-EG7&gt;=28,'Project Assumptions'!$I$28*'Start-up Cashflow'!EH$9,'Project Assumptions'!$I$28*'Start-up Cashflow'!EH$9*((EH7-EG7)/30.4375))</f>
        <v>987.16800000000001</v>
      </c>
      <c r="EI12" s="351">
        <f>IF(EI7-EH7&gt;=28,'Project Assumptions'!$I$28*'Start-up Cashflow'!EI$9,'Project Assumptions'!$I$28*'Start-up Cashflow'!EI$9*((EI7-EH7)/30.4375))</f>
        <v>987.16800000000001</v>
      </c>
      <c r="EJ12" s="351">
        <f>IF(EJ7-EI7&gt;=28,'Project Assumptions'!$I$28*'Start-up Cashflow'!EJ$9,'Project Assumptions'!$I$28*'Start-up Cashflow'!EJ$9*((EJ7-EI7)/30.4375))</f>
        <v>987.16800000000001</v>
      </c>
      <c r="EK12" s="351">
        <f>IF(EK7-EJ7&gt;=28,'Project Assumptions'!$I$28*'Start-up Cashflow'!EK$9,'Project Assumptions'!$I$28*'Start-up Cashflow'!EK$9*((EK7-EJ7)/30.4375))</f>
        <v>987.16800000000001</v>
      </c>
      <c r="EL12" s="351">
        <f>IF(EL7-EK7&gt;=28,'Project Assumptions'!$I$28*'Start-up Cashflow'!EL$9,'Project Assumptions'!$I$28*'Start-up Cashflow'!EL$9*((EL7-EK7)/30.4375))</f>
        <v>987.16800000000001</v>
      </c>
      <c r="EM12" s="351">
        <f>IF(EM7-EL7&gt;=28,'Project Assumptions'!$I$28*'Start-up Cashflow'!EM$9,'Project Assumptions'!$I$28*'Start-up Cashflow'!EM$9*((EM7-EL7)/30.4375))</f>
        <v>987.16800000000001</v>
      </c>
      <c r="EN12" s="351">
        <f>IF(EN7-EM7&gt;=28,'Project Assumptions'!$I$28*'Start-up Cashflow'!EN$9,'Project Assumptions'!$I$28*'Start-up Cashflow'!EN$9*((EN7-EM7)/30.4375))</f>
        <v>987.16800000000001</v>
      </c>
      <c r="EO12" s="351">
        <f>IF(EO7-EN7&gt;=28,'Project Assumptions'!$I$28*'Start-up Cashflow'!EO$9,'Project Assumptions'!$I$28*'Start-up Cashflow'!EO$9*((EO7-EN7)/30.4375))</f>
        <v>987.16800000000001</v>
      </c>
      <c r="EP12" s="351">
        <f>IF(EP7-EO7&gt;=28,'Project Assumptions'!$I$28*'Start-up Cashflow'!EP$9,'Project Assumptions'!$I$28*'Start-up Cashflow'!EP$9*((EP7-EO7)/30.4375))</f>
        <v>987.16800000000001</v>
      </c>
      <c r="EQ12" s="351">
        <f>IF(EQ7-EP7&gt;=28,'Project Assumptions'!$I$28*'Start-up Cashflow'!EQ$9,'Project Assumptions'!$I$28*'Start-up Cashflow'!EQ$9*((EQ7-EP7)/30.4375))</f>
        <v>987.16800000000001</v>
      </c>
      <c r="ER12" s="351">
        <f>IF(ER7-EQ7&gt;=28,'Project Assumptions'!$I$28*'Start-up Cashflow'!ER$9,'Project Assumptions'!$I$28*'Start-up Cashflow'!ER$9*((ER7-EQ7)/30.4375))</f>
        <v>987.16800000000001</v>
      </c>
      <c r="ES12" s="351">
        <f>IF(ES7-ER7&gt;=28,'Project Assumptions'!$I$28*'Start-up Cashflow'!ES$9,'Project Assumptions'!$I$28*'Start-up Cashflow'!ES$9*((ES7-ER7)/30.4375))</f>
        <v>987.16800000000001</v>
      </c>
      <c r="ET12" s="351">
        <f>IF(ET7-ES7&gt;=28,'Project Assumptions'!$I$28*'Start-up Cashflow'!ET$9,'Project Assumptions'!$I$28*'Start-up Cashflow'!ET$9*((ET7-ES7)/30.4375))</f>
        <v>987.16800000000001</v>
      </c>
      <c r="EU12" s="351">
        <f>IF(EU7-ET7&gt;=28,'Project Assumptions'!$I$28*'Start-up Cashflow'!EU$9,'Project Assumptions'!$I$28*'Start-up Cashflow'!EU$9*((EU7-ET7)/30.4375))</f>
        <v>987.16800000000001</v>
      </c>
      <c r="EV12" s="351">
        <f>IF(EV7-EU7&gt;=28,'Project Assumptions'!$I$28*'Start-up Cashflow'!EV$9,'Project Assumptions'!$I$28*'Start-up Cashflow'!EV$9*((EV7-EU7)/30.4375))</f>
        <v>987.16800000000001</v>
      </c>
      <c r="EW12" s="351">
        <f>IF(EW7-EV7&gt;=28,'Project Assumptions'!$I$28*'Start-up Cashflow'!EW$9,'Project Assumptions'!$I$28*'Start-up Cashflow'!EW$9*((EW7-EV7)/30.4375))</f>
        <v>987.16800000000001</v>
      </c>
      <c r="EX12" s="351">
        <f>IF(EX7-EW7&gt;=28,'Project Assumptions'!$I$28*'Start-up Cashflow'!EX$9,'Project Assumptions'!$I$28*'Start-up Cashflow'!EX$9*((EX7-EW7)/30.4375))</f>
        <v>987.16800000000001</v>
      </c>
      <c r="EY12" s="351">
        <f>IF(EY7-EX7&gt;=28,'Project Assumptions'!$I$28*'Start-up Cashflow'!EY$9,'Project Assumptions'!$I$28*'Start-up Cashflow'!EY$9*((EY7-EX7)/30.4375))</f>
        <v>987.16800000000001</v>
      </c>
      <c r="EZ12" s="351">
        <f>IF(EZ7-EY7&gt;=28,'Project Assumptions'!$I$28*'Start-up Cashflow'!EZ$9,'Project Assumptions'!$I$28*'Start-up Cashflow'!EZ$9*((EZ7-EY7)/30.4375))</f>
        <v>987.16800000000001</v>
      </c>
      <c r="FA12" s="351">
        <f>IF(FA7-EZ7&gt;=28,'Project Assumptions'!$I$28*'Start-up Cashflow'!FA$9,'Project Assumptions'!$I$28*'Start-up Cashflow'!FA$9*((FA7-EZ7)/30.4375))</f>
        <v>987.16800000000001</v>
      </c>
      <c r="FB12" s="351">
        <f>IF(FB7-FA7&gt;=28,'Project Assumptions'!$I$28*'Start-up Cashflow'!FB$9,'Project Assumptions'!$I$28*'Start-up Cashflow'!FB$9*((FB7-FA7)/30.4375))</f>
        <v>987.16800000000001</v>
      </c>
      <c r="FC12" s="351">
        <f>IF(FC7-FB7&gt;=28,'Project Assumptions'!$I$28*'Start-up Cashflow'!FC$9,'Project Assumptions'!$I$28*'Start-up Cashflow'!FC$9*((FC7-FB7)/30.4375))</f>
        <v>987.16800000000001</v>
      </c>
      <c r="FD12" s="351">
        <f>IF(FD7-FC7&gt;=28,'Project Assumptions'!$I$28*'Start-up Cashflow'!FD$9,'Project Assumptions'!$I$28*'Start-up Cashflow'!FD$9*((FD7-FC7)/30.4375))</f>
        <v>987.16800000000001</v>
      </c>
      <c r="FE12" s="351">
        <f>IF(FE7-FD7&gt;=28,'Project Assumptions'!$I$28*'Start-up Cashflow'!FE$9,'Project Assumptions'!$I$28*'Start-up Cashflow'!FE$9*((FE7-FD7)/30.4375))</f>
        <v>987.16800000000001</v>
      </c>
      <c r="FF12" s="351">
        <f>IF(FF7-FE7&gt;=28,'Project Assumptions'!$I$28*'Start-up Cashflow'!FF$9,'Project Assumptions'!$I$28*'Start-up Cashflow'!FF$9*((FF7-FE7)/30.4375))</f>
        <v>987.16800000000001</v>
      </c>
      <c r="FG12" s="351">
        <f>IF(FG7-FF7&gt;=28,'Project Assumptions'!$I$28*'Start-up Cashflow'!FG$9,'Project Assumptions'!$I$28*'Start-up Cashflow'!FG$9*((FG7-FF7)/30.4375))</f>
        <v>987.16800000000001</v>
      </c>
      <c r="FH12" s="351">
        <f>IF(FH7-FG7&gt;=28,'Project Assumptions'!$I$28*'Start-up Cashflow'!FH$9,'Project Assumptions'!$I$28*'Start-up Cashflow'!FH$9*((FH7-FG7)/30.4375))</f>
        <v>987.16800000000001</v>
      </c>
      <c r="FI12" s="351">
        <f>IF(FI7-FH7&gt;=28,'Project Assumptions'!$I$28*'Start-up Cashflow'!FI$9,'Project Assumptions'!$I$28*'Start-up Cashflow'!FI$9*((FI7-FH7)/30.4375))</f>
        <v>987.16800000000001</v>
      </c>
      <c r="FJ12" s="351">
        <f>IF(FJ7-FI7&gt;=28,'Project Assumptions'!$I$28*'Start-up Cashflow'!FJ$9,'Project Assumptions'!$I$28*'Start-up Cashflow'!FJ$9*((FJ7-FI7)/30.4375))</f>
        <v>987.16800000000001</v>
      </c>
      <c r="FK12" s="351">
        <f>IF(FK7-FJ7&gt;=28,'Project Assumptions'!$I$28*'Start-up Cashflow'!FK$9,'Project Assumptions'!$I$28*'Start-up Cashflow'!FK$9*((FK7-FJ7)/30.4375))</f>
        <v>987.16800000000001</v>
      </c>
      <c r="FL12" s="351">
        <f>IF(FL7-FK7&gt;=28,'Project Assumptions'!$I$28*'Start-up Cashflow'!FL$9,'Project Assumptions'!$I$28*'Start-up Cashflow'!FL$9*((FL7-FK7)/30.4375))</f>
        <v>987.16800000000001</v>
      </c>
      <c r="FM12" s="351">
        <f>IF(FM7-FL7&gt;=28,'Project Assumptions'!$I$28*'Start-up Cashflow'!FM$9,'Project Assumptions'!$I$28*'Start-up Cashflow'!FM$9*((FM7-FL7)/30.4375))</f>
        <v>987.16800000000001</v>
      </c>
      <c r="FN12" s="351">
        <f>IF(FN7-FM7&gt;=28,'Project Assumptions'!$I$28*'Start-up Cashflow'!FN$9,'Project Assumptions'!$I$28*'Start-up Cashflow'!FN$9*((FN7-FM7)/30.4375))</f>
        <v>987.16800000000001</v>
      </c>
      <c r="FO12" s="351">
        <f>IF(FO7-FN7&gt;=28,'Project Assumptions'!$I$28*'Start-up Cashflow'!FO$9,'Project Assumptions'!$I$28*'Start-up Cashflow'!FO$9*((FO7-FN7)/30.4375))</f>
        <v>987.16800000000001</v>
      </c>
      <c r="FP12" s="351">
        <f>IF(FP7-FO7&gt;=28,'Project Assumptions'!$I$28*'Start-up Cashflow'!FP$9,'Project Assumptions'!$I$28*'Start-up Cashflow'!FP$9*((FP7-FO7)/30.4375))</f>
        <v>987.16800000000001</v>
      </c>
      <c r="FQ12" s="351">
        <f>IF(FQ7-FP7&gt;=28,'Project Assumptions'!$I$28*'Start-up Cashflow'!FQ$9,'Project Assumptions'!$I$28*'Start-up Cashflow'!FQ$9*((FQ7-FP7)/30.4375))</f>
        <v>987.16800000000001</v>
      </c>
      <c r="FR12" s="351">
        <f>IF(FR7-FQ7&gt;=28,'Project Assumptions'!$I$28*'Start-up Cashflow'!FR$9,'Project Assumptions'!$I$28*'Start-up Cashflow'!FR$9*((FR7-FQ7)/30.4375))</f>
        <v>987.16800000000001</v>
      </c>
      <c r="FS12" s="351">
        <f>IF(FS7-FR7&gt;=28,'Project Assumptions'!$I$28*'Start-up Cashflow'!FS$9,'Project Assumptions'!$I$28*'Start-up Cashflow'!FS$9*((FS7-FR7)/30.4375))</f>
        <v>987.16800000000001</v>
      </c>
      <c r="FT12" s="351">
        <f>IF(FT7-FS7&gt;=28,'Project Assumptions'!$I$28*'Start-up Cashflow'!FT$9,'Project Assumptions'!$I$28*'Start-up Cashflow'!FT$9*((FT7-FS7)/30.4375))</f>
        <v>987.16800000000001</v>
      </c>
      <c r="FU12" s="351">
        <f>IF(FU7-FT7&gt;=28,'Project Assumptions'!$I$28*'Start-up Cashflow'!FU$9,'Project Assumptions'!$I$28*'Start-up Cashflow'!FU$9*((FU7-FT7)/30.4375))</f>
        <v>987.16800000000001</v>
      </c>
      <c r="FV12" s="351">
        <f>IF(FV7-FU7&gt;=28,'Project Assumptions'!$I$28*'Start-up Cashflow'!FV$9,'Project Assumptions'!$I$28*'Start-up Cashflow'!FV$9*((FV7-FU7)/30.4375))</f>
        <v>987.16800000000001</v>
      </c>
      <c r="FW12" s="351">
        <f>IF(FW7-FV7&gt;=28,'Project Assumptions'!$I$28*'Start-up Cashflow'!FW$9,'Project Assumptions'!$I$28*'Start-up Cashflow'!FW$9*((FW7-FV7)/30.4375))</f>
        <v>987.16800000000001</v>
      </c>
      <c r="FX12" s="351">
        <f>IF(FX7-FW7&gt;=28,'Project Assumptions'!$I$28*'Start-up Cashflow'!FX$9,'Project Assumptions'!$I$28*'Start-up Cashflow'!FX$9*((FX7-FW7)/30.4375))</f>
        <v>987.16800000000001</v>
      </c>
      <c r="FY12" s="351">
        <f>IF(FY7-FX7&gt;=28,'Project Assumptions'!$I$28*'Start-up Cashflow'!FY$9,'Project Assumptions'!$I$28*'Start-up Cashflow'!FY$9*((FY7-FX7)/30.4375))</f>
        <v>987.16800000000001</v>
      </c>
      <c r="FZ12" s="351">
        <f>IF(FZ7-FY7&gt;=28,'Project Assumptions'!$I$28*'Start-up Cashflow'!FZ$9,'Project Assumptions'!$I$28*'Start-up Cashflow'!FZ$9*((FZ7-FY7)/30.4375))</f>
        <v>987.16800000000001</v>
      </c>
      <c r="GA12" s="351">
        <f>IF(GA7-FZ7&gt;=28,'Project Assumptions'!$I$28*'Start-up Cashflow'!GA$9,'Project Assumptions'!$I$28*'Start-up Cashflow'!GA$9*((GA7-FZ7)/30.4375))</f>
        <v>987.16800000000001</v>
      </c>
      <c r="GB12" s="351">
        <f>IF(GB7-GA7&gt;=28,'Project Assumptions'!$I$28*'Start-up Cashflow'!GB$9,'Project Assumptions'!$I$28*'Start-up Cashflow'!GB$9*((GB7-GA7)/30.4375))</f>
        <v>987.16800000000001</v>
      </c>
      <c r="GC12" s="351">
        <f>IF(GC7-GB7&gt;=28,'Project Assumptions'!$I$28*'Start-up Cashflow'!GC$9,'Project Assumptions'!$I$28*'Start-up Cashflow'!GC$9*((GC7-GB7)/30.4375))</f>
        <v>987.16800000000001</v>
      </c>
      <c r="GD12" s="351">
        <f>IF(GD7-GC7&gt;=28,'Project Assumptions'!$I$28*'Start-up Cashflow'!GD$9,'Project Assumptions'!$I$28*'Start-up Cashflow'!GD$9*((GD7-GC7)/30.4375))</f>
        <v>987.16800000000001</v>
      </c>
      <c r="GE12" s="351">
        <f>IF(GE7-GD7&gt;=28,'Project Assumptions'!$I$28*'Start-up Cashflow'!GE$9,'Project Assumptions'!$I$28*'Start-up Cashflow'!GE$9*((GE7-GD7)/30.4375))</f>
        <v>987.16800000000001</v>
      </c>
      <c r="GF12" s="351">
        <f>IF(GF7-GE7&gt;=28,'Project Assumptions'!$I$28*'Start-up Cashflow'!GF$9,'Project Assumptions'!$I$28*'Start-up Cashflow'!GF$9*((GF7-GE7)/30.4375))</f>
        <v>987.16800000000001</v>
      </c>
      <c r="GG12" s="351">
        <f>IF(GG7-GF7&gt;=28,'Project Assumptions'!$I$28*'Start-up Cashflow'!GG$9,'Project Assumptions'!$I$28*'Start-up Cashflow'!GG$9*((GG7-GF7)/30.4375))</f>
        <v>987.16800000000001</v>
      </c>
      <c r="GH12" s="212"/>
      <c r="GI12" s="212"/>
      <c r="GJ12" s="212"/>
      <c r="GK12" s="212"/>
      <c r="GL12" s="212"/>
      <c r="GM12" s="212"/>
      <c r="GN12" s="212"/>
      <c r="GO12" s="212"/>
      <c r="GP12" s="212"/>
      <c r="GQ12" s="212"/>
      <c r="GR12" s="212"/>
      <c r="GS12" s="212"/>
      <c r="GT12" s="212"/>
      <c r="GU12" s="212"/>
      <c r="GV12" s="212"/>
      <c r="GW12" s="212"/>
      <c r="GX12" s="212"/>
      <c r="GY12" s="212"/>
      <c r="GZ12" s="212"/>
      <c r="HA12" s="212"/>
      <c r="HB12" s="212"/>
      <c r="HC12" s="212"/>
      <c r="HD12" s="212"/>
      <c r="HE12" s="212"/>
      <c r="HF12" s="212"/>
      <c r="HG12" s="212"/>
      <c r="HH12" s="212"/>
      <c r="HI12" s="212"/>
      <c r="HJ12" s="212"/>
      <c r="HK12" s="212"/>
      <c r="HL12" s="212"/>
      <c r="HM12" s="212"/>
      <c r="HN12" s="212"/>
      <c r="HO12" s="212"/>
      <c r="HP12" s="212"/>
      <c r="HQ12" s="212"/>
      <c r="HR12" s="212"/>
      <c r="HS12" s="212"/>
      <c r="HT12" s="212"/>
      <c r="HU12" s="212"/>
    </row>
    <row r="13" spans="1:229">
      <c r="A13" s="211" t="s">
        <v>42</v>
      </c>
      <c r="B13" s="211"/>
      <c r="C13" s="212"/>
      <c r="D13" s="213">
        <f t="shared" ref="D13:AI13" si="6">SUM(D12:D12)</f>
        <v>282.62715400410679</v>
      </c>
      <c r="E13" s="213">
        <f t="shared" si="6"/>
        <v>537.654</v>
      </c>
      <c r="F13" s="213">
        <f t="shared" si="6"/>
        <v>762.41100000000006</v>
      </c>
      <c r="G13" s="213">
        <f t="shared" si="6"/>
        <v>0</v>
      </c>
      <c r="H13" s="213">
        <f t="shared" si="6"/>
        <v>762.41100000000006</v>
      </c>
      <c r="I13" s="213">
        <f t="shared" si="6"/>
        <v>0</v>
      </c>
      <c r="J13" s="213">
        <f t="shared" si="6"/>
        <v>987.16800000000001</v>
      </c>
      <c r="K13" s="213">
        <f t="shared" si="6"/>
        <v>987.16800000000001</v>
      </c>
      <c r="L13" s="213">
        <f t="shared" si="6"/>
        <v>987.16800000000001</v>
      </c>
      <c r="M13" s="213">
        <f t="shared" si="6"/>
        <v>987.16800000000001</v>
      </c>
      <c r="N13" s="213">
        <f t="shared" si="6"/>
        <v>987.16800000000001</v>
      </c>
      <c r="O13" s="213">
        <f t="shared" si="6"/>
        <v>987.16800000000001</v>
      </c>
      <c r="P13" s="213">
        <f t="shared" si="6"/>
        <v>987.16800000000001</v>
      </c>
      <c r="Q13" s="213">
        <f t="shared" si="6"/>
        <v>987.16800000000001</v>
      </c>
      <c r="R13" s="213">
        <f t="shared" si="6"/>
        <v>987.16800000000001</v>
      </c>
      <c r="S13" s="213">
        <f t="shared" si="6"/>
        <v>987.16800000000001</v>
      </c>
      <c r="T13" s="213">
        <f t="shared" si="6"/>
        <v>987.16800000000001</v>
      </c>
      <c r="U13" s="213">
        <f t="shared" si="6"/>
        <v>987.16800000000001</v>
      </c>
      <c r="V13" s="213">
        <f t="shared" si="6"/>
        <v>987.16800000000001</v>
      </c>
      <c r="W13" s="213">
        <f t="shared" si="6"/>
        <v>987.16800000000001</v>
      </c>
      <c r="X13" s="213">
        <f t="shared" si="6"/>
        <v>987.16800000000001</v>
      </c>
      <c r="Y13" s="213">
        <f t="shared" si="6"/>
        <v>987.16800000000001</v>
      </c>
      <c r="Z13" s="213">
        <f t="shared" si="6"/>
        <v>987.16800000000001</v>
      </c>
      <c r="AA13" s="213">
        <f t="shared" si="6"/>
        <v>987.16800000000001</v>
      </c>
      <c r="AB13" s="213">
        <f t="shared" si="6"/>
        <v>987.16800000000001</v>
      </c>
      <c r="AC13" s="213">
        <f t="shared" si="6"/>
        <v>987.16800000000001</v>
      </c>
      <c r="AD13" s="213">
        <f t="shared" si="6"/>
        <v>987.16800000000001</v>
      </c>
      <c r="AE13" s="213">
        <f t="shared" si="6"/>
        <v>987.16800000000001</v>
      </c>
      <c r="AF13" s="213">
        <f t="shared" si="6"/>
        <v>987.16800000000001</v>
      </c>
      <c r="AG13" s="213">
        <f t="shared" si="6"/>
        <v>987.16800000000001</v>
      </c>
      <c r="AH13" s="213">
        <f t="shared" si="6"/>
        <v>987.16800000000001</v>
      </c>
      <c r="AI13" s="213">
        <f t="shared" si="6"/>
        <v>987.16800000000001</v>
      </c>
      <c r="AJ13" s="213">
        <f t="shared" ref="AJ13:BO13" si="7">SUM(AJ12:AJ12)</f>
        <v>987.16800000000001</v>
      </c>
      <c r="AK13" s="213">
        <f t="shared" si="7"/>
        <v>987.16800000000001</v>
      </c>
      <c r="AL13" s="213">
        <f t="shared" si="7"/>
        <v>987.16800000000001</v>
      </c>
      <c r="AM13" s="213">
        <f t="shared" si="7"/>
        <v>987.16800000000001</v>
      </c>
      <c r="AN13" s="213">
        <f t="shared" si="7"/>
        <v>987.16800000000001</v>
      </c>
      <c r="AO13" s="213">
        <f t="shared" si="7"/>
        <v>987.16800000000001</v>
      </c>
      <c r="AP13" s="213">
        <f t="shared" si="7"/>
        <v>987.16800000000001</v>
      </c>
      <c r="AQ13" s="213">
        <f t="shared" si="7"/>
        <v>987.16800000000001</v>
      </c>
      <c r="AR13" s="213">
        <f t="shared" si="7"/>
        <v>987.16800000000001</v>
      </c>
      <c r="AS13" s="213">
        <f t="shared" si="7"/>
        <v>987.16800000000001</v>
      </c>
      <c r="AT13" s="213">
        <f t="shared" si="7"/>
        <v>987.16800000000001</v>
      </c>
      <c r="AU13" s="213">
        <f t="shared" si="7"/>
        <v>987.16800000000001</v>
      </c>
      <c r="AV13" s="213">
        <f t="shared" si="7"/>
        <v>987.16800000000001</v>
      </c>
      <c r="AW13" s="213">
        <f t="shared" si="7"/>
        <v>987.16800000000001</v>
      </c>
      <c r="AX13" s="213">
        <f t="shared" si="7"/>
        <v>987.16800000000001</v>
      </c>
      <c r="AY13" s="213">
        <f t="shared" si="7"/>
        <v>987.16800000000001</v>
      </c>
      <c r="AZ13" s="213">
        <f t="shared" si="7"/>
        <v>987.16800000000001</v>
      </c>
      <c r="BA13" s="213">
        <f t="shared" si="7"/>
        <v>987.16800000000001</v>
      </c>
      <c r="BB13" s="213">
        <f t="shared" si="7"/>
        <v>987.16800000000001</v>
      </c>
      <c r="BC13" s="213">
        <f t="shared" si="7"/>
        <v>987.16800000000001</v>
      </c>
      <c r="BD13" s="213">
        <f t="shared" si="7"/>
        <v>987.16800000000001</v>
      </c>
      <c r="BE13" s="213">
        <f t="shared" si="7"/>
        <v>987.16800000000001</v>
      </c>
      <c r="BF13" s="213">
        <f t="shared" si="7"/>
        <v>987.16800000000001</v>
      </c>
      <c r="BG13" s="213">
        <f t="shared" si="7"/>
        <v>987.16800000000001</v>
      </c>
      <c r="BH13" s="213">
        <f t="shared" si="7"/>
        <v>987.16800000000001</v>
      </c>
      <c r="BI13" s="213">
        <f t="shared" si="7"/>
        <v>987.16800000000001</v>
      </c>
      <c r="BJ13" s="213">
        <f t="shared" si="7"/>
        <v>987.16800000000001</v>
      </c>
      <c r="BK13" s="213">
        <f t="shared" si="7"/>
        <v>987.16800000000001</v>
      </c>
      <c r="BL13" s="213">
        <f t="shared" si="7"/>
        <v>987.16800000000001</v>
      </c>
      <c r="BM13" s="213">
        <f t="shared" si="7"/>
        <v>987.16800000000001</v>
      </c>
      <c r="BN13" s="213">
        <f t="shared" si="7"/>
        <v>987.16800000000001</v>
      </c>
      <c r="BO13" s="213">
        <f t="shared" si="7"/>
        <v>987.16800000000001</v>
      </c>
      <c r="BP13" s="213">
        <f t="shared" ref="BP13:CU13" si="8">SUM(BP12:BP12)</f>
        <v>987.16800000000001</v>
      </c>
      <c r="BQ13" s="213">
        <f t="shared" si="8"/>
        <v>987.16800000000001</v>
      </c>
      <c r="BR13" s="213">
        <f t="shared" si="8"/>
        <v>987.16800000000001</v>
      </c>
      <c r="BS13" s="213">
        <f t="shared" si="8"/>
        <v>987.16800000000001</v>
      </c>
      <c r="BT13" s="213">
        <f t="shared" si="8"/>
        <v>987.16800000000001</v>
      </c>
      <c r="BU13" s="213">
        <f t="shared" si="8"/>
        <v>987.16800000000001</v>
      </c>
      <c r="BV13" s="213">
        <f t="shared" si="8"/>
        <v>987.16800000000001</v>
      </c>
      <c r="BW13" s="213">
        <f t="shared" si="8"/>
        <v>987.16800000000001</v>
      </c>
      <c r="BX13" s="213">
        <f t="shared" si="8"/>
        <v>987.16800000000001</v>
      </c>
      <c r="BY13" s="213">
        <f t="shared" si="8"/>
        <v>987.16800000000001</v>
      </c>
      <c r="BZ13" s="213">
        <f t="shared" si="8"/>
        <v>987.16800000000001</v>
      </c>
      <c r="CA13" s="213">
        <f t="shared" si="8"/>
        <v>987.16800000000001</v>
      </c>
      <c r="CB13" s="213">
        <f t="shared" si="8"/>
        <v>987.16800000000001</v>
      </c>
      <c r="CC13" s="213">
        <f t="shared" si="8"/>
        <v>987.16800000000001</v>
      </c>
      <c r="CD13" s="213">
        <f t="shared" si="8"/>
        <v>987.16800000000001</v>
      </c>
      <c r="CE13" s="213">
        <f t="shared" si="8"/>
        <v>987.16800000000001</v>
      </c>
      <c r="CF13" s="213">
        <f t="shared" si="8"/>
        <v>987.16800000000001</v>
      </c>
      <c r="CG13" s="213">
        <f t="shared" si="8"/>
        <v>987.16800000000001</v>
      </c>
      <c r="CH13" s="213">
        <f t="shared" si="8"/>
        <v>987.16800000000001</v>
      </c>
      <c r="CI13" s="213">
        <f t="shared" si="8"/>
        <v>987.16800000000001</v>
      </c>
      <c r="CJ13" s="213">
        <f t="shared" si="8"/>
        <v>987.16800000000001</v>
      </c>
      <c r="CK13" s="213">
        <f t="shared" si="8"/>
        <v>987.16800000000001</v>
      </c>
      <c r="CL13" s="213">
        <f t="shared" si="8"/>
        <v>987.16800000000001</v>
      </c>
      <c r="CM13" s="213">
        <f t="shared" si="8"/>
        <v>987.16800000000001</v>
      </c>
      <c r="CN13" s="213">
        <f t="shared" si="8"/>
        <v>987.16800000000001</v>
      </c>
      <c r="CO13" s="213">
        <f t="shared" si="8"/>
        <v>987.16800000000001</v>
      </c>
      <c r="CP13" s="213">
        <f t="shared" si="8"/>
        <v>987.16800000000001</v>
      </c>
      <c r="CQ13" s="213">
        <f t="shared" si="8"/>
        <v>987.16800000000001</v>
      </c>
      <c r="CR13" s="213">
        <f t="shared" si="8"/>
        <v>987.16800000000001</v>
      </c>
      <c r="CS13" s="213">
        <f t="shared" si="8"/>
        <v>987.16800000000001</v>
      </c>
      <c r="CT13" s="213">
        <f t="shared" si="8"/>
        <v>987.16800000000001</v>
      </c>
      <c r="CU13" s="213">
        <f t="shared" si="8"/>
        <v>987.16800000000001</v>
      </c>
      <c r="CV13" s="213">
        <f t="shared" ref="CV13:EA13" si="9">SUM(CV12:CV12)</f>
        <v>987.16800000000001</v>
      </c>
      <c r="CW13" s="213">
        <f t="shared" si="9"/>
        <v>987.16800000000001</v>
      </c>
      <c r="CX13" s="213">
        <f t="shared" si="9"/>
        <v>987.16800000000001</v>
      </c>
      <c r="CY13" s="213">
        <f t="shared" si="9"/>
        <v>987.16800000000001</v>
      </c>
      <c r="CZ13" s="213">
        <f t="shared" si="9"/>
        <v>987.16800000000001</v>
      </c>
      <c r="DA13" s="213">
        <f t="shared" si="9"/>
        <v>987.16800000000001</v>
      </c>
      <c r="DB13" s="213">
        <f t="shared" si="9"/>
        <v>987.16800000000001</v>
      </c>
      <c r="DC13" s="213">
        <f t="shared" si="9"/>
        <v>987.16800000000001</v>
      </c>
      <c r="DD13" s="213">
        <f t="shared" si="9"/>
        <v>987.16800000000001</v>
      </c>
      <c r="DE13" s="213">
        <f t="shared" si="9"/>
        <v>987.16800000000001</v>
      </c>
      <c r="DF13" s="213">
        <f t="shared" si="9"/>
        <v>987.16800000000001</v>
      </c>
      <c r="DG13" s="213">
        <f t="shared" si="9"/>
        <v>987.16800000000001</v>
      </c>
      <c r="DH13" s="213">
        <f t="shared" si="9"/>
        <v>987.16800000000001</v>
      </c>
      <c r="DI13" s="213">
        <f t="shared" si="9"/>
        <v>987.16800000000001</v>
      </c>
      <c r="DJ13" s="213">
        <f t="shared" si="9"/>
        <v>987.16800000000001</v>
      </c>
      <c r="DK13" s="213">
        <f t="shared" si="9"/>
        <v>987.16800000000001</v>
      </c>
      <c r="DL13" s="213">
        <f t="shared" si="9"/>
        <v>987.16800000000001</v>
      </c>
      <c r="DM13" s="213">
        <f t="shared" si="9"/>
        <v>987.16800000000001</v>
      </c>
      <c r="DN13" s="213">
        <f t="shared" si="9"/>
        <v>987.16800000000001</v>
      </c>
      <c r="DO13" s="213">
        <f t="shared" si="9"/>
        <v>987.16800000000001</v>
      </c>
      <c r="DP13" s="213">
        <f t="shared" si="9"/>
        <v>987.16800000000001</v>
      </c>
      <c r="DQ13" s="213">
        <f t="shared" si="9"/>
        <v>987.16800000000001</v>
      </c>
      <c r="DR13" s="213">
        <f t="shared" si="9"/>
        <v>987.16800000000001</v>
      </c>
      <c r="DS13" s="213">
        <f t="shared" si="9"/>
        <v>987.16800000000001</v>
      </c>
      <c r="DT13" s="213">
        <f t="shared" si="9"/>
        <v>987.16800000000001</v>
      </c>
      <c r="DU13" s="213">
        <f t="shared" si="9"/>
        <v>987.16800000000001</v>
      </c>
      <c r="DV13" s="213">
        <f t="shared" si="9"/>
        <v>987.16800000000001</v>
      </c>
      <c r="DW13" s="213">
        <f t="shared" si="9"/>
        <v>987.16800000000001</v>
      </c>
      <c r="DX13" s="213">
        <f t="shared" si="9"/>
        <v>987.16800000000001</v>
      </c>
      <c r="DY13" s="213">
        <f t="shared" si="9"/>
        <v>987.16800000000001</v>
      </c>
      <c r="DZ13" s="213">
        <f t="shared" si="9"/>
        <v>987.16800000000001</v>
      </c>
      <c r="EA13" s="213">
        <f t="shared" si="9"/>
        <v>987.16800000000001</v>
      </c>
      <c r="EB13" s="213">
        <f t="shared" ref="EB13:FG13" si="10">SUM(EB12:EB12)</f>
        <v>987.16800000000001</v>
      </c>
      <c r="EC13" s="213">
        <f t="shared" si="10"/>
        <v>987.16800000000001</v>
      </c>
      <c r="ED13" s="213">
        <f t="shared" si="10"/>
        <v>987.16800000000001</v>
      </c>
      <c r="EE13" s="213">
        <f t="shared" si="10"/>
        <v>987.16800000000001</v>
      </c>
      <c r="EF13" s="213">
        <f t="shared" si="10"/>
        <v>987.16800000000001</v>
      </c>
      <c r="EG13" s="213">
        <f t="shared" si="10"/>
        <v>987.16800000000001</v>
      </c>
      <c r="EH13" s="213">
        <f t="shared" si="10"/>
        <v>987.16800000000001</v>
      </c>
      <c r="EI13" s="213">
        <f t="shared" si="10"/>
        <v>987.16800000000001</v>
      </c>
      <c r="EJ13" s="213">
        <f t="shared" si="10"/>
        <v>987.16800000000001</v>
      </c>
      <c r="EK13" s="213">
        <f t="shared" si="10"/>
        <v>987.16800000000001</v>
      </c>
      <c r="EL13" s="213">
        <f t="shared" si="10"/>
        <v>987.16800000000001</v>
      </c>
      <c r="EM13" s="213">
        <f t="shared" si="10"/>
        <v>987.16800000000001</v>
      </c>
      <c r="EN13" s="213">
        <f t="shared" si="10"/>
        <v>987.16800000000001</v>
      </c>
      <c r="EO13" s="213">
        <f t="shared" si="10"/>
        <v>987.16800000000001</v>
      </c>
      <c r="EP13" s="213">
        <f t="shared" si="10"/>
        <v>987.16800000000001</v>
      </c>
      <c r="EQ13" s="213">
        <f t="shared" si="10"/>
        <v>987.16800000000001</v>
      </c>
      <c r="ER13" s="213">
        <f t="shared" si="10"/>
        <v>987.16800000000001</v>
      </c>
      <c r="ES13" s="213">
        <f t="shared" si="10"/>
        <v>987.16800000000001</v>
      </c>
      <c r="ET13" s="213">
        <f t="shared" si="10"/>
        <v>987.16800000000001</v>
      </c>
      <c r="EU13" s="213">
        <f t="shared" si="10"/>
        <v>987.16800000000001</v>
      </c>
      <c r="EV13" s="213">
        <f t="shared" si="10"/>
        <v>987.16800000000001</v>
      </c>
      <c r="EW13" s="213">
        <f t="shared" si="10"/>
        <v>987.16800000000001</v>
      </c>
      <c r="EX13" s="213">
        <f t="shared" si="10"/>
        <v>987.16800000000001</v>
      </c>
      <c r="EY13" s="213">
        <f t="shared" si="10"/>
        <v>987.16800000000001</v>
      </c>
      <c r="EZ13" s="213">
        <f t="shared" si="10"/>
        <v>987.16800000000001</v>
      </c>
      <c r="FA13" s="213">
        <f t="shared" si="10"/>
        <v>987.16800000000001</v>
      </c>
      <c r="FB13" s="213">
        <f t="shared" si="10"/>
        <v>987.16800000000001</v>
      </c>
      <c r="FC13" s="213">
        <f t="shared" si="10"/>
        <v>987.16800000000001</v>
      </c>
      <c r="FD13" s="213">
        <f t="shared" si="10"/>
        <v>987.16800000000001</v>
      </c>
      <c r="FE13" s="213">
        <f t="shared" si="10"/>
        <v>987.16800000000001</v>
      </c>
      <c r="FF13" s="213">
        <f t="shared" si="10"/>
        <v>987.16800000000001</v>
      </c>
      <c r="FG13" s="213">
        <f t="shared" si="10"/>
        <v>987.16800000000001</v>
      </c>
      <c r="FH13" s="213">
        <f t="shared" ref="FH13:GG13" si="11">SUM(FH12:FH12)</f>
        <v>987.16800000000001</v>
      </c>
      <c r="FI13" s="213">
        <f t="shared" si="11"/>
        <v>987.16800000000001</v>
      </c>
      <c r="FJ13" s="213">
        <f t="shared" si="11"/>
        <v>987.16800000000001</v>
      </c>
      <c r="FK13" s="213">
        <f t="shared" si="11"/>
        <v>987.16800000000001</v>
      </c>
      <c r="FL13" s="213">
        <f t="shared" si="11"/>
        <v>987.16800000000001</v>
      </c>
      <c r="FM13" s="213">
        <f t="shared" si="11"/>
        <v>987.16800000000001</v>
      </c>
      <c r="FN13" s="213">
        <f t="shared" si="11"/>
        <v>987.16800000000001</v>
      </c>
      <c r="FO13" s="213">
        <f t="shared" si="11"/>
        <v>987.16800000000001</v>
      </c>
      <c r="FP13" s="213">
        <f t="shared" si="11"/>
        <v>987.16800000000001</v>
      </c>
      <c r="FQ13" s="213">
        <f t="shared" si="11"/>
        <v>987.16800000000001</v>
      </c>
      <c r="FR13" s="213">
        <f t="shared" si="11"/>
        <v>987.16800000000001</v>
      </c>
      <c r="FS13" s="213">
        <f t="shared" si="11"/>
        <v>987.16800000000001</v>
      </c>
      <c r="FT13" s="213">
        <f t="shared" si="11"/>
        <v>987.16800000000001</v>
      </c>
      <c r="FU13" s="213">
        <f t="shared" si="11"/>
        <v>987.16800000000001</v>
      </c>
      <c r="FV13" s="213">
        <f t="shared" si="11"/>
        <v>987.16800000000001</v>
      </c>
      <c r="FW13" s="213">
        <f t="shared" si="11"/>
        <v>987.16800000000001</v>
      </c>
      <c r="FX13" s="213">
        <f t="shared" si="11"/>
        <v>987.16800000000001</v>
      </c>
      <c r="FY13" s="213">
        <f t="shared" si="11"/>
        <v>987.16800000000001</v>
      </c>
      <c r="FZ13" s="213">
        <f t="shared" si="11"/>
        <v>987.16800000000001</v>
      </c>
      <c r="GA13" s="213">
        <f t="shared" si="11"/>
        <v>987.16800000000001</v>
      </c>
      <c r="GB13" s="213">
        <f t="shared" si="11"/>
        <v>987.16800000000001</v>
      </c>
      <c r="GC13" s="213">
        <f t="shared" si="11"/>
        <v>987.16800000000001</v>
      </c>
      <c r="GD13" s="213">
        <f t="shared" si="11"/>
        <v>987.16800000000001</v>
      </c>
      <c r="GE13" s="213">
        <f t="shared" si="11"/>
        <v>987.16800000000001</v>
      </c>
      <c r="GF13" s="213">
        <f t="shared" si="11"/>
        <v>987.16800000000001</v>
      </c>
      <c r="GG13" s="213">
        <f t="shared" si="11"/>
        <v>987.16800000000001</v>
      </c>
      <c r="GH13" s="212"/>
      <c r="GI13" s="212"/>
      <c r="GJ13" s="212"/>
      <c r="GK13" s="212"/>
      <c r="GL13" s="212"/>
      <c r="GM13" s="212"/>
      <c r="GN13" s="212"/>
      <c r="GO13" s="212"/>
      <c r="GP13" s="212"/>
      <c r="GQ13" s="212"/>
      <c r="GR13" s="212"/>
      <c r="GS13" s="212"/>
      <c r="GT13" s="212"/>
      <c r="GU13" s="212"/>
      <c r="GV13" s="212"/>
      <c r="GW13" s="212"/>
      <c r="GX13" s="212"/>
      <c r="GY13" s="212"/>
      <c r="GZ13" s="212"/>
      <c r="HA13" s="212"/>
      <c r="HB13" s="212"/>
      <c r="HC13" s="212"/>
      <c r="HD13" s="212"/>
      <c r="HE13" s="212"/>
      <c r="HF13" s="212"/>
      <c r="HG13" s="212"/>
      <c r="HH13" s="212"/>
      <c r="HI13" s="212"/>
      <c r="HJ13" s="212"/>
      <c r="HK13" s="212"/>
      <c r="HL13" s="212"/>
      <c r="HM13" s="212"/>
      <c r="HN13" s="212"/>
      <c r="HO13" s="212"/>
      <c r="HP13" s="212"/>
      <c r="HQ13" s="212"/>
      <c r="HR13" s="212"/>
      <c r="HS13" s="212"/>
      <c r="HT13" s="212"/>
      <c r="HU13" s="212"/>
    </row>
    <row r="14" spans="1:229">
      <c r="A14" s="214"/>
      <c r="B14" s="214"/>
      <c r="C14" s="212" t="s">
        <v>92</v>
      </c>
      <c r="D14" s="326"/>
      <c r="E14" s="326"/>
      <c r="F14" s="326"/>
      <c r="G14" s="326"/>
      <c r="H14" s="326"/>
      <c r="I14" s="326"/>
      <c r="J14" s="326"/>
      <c r="K14" s="326"/>
      <c r="L14" s="326"/>
      <c r="M14" s="326"/>
      <c r="N14" s="326"/>
      <c r="O14" s="326"/>
      <c r="P14" s="326"/>
      <c r="Q14" s="326"/>
      <c r="R14" s="326"/>
      <c r="S14" s="326"/>
      <c r="GH14" s="212"/>
      <c r="GI14" s="212"/>
      <c r="GJ14" s="212"/>
      <c r="GK14" s="212"/>
      <c r="GL14" s="212"/>
      <c r="GM14" s="212"/>
      <c r="GN14" s="212"/>
      <c r="GO14" s="212"/>
      <c r="GP14" s="212"/>
      <c r="GQ14" s="212"/>
      <c r="GR14" s="212"/>
      <c r="GS14" s="212"/>
      <c r="GT14" s="212"/>
      <c r="GU14" s="212"/>
      <c r="GV14" s="212"/>
      <c r="GW14" s="212"/>
      <c r="GX14" s="212"/>
      <c r="GY14" s="212"/>
      <c r="GZ14" s="212"/>
      <c r="HA14" s="212"/>
      <c r="HB14" s="212"/>
      <c r="HC14" s="212"/>
      <c r="HD14" s="212"/>
      <c r="HE14" s="212"/>
      <c r="HF14" s="212"/>
      <c r="HG14" s="212"/>
      <c r="HH14" s="212"/>
      <c r="HI14" s="212"/>
      <c r="HJ14" s="212"/>
      <c r="HK14" s="212"/>
      <c r="HL14" s="212"/>
      <c r="HM14" s="212"/>
      <c r="HN14" s="212"/>
      <c r="HO14" s="212"/>
      <c r="HP14" s="212"/>
      <c r="HQ14" s="212"/>
      <c r="HR14" s="212"/>
      <c r="HS14" s="212"/>
      <c r="HT14" s="212"/>
      <c r="HU14" s="212"/>
    </row>
    <row r="15" spans="1:229">
      <c r="A15" s="214"/>
      <c r="B15" s="214"/>
      <c r="C15" s="212"/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GH15" s="212"/>
      <c r="GI15" s="212"/>
      <c r="GJ15" s="212"/>
      <c r="GK15" s="212"/>
      <c r="GL15" s="212"/>
      <c r="GM15" s="212"/>
      <c r="GN15" s="212"/>
      <c r="GO15" s="212"/>
      <c r="GP15" s="212"/>
      <c r="GQ15" s="212"/>
      <c r="GR15" s="212"/>
      <c r="GS15" s="212"/>
      <c r="GT15" s="212"/>
      <c r="GU15" s="212"/>
      <c r="GV15" s="212"/>
      <c r="GW15" s="212"/>
      <c r="GX15" s="212"/>
      <c r="GY15" s="212"/>
      <c r="GZ15" s="212"/>
      <c r="HA15" s="212"/>
      <c r="HB15" s="212"/>
      <c r="HC15" s="212"/>
      <c r="HD15" s="212"/>
      <c r="HE15" s="212"/>
      <c r="HF15" s="212"/>
      <c r="HG15" s="212"/>
      <c r="HH15" s="212"/>
      <c r="HI15" s="212"/>
      <c r="HJ15" s="212"/>
      <c r="HK15" s="212"/>
      <c r="HL15" s="212"/>
      <c r="HM15" s="212"/>
      <c r="HN15" s="212"/>
      <c r="HO15" s="212"/>
      <c r="HP15" s="212"/>
      <c r="HQ15" s="212"/>
      <c r="HR15" s="212"/>
      <c r="HS15" s="212"/>
      <c r="HT15" s="212"/>
      <c r="HU15" s="212"/>
    </row>
    <row r="16" spans="1:229">
      <c r="A16" s="211" t="s">
        <v>378</v>
      </c>
      <c r="B16" s="211"/>
      <c r="C16" s="212"/>
      <c r="D16" s="348"/>
      <c r="E16" s="217"/>
      <c r="F16" s="349"/>
      <c r="G16" s="349"/>
      <c r="H16" s="349"/>
      <c r="I16" s="349"/>
      <c r="J16" s="349"/>
      <c r="K16" s="349"/>
      <c r="L16" s="349"/>
      <c r="M16" s="349"/>
      <c r="N16" s="349"/>
      <c r="O16" s="349"/>
      <c r="P16" s="349"/>
      <c r="Q16" s="349"/>
      <c r="R16" s="349"/>
      <c r="S16" s="349"/>
      <c r="GH16" s="212"/>
      <c r="GI16" s="212"/>
      <c r="GJ16" s="212"/>
      <c r="GK16" s="212"/>
      <c r="GL16" s="212"/>
      <c r="GM16" s="212"/>
      <c r="GN16" s="212"/>
      <c r="GO16" s="212"/>
      <c r="GP16" s="212"/>
      <c r="GQ16" s="212"/>
      <c r="GR16" s="212"/>
      <c r="GS16" s="212"/>
      <c r="GT16" s="212"/>
      <c r="GU16" s="212"/>
      <c r="GV16" s="212"/>
      <c r="GW16" s="212"/>
      <c r="GX16" s="212"/>
      <c r="GY16" s="212"/>
      <c r="GZ16" s="212"/>
      <c r="HA16" s="212"/>
      <c r="HB16" s="212"/>
      <c r="HC16" s="212"/>
      <c r="HD16" s="212"/>
      <c r="HE16" s="212"/>
      <c r="HF16" s="212"/>
      <c r="HG16" s="212"/>
      <c r="HH16" s="212"/>
      <c r="HI16" s="212"/>
      <c r="HJ16" s="212"/>
      <c r="HK16" s="212"/>
      <c r="HL16" s="212"/>
      <c r="HM16" s="212"/>
      <c r="HN16" s="212"/>
      <c r="HO16" s="212"/>
      <c r="HP16" s="212"/>
      <c r="HQ16" s="212"/>
      <c r="HR16" s="212"/>
      <c r="HS16" s="212"/>
      <c r="HT16" s="212"/>
      <c r="HU16" s="212"/>
    </row>
    <row r="17" spans="1:229">
      <c r="A17" s="214" t="s">
        <v>347</v>
      </c>
      <c r="B17" s="214"/>
      <c r="C17" s="212"/>
      <c r="D17" s="213">
        <f>(D7-C7)*2</f>
        <v>32</v>
      </c>
      <c r="E17" s="213">
        <f>(E7-D7)*2</f>
        <v>60</v>
      </c>
      <c r="F17" s="213">
        <f>(F7-E7)*2</f>
        <v>62</v>
      </c>
      <c r="G17" s="213">
        <f>(G7-F7)*2</f>
        <v>0</v>
      </c>
      <c r="H17" s="213">
        <f>(H7-G7)*1</f>
        <v>31</v>
      </c>
      <c r="I17" s="213">
        <v>0</v>
      </c>
      <c r="J17" s="213">
        <v>0</v>
      </c>
      <c r="K17" s="213">
        <v>0</v>
      </c>
      <c r="L17" s="213">
        <v>0</v>
      </c>
      <c r="M17" s="213">
        <v>0</v>
      </c>
      <c r="N17" s="213">
        <v>0</v>
      </c>
      <c r="O17" s="213">
        <v>0</v>
      </c>
      <c r="P17" s="213">
        <v>0</v>
      </c>
      <c r="Q17" s="213">
        <v>0</v>
      </c>
      <c r="R17" s="213">
        <v>0</v>
      </c>
      <c r="S17" s="213">
        <v>0</v>
      </c>
      <c r="T17" s="213">
        <v>0</v>
      </c>
      <c r="U17" s="213">
        <v>0</v>
      </c>
      <c r="V17" s="213">
        <v>0</v>
      </c>
      <c r="W17" s="213">
        <v>0</v>
      </c>
      <c r="X17" s="213">
        <v>0</v>
      </c>
      <c r="Y17" s="213">
        <v>0</v>
      </c>
      <c r="Z17" s="213">
        <v>0</v>
      </c>
      <c r="AA17" s="213">
        <v>0</v>
      </c>
      <c r="AB17" s="213">
        <v>0</v>
      </c>
      <c r="AC17" s="213">
        <v>0</v>
      </c>
      <c r="AD17" s="213">
        <v>0</v>
      </c>
      <c r="AE17" s="213">
        <v>0</v>
      </c>
      <c r="AF17" s="213">
        <v>0</v>
      </c>
      <c r="AG17" s="213">
        <v>0</v>
      </c>
      <c r="AH17" s="213">
        <v>0</v>
      </c>
      <c r="AI17" s="213">
        <v>0</v>
      </c>
      <c r="AJ17" s="213">
        <v>0</v>
      </c>
      <c r="AK17" s="213">
        <v>0</v>
      </c>
      <c r="AL17" s="213">
        <v>0</v>
      </c>
      <c r="AM17" s="213">
        <v>0</v>
      </c>
      <c r="AN17" s="213">
        <v>0</v>
      </c>
      <c r="AO17" s="213">
        <v>0</v>
      </c>
      <c r="AP17" s="213">
        <v>0</v>
      </c>
      <c r="AQ17" s="213">
        <v>0</v>
      </c>
      <c r="AR17" s="213">
        <v>0</v>
      </c>
      <c r="AS17" s="213">
        <v>0</v>
      </c>
      <c r="AT17" s="213">
        <v>0</v>
      </c>
      <c r="AU17" s="213">
        <v>0</v>
      </c>
      <c r="AV17" s="213">
        <v>0</v>
      </c>
      <c r="AW17" s="213">
        <v>0</v>
      </c>
      <c r="AX17" s="213">
        <v>0</v>
      </c>
      <c r="AY17" s="213">
        <v>0</v>
      </c>
      <c r="AZ17" s="213">
        <v>0</v>
      </c>
      <c r="BA17" s="213">
        <v>0</v>
      </c>
      <c r="BB17" s="213">
        <v>0</v>
      </c>
      <c r="BC17" s="213">
        <v>0</v>
      </c>
      <c r="BD17" s="213">
        <v>0</v>
      </c>
      <c r="BE17" s="213">
        <v>0</v>
      </c>
      <c r="BF17" s="213">
        <v>0</v>
      </c>
      <c r="BG17" s="213">
        <v>0</v>
      </c>
      <c r="BH17" s="213">
        <v>0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0</v>
      </c>
      <c r="BS17" s="213">
        <v>0</v>
      </c>
      <c r="BT17" s="213">
        <v>0</v>
      </c>
      <c r="BU17" s="213">
        <v>0</v>
      </c>
      <c r="BV17" s="213">
        <v>0</v>
      </c>
      <c r="BW17" s="213">
        <v>0</v>
      </c>
      <c r="BX17" s="213">
        <v>0</v>
      </c>
      <c r="BY17" s="213">
        <v>0</v>
      </c>
      <c r="BZ17" s="213">
        <v>0</v>
      </c>
      <c r="CA17" s="213">
        <v>0</v>
      </c>
      <c r="CB17" s="213">
        <v>0</v>
      </c>
      <c r="CC17" s="213">
        <v>0</v>
      </c>
      <c r="CD17" s="213">
        <v>0</v>
      </c>
      <c r="CE17" s="213">
        <v>0</v>
      </c>
      <c r="CF17" s="213">
        <v>0</v>
      </c>
      <c r="CG17" s="213">
        <v>0</v>
      </c>
      <c r="CH17" s="213">
        <v>0</v>
      </c>
      <c r="CI17" s="213">
        <v>0</v>
      </c>
      <c r="CJ17" s="213">
        <v>0</v>
      </c>
      <c r="CK17" s="213">
        <v>0</v>
      </c>
      <c r="CL17" s="213">
        <v>0</v>
      </c>
      <c r="CM17" s="213">
        <v>0</v>
      </c>
      <c r="CN17" s="213">
        <v>0</v>
      </c>
      <c r="CO17" s="213">
        <v>0</v>
      </c>
      <c r="CP17" s="213">
        <v>0</v>
      </c>
      <c r="CQ17" s="213">
        <v>0</v>
      </c>
      <c r="CR17" s="213">
        <v>0</v>
      </c>
      <c r="CS17" s="213">
        <v>0</v>
      </c>
      <c r="CT17" s="213">
        <v>0</v>
      </c>
      <c r="CU17" s="213">
        <v>0</v>
      </c>
      <c r="CV17" s="213">
        <v>0</v>
      </c>
      <c r="CW17" s="213">
        <v>0</v>
      </c>
      <c r="CX17" s="213">
        <v>0</v>
      </c>
      <c r="CY17" s="213">
        <v>0</v>
      </c>
      <c r="CZ17" s="213">
        <v>0</v>
      </c>
      <c r="DA17" s="213">
        <v>0</v>
      </c>
      <c r="DB17" s="213">
        <v>0</v>
      </c>
      <c r="DC17" s="213">
        <v>0</v>
      </c>
      <c r="DD17" s="213">
        <v>0</v>
      </c>
      <c r="DE17" s="213">
        <v>0</v>
      </c>
      <c r="DF17" s="213">
        <v>0</v>
      </c>
      <c r="DG17" s="213">
        <v>0</v>
      </c>
      <c r="DH17" s="213">
        <v>0</v>
      </c>
      <c r="DI17" s="213">
        <v>0</v>
      </c>
      <c r="DJ17" s="213">
        <v>0</v>
      </c>
      <c r="DK17" s="213">
        <v>0</v>
      </c>
      <c r="DL17" s="213">
        <v>0</v>
      </c>
      <c r="DM17" s="213">
        <v>0</v>
      </c>
      <c r="DN17" s="213">
        <v>0</v>
      </c>
      <c r="DO17" s="213">
        <v>0</v>
      </c>
      <c r="DP17" s="213">
        <v>0</v>
      </c>
      <c r="DQ17" s="213">
        <v>0</v>
      </c>
      <c r="DR17" s="213">
        <v>0</v>
      </c>
      <c r="DS17" s="213">
        <v>0</v>
      </c>
      <c r="DT17" s="213">
        <v>0</v>
      </c>
      <c r="DU17" s="213">
        <v>0</v>
      </c>
      <c r="DV17" s="213">
        <v>0</v>
      </c>
      <c r="DW17" s="213">
        <v>0</v>
      </c>
      <c r="DX17" s="213">
        <v>0</v>
      </c>
      <c r="DY17" s="213">
        <v>0</v>
      </c>
      <c r="DZ17" s="213">
        <v>0</v>
      </c>
      <c r="EA17" s="213">
        <v>0</v>
      </c>
      <c r="EB17" s="213">
        <v>0</v>
      </c>
      <c r="EC17" s="213">
        <v>0</v>
      </c>
      <c r="ED17" s="213">
        <v>0</v>
      </c>
      <c r="EE17" s="213">
        <v>0</v>
      </c>
      <c r="EF17" s="213">
        <v>0</v>
      </c>
      <c r="EG17" s="213">
        <v>0</v>
      </c>
      <c r="EH17" s="213">
        <v>0</v>
      </c>
      <c r="EI17" s="213">
        <v>0</v>
      </c>
      <c r="EJ17" s="213">
        <v>0</v>
      </c>
      <c r="EK17" s="213">
        <v>0</v>
      </c>
      <c r="EL17" s="213">
        <v>0</v>
      </c>
      <c r="EM17" s="213">
        <v>0</v>
      </c>
      <c r="EN17" s="213">
        <v>0</v>
      </c>
      <c r="EO17" s="213">
        <v>0</v>
      </c>
      <c r="EP17" s="213">
        <v>0</v>
      </c>
      <c r="EQ17" s="213">
        <v>0</v>
      </c>
      <c r="ER17" s="213">
        <v>0</v>
      </c>
      <c r="ES17" s="213">
        <v>0</v>
      </c>
      <c r="ET17" s="213">
        <v>0</v>
      </c>
      <c r="EU17" s="213">
        <v>0</v>
      </c>
      <c r="EV17" s="213">
        <v>0</v>
      </c>
      <c r="EW17" s="213">
        <v>0</v>
      </c>
      <c r="EX17" s="213">
        <v>0</v>
      </c>
      <c r="EY17" s="213">
        <v>0</v>
      </c>
      <c r="EZ17" s="213">
        <v>0</v>
      </c>
      <c r="FA17" s="213">
        <v>0</v>
      </c>
      <c r="FB17" s="213">
        <v>0</v>
      </c>
      <c r="FC17" s="213">
        <v>0</v>
      </c>
      <c r="FD17" s="213">
        <v>0</v>
      </c>
      <c r="FE17" s="213">
        <v>0</v>
      </c>
      <c r="FF17" s="213">
        <v>0</v>
      </c>
      <c r="FG17" s="213">
        <v>0</v>
      </c>
      <c r="FH17" s="213">
        <v>0</v>
      </c>
      <c r="FI17" s="213">
        <v>0</v>
      </c>
      <c r="FJ17" s="213">
        <v>0</v>
      </c>
      <c r="FK17" s="213">
        <v>0</v>
      </c>
      <c r="FL17" s="213">
        <v>0</v>
      </c>
      <c r="FM17" s="213">
        <v>0</v>
      </c>
      <c r="FN17" s="213">
        <v>0</v>
      </c>
      <c r="FO17" s="213">
        <v>0</v>
      </c>
      <c r="FP17" s="213">
        <v>0</v>
      </c>
      <c r="FQ17" s="213">
        <v>0</v>
      </c>
      <c r="FR17" s="213">
        <v>0</v>
      </c>
      <c r="FS17" s="213">
        <v>0</v>
      </c>
      <c r="FT17" s="213">
        <v>0</v>
      </c>
      <c r="FU17" s="213">
        <v>0</v>
      </c>
      <c r="FV17" s="213">
        <v>0</v>
      </c>
      <c r="FW17" s="213">
        <v>0</v>
      </c>
      <c r="FX17" s="213">
        <v>0</v>
      </c>
      <c r="FY17" s="213">
        <v>0</v>
      </c>
      <c r="FZ17" s="213">
        <v>0</v>
      </c>
      <c r="GA17" s="213">
        <v>0</v>
      </c>
      <c r="GB17" s="213">
        <v>0</v>
      </c>
      <c r="GC17" s="213">
        <v>0</v>
      </c>
      <c r="GD17" s="213">
        <v>0</v>
      </c>
      <c r="GE17" s="213">
        <v>0</v>
      </c>
      <c r="GF17" s="213">
        <v>0</v>
      </c>
      <c r="GG17" s="213">
        <v>0</v>
      </c>
      <c r="GH17" s="212"/>
      <c r="GI17" s="212"/>
      <c r="GJ17" s="212"/>
      <c r="GK17" s="212"/>
      <c r="GL17" s="212"/>
      <c r="GM17" s="212"/>
      <c r="GN17" s="212"/>
      <c r="GO17" s="212"/>
      <c r="GP17" s="212"/>
      <c r="GQ17" s="212"/>
      <c r="GR17" s="212"/>
      <c r="GS17" s="212"/>
      <c r="GT17" s="212"/>
      <c r="GU17" s="212"/>
      <c r="GV17" s="212"/>
      <c r="GW17" s="212"/>
      <c r="GX17" s="212"/>
      <c r="GY17" s="212"/>
      <c r="GZ17" s="212"/>
      <c r="HA17" s="212"/>
      <c r="HB17" s="212"/>
      <c r="HC17" s="212"/>
      <c r="HD17" s="212"/>
      <c r="HE17" s="212"/>
      <c r="HF17" s="212"/>
      <c r="HG17" s="212"/>
      <c r="HH17" s="212"/>
      <c r="HI17" s="212"/>
      <c r="HJ17" s="212"/>
      <c r="HK17" s="212"/>
      <c r="HL17" s="212"/>
      <c r="HM17" s="212"/>
      <c r="HN17" s="212"/>
      <c r="HO17" s="212"/>
      <c r="HP17" s="212"/>
      <c r="HQ17" s="212"/>
      <c r="HR17" s="212"/>
      <c r="HS17" s="212"/>
      <c r="HT17" s="212"/>
      <c r="HU17" s="212"/>
    </row>
    <row r="18" spans="1:229">
      <c r="A18" s="214" t="s">
        <v>409</v>
      </c>
      <c r="B18" s="214"/>
      <c r="C18" s="212"/>
      <c r="D18" s="318">
        <v>0</v>
      </c>
      <c r="E18" s="318">
        <v>0</v>
      </c>
      <c r="F18" s="318">
        <v>0</v>
      </c>
      <c r="G18" s="318">
        <v>0</v>
      </c>
      <c r="H18" s="318">
        <v>0</v>
      </c>
      <c r="I18" s="318">
        <f>IDC!Y32</f>
        <v>564.18117335751936</v>
      </c>
      <c r="J18" s="318">
        <f>IDC!Z32</f>
        <v>0</v>
      </c>
      <c r="K18" s="318">
        <v>0</v>
      </c>
      <c r="L18" s="318">
        <v>0</v>
      </c>
      <c r="M18" s="318">
        <v>0</v>
      </c>
      <c r="N18" s="318">
        <v>0</v>
      </c>
      <c r="O18" s="318">
        <v>0</v>
      </c>
      <c r="P18" s="318">
        <v>0</v>
      </c>
      <c r="Q18" s="318">
        <v>0</v>
      </c>
      <c r="R18" s="318">
        <v>0</v>
      </c>
      <c r="S18" s="318">
        <v>0</v>
      </c>
      <c r="T18" s="318">
        <v>0</v>
      </c>
      <c r="U18" s="318">
        <v>0</v>
      </c>
      <c r="V18" s="318">
        <v>0</v>
      </c>
      <c r="W18" s="318">
        <v>0</v>
      </c>
      <c r="X18" s="318">
        <v>0</v>
      </c>
      <c r="Y18" s="318">
        <v>0</v>
      </c>
      <c r="Z18" s="318">
        <v>0</v>
      </c>
      <c r="AA18" s="318">
        <v>0</v>
      </c>
      <c r="AB18" s="318">
        <v>0</v>
      </c>
      <c r="AC18" s="318">
        <v>0</v>
      </c>
      <c r="AD18" s="318">
        <v>0</v>
      </c>
      <c r="AE18" s="318">
        <v>0</v>
      </c>
      <c r="AF18" s="318">
        <v>0</v>
      </c>
      <c r="AG18" s="318">
        <v>0</v>
      </c>
      <c r="AH18" s="318">
        <v>0</v>
      </c>
      <c r="AI18" s="318">
        <v>0</v>
      </c>
      <c r="AJ18" s="318">
        <v>0</v>
      </c>
      <c r="AK18" s="318">
        <v>0</v>
      </c>
      <c r="AL18" s="318">
        <v>0</v>
      </c>
      <c r="AM18" s="318">
        <v>0</v>
      </c>
      <c r="AN18" s="318">
        <v>0</v>
      </c>
      <c r="AO18" s="318">
        <v>0</v>
      </c>
      <c r="AP18" s="318">
        <v>0</v>
      </c>
      <c r="AQ18" s="318">
        <v>0</v>
      </c>
      <c r="AR18" s="318">
        <v>0</v>
      </c>
      <c r="AS18" s="318">
        <v>0</v>
      </c>
      <c r="AT18" s="318">
        <v>0</v>
      </c>
      <c r="AU18" s="318">
        <v>0</v>
      </c>
      <c r="AV18" s="318">
        <v>0</v>
      </c>
      <c r="AW18" s="318">
        <v>0</v>
      </c>
      <c r="AX18" s="318">
        <v>0</v>
      </c>
      <c r="AY18" s="318">
        <v>0</v>
      </c>
      <c r="AZ18" s="318">
        <v>0</v>
      </c>
      <c r="BA18" s="318">
        <v>0</v>
      </c>
      <c r="BB18" s="318">
        <v>0</v>
      </c>
      <c r="BC18" s="318">
        <v>0</v>
      </c>
      <c r="BD18" s="318">
        <v>0</v>
      </c>
      <c r="BE18" s="318">
        <v>0</v>
      </c>
      <c r="BF18" s="318">
        <v>0</v>
      </c>
      <c r="BG18" s="318">
        <v>0</v>
      </c>
      <c r="BH18" s="318">
        <v>0</v>
      </c>
      <c r="BI18" s="318">
        <v>0</v>
      </c>
      <c r="BJ18" s="318">
        <v>0</v>
      </c>
      <c r="BK18" s="318">
        <v>0</v>
      </c>
      <c r="BL18" s="318">
        <v>0</v>
      </c>
      <c r="BM18" s="318">
        <v>0</v>
      </c>
      <c r="BN18" s="318">
        <v>0</v>
      </c>
      <c r="BO18" s="318">
        <v>0</v>
      </c>
      <c r="BP18" s="318">
        <v>0</v>
      </c>
      <c r="BQ18" s="318">
        <v>0</v>
      </c>
      <c r="BR18" s="318">
        <v>0</v>
      </c>
      <c r="BS18" s="318">
        <v>0</v>
      </c>
      <c r="BT18" s="318">
        <v>0</v>
      </c>
      <c r="BU18" s="318">
        <v>0</v>
      </c>
      <c r="BV18" s="318">
        <v>0</v>
      </c>
      <c r="BW18" s="318">
        <v>0</v>
      </c>
      <c r="BX18" s="318">
        <v>0</v>
      </c>
      <c r="BY18" s="318">
        <v>0</v>
      </c>
      <c r="BZ18" s="318">
        <v>0</v>
      </c>
      <c r="CA18" s="318">
        <v>0</v>
      </c>
      <c r="CB18" s="318">
        <v>0</v>
      </c>
      <c r="CC18" s="318">
        <v>0</v>
      </c>
      <c r="CD18" s="318">
        <v>0</v>
      </c>
      <c r="CE18" s="318">
        <v>0</v>
      </c>
      <c r="CF18" s="318">
        <v>0</v>
      </c>
      <c r="CG18" s="318">
        <v>0</v>
      </c>
      <c r="CH18" s="318">
        <v>0</v>
      </c>
      <c r="CI18" s="318">
        <v>0</v>
      </c>
      <c r="CJ18" s="318">
        <v>0</v>
      </c>
      <c r="CK18" s="318">
        <v>0</v>
      </c>
      <c r="CL18" s="318">
        <v>0</v>
      </c>
      <c r="CM18" s="318">
        <v>0</v>
      </c>
      <c r="CN18" s="318">
        <v>0</v>
      </c>
      <c r="CO18" s="318">
        <v>0</v>
      </c>
      <c r="CP18" s="318">
        <v>0</v>
      </c>
      <c r="CQ18" s="318">
        <v>0</v>
      </c>
      <c r="CR18" s="318">
        <v>0</v>
      </c>
      <c r="CS18" s="318">
        <v>0</v>
      </c>
      <c r="CT18" s="318">
        <v>0</v>
      </c>
      <c r="CU18" s="318">
        <v>0</v>
      </c>
      <c r="CV18" s="318">
        <v>0</v>
      </c>
      <c r="CW18" s="318">
        <v>0</v>
      </c>
      <c r="CX18" s="318">
        <v>0</v>
      </c>
      <c r="CY18" s="318">
        <v>0</v>
      </c>
      <c r="CZ18" s="318">
        <v>0</v>
      </c>
      <c r="DA18" s="318">
        <v>0</v>
      </c>
      <c r="DB18" s="318">
        <v>0</v>
      </c>
      <c r="DC18" s="318">
        <v>0</v>
      </c>
      <c r="DD18" s="318">
        <v>0</v>
      </c>
      <c r="DE18" s="318">
        <v>0</v>
      </c>
      <c r="DF18" s="318">
        <v>0</v>
      </c>
      <c r="DG18" s="318">
        <v>0</v>
      </c>
      <c r="DH18" s="318">
        <v>0</v>
      </c>
      <c r="DI18" s="318">
        <v>0</v>
      </c>
      <c r="DJ18" s="318">
        <v>0</v>
      </c>
      <c r="DK18" s="318">
        <v>0</v>
      </c>
      <c r="DL18" s="318">
        <v>0</v>
      </c>
      <c r="DM18" s="318">
        <v>0</v>
      </c>
      <c r="DN18" s="318">
        <v>0</v>
      </c>
      <c r="DO18" s="318">
        <v>0</v>
      </c>
      <c r="DP18" s="318">
        <v>0</v>
      </c>
      <c r="DQ18" s="318">
        <v>0</v>
      </c>
      <c r="DR18" s="318">
        <v>0</v>
      </c>
      <c r="DS18" s="318">
        <v>0</v>
      </c>
      <c r="DT18" s="318">
        <v>0</v>
      </c>
      <c r="DU18" s="318">
        <v>0</v>
      </c>
      <c r="DV18" s="318">
        <v>0</v>
      </c>
      <c r="DW18" s="318">
        <v>0</v>
      </c>
      <c r="DX18" s="318">
        <v>0</v>
      </c>
      <c r="DY18" s="318">
        <v>0</v>
      </c>
      <c r="DZ18" s="318">
        <v>0</v>
      </c>
      <c r="EA18" s="318">
        <v>0</v>
      </c>
      <c r="EB18" s="318">
        <v>0</v>
      </c>
      <c r="EC18" s="318">
        <v>0</v>
      </c>
      <c r="ED18" s="318">
        <v>0</v>
      </c>
      <c r="EE18" s="318">
        <v>0</v>
      </c>
      <c r="EF18" s="318">
        <v>0</v>
      </c>
      <c r="EG18" s="318">
        <v>0</v>
      </c>
      <c r="EH18" s="318">
        <v>0</v>
      </c>
      <c r="EI18" s="318">
        <v>0</v>
      </c>
      <c r="EJ18" s="318">
        <v>0</v>
      </c>
      <c r="EK18" s="318">
        <v>0</v>
      </c>
      <c r="EL18" s="318">
        <v>0</v>
      </c>
      <c r="EM18" s="318">
        <v>0</v>
      </c>
      <c r="EN18" s="318">
        <v>0</v>
      </c>
      <c r="EO18" s="318">
        <v>0</v>
      </c>
      <c r="EP18" s="318">
        <v>0</v>
      </c>
      <c r="EQ18" s="318">
        <v>0</v>
      </c>
      <c r="ER18" s="318">
        <v>0</v>
      </c>
      <c r="ES18" s="318">
        <v>0</v>
      </c>
      <c r="ET18" s="318">
        <v>0</v>
      </c>
      <c r="EU18" s="318">
        <v>0</v>
      </c>
      <c r="EV18" s="318">
        <v>0</v>
      </c>
      <c r="EW18" s="318">
        <v>0</v>
      </c>
      <c r="EX18" s="318">
        <v>0</v>
      </c>
      <c r="EY18" s="318">
        <v>0</v>
      </c>
      <c r="EZ18" s="318">
        <v>0</v>
      </c>
      <c r="FA18" s="318">
        <v>0</v>
      </c>
      <c r="FB18" s="318">
        <v>0</v>
      </c>
      <c r="FC18" s="318">
        <v>0</v>
      </c>
      <c r="FD18" s="318">
        <v>0</v>
      </c>
      <c r="FE18" s="318">
        <v>0</v>
      </c>
      <c r="FF18" s="318">
        <v>0</v>
      </c>
      <c r="FG18" s="318">
        <v>0</v>
      </c>
      <c r="FH18" s="318">
        <v>0</v>
      </c>
      <c r="FI18" s="318">
        <v>0</v>
      </c>
      <c r="FJ18" s="318">
        <v>0</v>
      </c>
      <c r="FK18" s="318">
        <v>0</v>
      </c>
      <c r="FL18" s="318">
        <v>0</v>
      </c>
      <c r="FM18" s="318">
        <v>0</v>
      </c>
      <c r="FN18" s="318">
        <v>0</v>
      </c>
      <c r="FO18" s="318">
        <v>0</v>
      </c>
      <c r="FP18" s="318">
        <v>0</v>
      </c>
      <c r="FQ18" s="318">
        <v>0</v>
      </c>
      <c r="FR18" s="318">
        <v>0</v>
      </c>
      <c r="FS18" s="318">
        <v>0</v>
      </c>
      <c r="FT18" s="318">
        <v>0</v>
      </c>
      <c r="FU18" s="318">
        <v>0</v>
      </c>
      <c r="FV18" s="318">
        <v>0</v>
      </c>
      <c r="FW18" s="318">
        <v>0</v>
      </c>
      <c r="FX18" s="318">
        <v>0</v>
      </c>
      <c r="FY18" s="318">
        <v>0</v>
      </c>
      <c r="FZ18" s="318">
        <v>0</v>
      </c>
      <c r="GA18" s="318">
        <v>0</v>
      </c>
      <c r="GB18" s="318">
        <v>0</v>
      </c>
      <c r="GC18" s="318">
        <v>0</v>
      </c>
      <c r="GD18" s="318">
        <v>0</v>
      </c>
      <c r="GE18" s="318">
        <v>0</v>
      </c>
      <c r="GF18" s="318">
        <v>0</v>
      </c>
      <c r="GG18" s="318">
        <v>0</v>
      </c>
      <c r="GH18" s="212"/>
      <c r="GI18" s="212"/>
      <c r="GJ18" s="212"/>
      <c r="GK18" s="212"/>
      <c r="GL18" s="212"/>
      <c r="GM18" s="212"/>
      <c r="GN18" s="212"/>
      <c r="GO18" s="212"/>
      <c r="GP18" s="212"/>
      <c r="GQ18" s="212"/>
      <c r="GR18" s="212"/>
      <c r="GS18" s="212"/>
      <c r="GT18" s="212"/>
      <c r="GU18" s="212"/>
      <c r="GV18" s="212"/>
      <c r="GW18" s="212"/>
      <c r="GX18" s="212"/>
      <c r="GY18" s="212"/>
      <c r="GZ18" s="212"/>
      <c r="HA18" s="212"/>
      <c r="HB18" s="212"/>
      <c r="HC18" s="212"/>
      <c r="HD18" s="212"/>
      <c r="HE18" s="212"/>
      <c r="HF18" s="212"/>
      <c r="HG18" s="212"/>
      <c r="HH18" s="212"/>
      <c r="HI18" s="212"/>
      <c r="HJ18" s="212"/>
      <c r="HK18" s="212"/>
      <c r="HL18" s="212"/>
      <c r="HM18" s="212"/>
      <c r="HN18" s="212"/>
      <c r="HO18" s="212"/>
      <c r="HP18" s="212"/>
      <c r="HQ18" s="212"/>
      <c r="HR18" s="212"/>
      <c r="HS18" s="212"/>
      <c r="HT18" s="212"/>
      <c r="HU18" s="212"/>
    </row>
    <row r="19" spans="1:229" ht="15">
      <c r="A19" s="214" t="s">
        <v>410</v>
      </c>
      <c r="B19" s="214"/>
      <c r="C19" s="212"/>
      <c r="D19" s="320">
        <f>+IF(D8=6,'Debt Amortization'!$E$77,0)</f>
        <v>0</v>
      </c>
      <c r="E19" s="320">
        <f>+IF(E8=6,'Debt Amortization'!$E$77,0)</f>
        <v>0</v>
      </c>
      <c r="F19" s="320">
        <f>+IF(F8=6,'Debt Amortization'!$E$77,0)</f>
        <v>0</v>
      </c>
      <c r="G19" s="320">
        <f>+IF(G8=6,'Debt Amortization'!$E$77,0)</f>
        <v>0</v>
      </c>
      <c r="H19" s="320">
        <f>+IF(H8=6,'Debt Amortization'!$E$77,0)</f>
        <v>0</v>
      </c>
      <c r="I19" s="320">
        <f>+IF(I8=6,'Debt Amortization'!$E$77,0)</f>
        <v>0</v>
      </c>
      <c r="J19" s="320">
        <f>+IF(J8=6,'Debt Amortization'!$E$77,0)</f>
        <v>0</v>
      </c>
      <c r="K19" s="320">
        <f>+IF(K8=6,'Debt Amortization'!$E$77,0)</f>
        <v>0</v>
      </c>
      <c r="L19" s="320">
        <f>+IF(L8=6,'Debt Amortization'!$E$77,0)</f>
        <v>0</v>
      </c>
      <c r="M19" s="320">
        <f>+IF(M8=6,'Debt Amortization'!$E$77,0)</f>
        <v>0</v>
      </c>
      <c r="N19" s="320">
        <f>+IF(N8=6,'Debt Amortization'!$E$77,0)</f>
        <v>0</v>
      </c>
      <c r="O19" s="320">
        <f>+IF(O8=6,'Debt Amortization'!$E$77,0)</f>
        <v>5782.7742610647447</v>
      </c>
      <c r="P19" s="320">
        <f>+IF(P8=6,'Debt Amortization'!$E$77,0)</f>
        <v>0</v>
      </c>
      <c r="Q19" s="320">
        <f>+IF(Q8=6,'Debt Amortization'!$E$77,0)</f>
        <v>0</v>
      </c>
      <c r="R19" s="320">
        <f>+IF(R8=6,'Debt Amortization'!$E$77,0)</f>
        <v>0</v>
      </c>
      <c r="S19" s="320">
        <f>+IF(S8=6,'Debt Amortization'!$E$77,0)</f>
        <v>0</v>
      </c>
      <c r="T19" s="320">
        <f>+IF(T8=6,'Debt Amortization'!$E$77,0)</f>
        <v>0</v>
      </c>
      <c r="U19" s="320">
        <f>+IF(U8=6,'Debt Amortization'!$E$77,0)</f>
        <v>5782.7742610647447</v>
      </c>
      <c r="V19" s="320">
        <f>+IF(V8=6,'Debt Amortization'!$E$77,0)</f>
        <v>0</v>
      </c>
      <c r="W19" s="320">
        <f>+IF(W8=6,'Debt Amortization'!$E$77,0)</f>
        <v>0</v>
      </c>
      <c r="X19" s="320">
        <f>+IF(X8=6,'Debt Amortization'!$E$77,0)</f>
        <v>0</v>
      </c>
      <c r="Y19" s="320">
        <f>+IF(Y8=6,'Debt Amortization'!$E$77,0)</f>
        <v>0</v>
      </c>
      <c r="Z19" s="320">
        <f>+IF(Z8=6,'Debt Amortization'!$E$77,0)</f>
        <v>0</v>
      </c>
      <c r="AA19" s="320">
        <f>+IF(AA8=6,'Debt Amortization'!$E$77,0)</f>
        <v>5782.7742610647447</v>
      </c>
      <c r="AB19" s="320">
        <f>+IF(AB8=6,'Debt Amortization'!$E$77,0)</f>
        <v>0</v>
      </c>
      <c r="AC19" s="320">
        <f>+IF(AC8=6,'Debt Amortization'!$E$77,0)</f>
        <v>0</v>
      </c>
      <c r="AD19" s="320">
        <f>+IF(AD8=6,'Debt Amortization'!$E$77,0)</f>
        <v>0</v>
      </c>
      <c r="AE19" s="320">
        <f>+IF(AE8=6,'Debt Amortization'!$E$77,0)</f>
        <v>0</v>
      </c>
      <c r="AF19" s="320">
        <f>+IF(AF8=6,'Debt Amortization'!$E$77,0)</f>
        <v>0</v>
      </c>
      <c r="AG19" s="320">
        <f>+IF(AG8=6,'Debt Amortization'!$E$77,0)</f>
        <v>5782.7742610647447</v>
      </c>
      <c r="AH19" s="320">
        <f>+IF(AH8=6,'Debt Amortization'!$E$77,0)</f>
        <v>0</v>
      </c>
      <c r="AI19" s="320">
        <f>+IF(AI8=6,'Debt Amortization'!$E$77,0)</f>
        <v>0</v>
      </c>
      <c r="AJ19" s="320">
        <f>+IF(AJ8=6,'Debt Amortization'!$E$77,0)</f>
        <v>0</v>
      </c>
      <c r="AK19" s="320">
        <f>+IF(AK8=6,'Debt Amortization'!$E$77,0)</f>
        <v>0</v>
      </c>
      <c r="AL19" s="320">
        <f>+IF(AL8=6,'Debt Amortization'!$E$77,0)</f>
        <v>0</v>
      </c>
      <c r="AM19" s="320">
        <f>+IF(AM8=6,'Debt Amortization'!$E$77,0)</f>
        <v>5782.7742610647447</v>
      </c>
      <c r="AN19" s="320">
        <f>+IF(AN8=6,'Debt Amortization'!$E$77,0)</f>
        <v>0</v>
      </c>
      <c r="AO19" s="320">
        <f>+IF(AO8=6,'Debt Amortization'!$E$77,0)</f>
        <v>0</v>
      </c>
      <c r="AP19" s="320">
        <f>+IF(AP8=6,'Debt Amortization'!$E$77,0)</f>
        <v>0</v>
      </c>
      <c r="AQ19" s="320">
        <f>+IF(AQ8=6,'Debt Amortization'!$E$77,0)</f>
        <v>0</v>
      </c>
      <c r="AR19" s="320">
        <f>+IF(AR8=6,'Debt Amortization'!$E$77,0)</f>
        <v>0</v>
      </c>
      <c r="AS19" s="320">
        <f>+IF(AS8=6,'Debt Amortization'!$E$77,0)</f>
        <v>5782.7742610647447</v>
      </c>
      <c r="AT19" s="320">
        <f>+IF(AT8=6,'Debt Amortization'!$E$77,0)</f>
        <v>0</v>
      </c>
      <c r="AU19" s="320">
        <f>+IF(AU8=6,'Debt Amortization'!$E$77,0)</f>
        <v>0</v>
      </c>
      <c r="AV19" s="320">
        <f>+IF(AV8=6,'Debt Amortization'!$E$77,0)</f>
        <v>0</v>
      </c>
      <c r="AW19" s="320">
        <f>+IF(AW8=6,'Debt Amortization'!$E$77,0)</f>
        <v>0</v>
      </c>
      <c r="AX19" s="320">
        <f>+IF(AX8=6,'Debt Amortization'!$E$77,0)</f>
        <v>0</v>
      </c>
      <c r="AY19" s="320">
        <f>+IF(AY8=6,'Debt Amortization'!$E$77,0)</f>
        <v>5782.7742610647447</v>
      </c>
      <c r="AZ19" s="320">
        <f>+IF(AZ8=6,'Debt Amortization'!$E$77,0)</f>
        <v>0</v>
      </c>
      <c r="BA19" s="320">
        <f>+IF(BA8=6,'Debt Amortization'!$E$77,0)</f>
        <v>0</v>
      </c>
      <c r="BB19" s="320">
        <f>+IF(BB8=6,'Debt Amortization'!$E$77,0)</f>
        <v>0</v>
      </c>
      <c r="BC19" s="320">
        <f>+IF(BC8=6,'Debt Amortization'!$E$77,0)</f>
        <v>0</v>
      </c>
      <c r="BD19" s="320">
        <f>+IF(BD8=6,'Debt Amortization'!$E$77,0)</f>
        <v>0</v>
      </c>
      <c r="BE19" s="320">
        <f>+IF(BE8=6,'Debt Amortization'!$E$77,0)</f>
        <v>5782.7742610647447</v>
      </c>
      <c r="BF19" s="320">
        <f>+IF(BF8=6,'Debt Amortization'!$E$77,0)</f>
        <v>0</v>
      </c>
      <c r="BG19" s="320">
        <f>+IF(BG8=6,'Debt Amortization'!$E$77,0)</f>
        <v>0</v>
      </c>
      <c r="BH19" s="320">
        <f>+IF(BH8=6,'Debt Amortization'!$E$77,0)</f>
        <v>0</v>
      </c>
      <c r="BI19" s="320">
        <f>+IF(BI8=6,'Debt Amortization'!$E$77,0)</f>
        <v>0</v>
      </c>
      <c r="BJ19" s="320">
        <f>+IF(BJ8=6,'Debt Amortization'!$E$77,0)</f>
        <v>0</v>
      </c>
      <c r="BK19" s="320">
        <f>+IF(BK8=6,'Debt Amortization'!$E$77,0)</f>
        <v>5782.7742610647447</v>
      </c>
      <c r="BL19" s="320">
        <f>+IF(BL8=6,'Debt Amortization'!$E$77,0)</f>
        <v>0</v>
      </c>
      <c r="BM19" s="320">
        <f>+IF(BM8=6,'Debt Amortization'!$E$77,0)</f>
        <v>0</v>
      </c>
      <c r="BN19" s="320">
        <f>+IF(BN8=6,'Debt Amortization'!$E$77,0)</f>
        <v>0</v>
      </c>
      <c r="BO19" s="320">
        <f>+IF(BO8=6,'Debt Amortization'!$E$77,0)</f>
        <v>0</v>
      </c>
      <c r="BP19" s="320">
        <f>+IF(BP8=6,'Debt Amortization'!$E$77,0)</f>
        <v>0</v>
      </c>
      <c r="BQ19" s="320">
        <f>+IF(BQ8=6,'Debt Amortization'!$E$77,0)</f>
        <v>5782.7742610647447</v>
      </c>
      <c r="BR19" s="320">
        <f>+IF(BR8=6,'Debt Amortization'!$E$77,0)</f>
        <v>0</v>
      </c>
      <c r="BS19" s="320">
        <f>+IF(BS8=6,'Debt Amortization'!$E$77,0)</f>
        <v>0</v>
      </c>
      <c r="BT19" s="320">
        <f>+IF(BT8=6,'Debt Amortization'!$E$77,0)</f>
        <v>0</v>
      </c>
      <c r="BU19" s="320">
        <f>+IF(BU8=6,'Debt Amortization'!$E$77,0)</f>
        <v>0</v>
      </c>
      <c r="BV19" s="320">
        <f>+IF(BV8=6,'Debt Amortization'!$E$77,0)</f>
        <v>0</v>
      </c>
      <c r="BW19" s="320">
        <f>+IF(BW8=6,'Debt Amortization'!$E$77,0)</f>
        <v>5782.7742610647447</v>
      </c>
      <c r="BX19" s="320">
        <f>+IF(BX8=6,'Debt Amortization'!$E$77,0)</f>
        <v>0</v>
      </c>
      <c r="BY19" s="320">
        <f>+IF(BY8=6,'Debt Amortization'!$E$77,0)</f>
        <v>0</v>
      </c>
      <c r="BZ19" s="320">
        <f>+IF(BZ8=6,'Debt Amortization'!$E$77,0)</f>
        <v>0</v>
      </c>
      <c r="CA19" s="320">
        <f>+IF(CA8=6,'Debt Amortization'!$E$77,0)</f>
        <v>0</v>
      </c>
      <c r="CB19" s="320">
        <f>+IF(CB8=6,'Debt Amortization'!$E$77,0)</f>
        <v>0</v>
      </c>
      <c r="CC19" s="320">
        <f>+IF(CC8=6,'Debt Amortization'!$E$77,0)</f>
        <v>5782.7742610647447</v>
      </c>
      <c r="CD19" s="320">
        <f>+IF(CD8=6,'Debt Amortization'!$E$77,0)</f>
        <v>0</v>
      </c>
      <c r="CE19" s="320">
        <f>+IF(CE8=6,'Debt Amortization'!$E$77,0)</f>
        <v>0</v>
      </c>
      <c r="CF19" s="320">
        <f>+IF(CF8=6,'Debt Amortization'!$E$77,0)</f>
        <v>0</v>
      </c>
      <c r="CG19" s="320">
        <f>+IF(CG8=6,'Debt Amortization'!$E$77,0)</f>
        <v>0</v>
      </c>
      <c r="CH19" s="320">
        <f>+IF(CH8=6,'Debt Amortization'!$E$77,0)</f>
        <v>0</v>
      </c>
      <c r="CI19" s="320">
        <f>+IF(CI8=6,'Debt Amortization'!$E$77,0)</f>
        <v>5782.7742610647447</v>
      </c>
      <c r="CJ19" s="320">
        <f>+IF(CJ8=6,'Debt Amortization'!$E$77,0)</f>
        <v>0</v>
      </c>
      <c r="CK19" s="320">
        <f>+IF(CK8=6,'Debt Amortization'!$E$77,0)</f>
        <v>0</v>
      </c>
      <c r="CL19" s="320">
        <f>+IF(CL8=6,'Debt Amortization'!$E$77,0)</f>
        <v>0</v>
      </c>
      <c r="CM19" s="320">
        <f>+IF(CM8=6,'Debt Amortization'!$E$77,0)</f>
        <v>0</v>
      </c>
      <c r="CN19" s="320">
        <f>+IF(CN8=6,'Debt Amortization'!$E$77,0)</f>
        <v>0</v>
      </c>
      <c r="CO19" s="320">
        <f>+IF(CO8=6,'Debt Amortization'!$E$77,0)</f>
        <v>5782.7742610647447</v>
      </c>
      <c r="CP19" s="320">
        <f>+IF(CP8=6,'Debt Amortization'!$E$77,0)</f>
        <v>0</v>
      </c>
      <c r="CQ19" s="320">
        <f>+IF(CQ8=6,'Debt Amortization'!$E$77,0)</f>
        <v>0</v>
      </c>
      <c r="CR19" s="320">
        <f>+IF(CR8=6,'Debt Amortization'!$E$77,0)</f>
        <v>0</v>
      </c>
      <c r="CS19" s="320">
        <f>+IF(CS8=6,'Debt Amortization'!$E$77,0)</f>
        <v>0</v>
      </c>
      <c r="CT19" s="320">
        <f>+IF(CT8=6,'Debt Amortization'!$E$77,0)</f>
        <v>0</v>
      </c>
      <c r="CU19" s="320">
        <f>+IF(CU8=6,'Debt Amortization'!$E$77,0)</f>
        <v>5782.7742610647447</v>
      </c>
      <c r="CV19" s="320">
        <f>+IF(CV8=6,'Debt Amortization'!$E$77,0)</f>
        <v>0</v>
      </c>
      <c r="CW19" s="320">
        <f>+IF(CW8=6,'Debt Amortization'!$E$77,0)</f>
        <v>0</v>
      </c>
      <c r="CX19" s="320">
        <f>+IF(CX8=6,'Debt Amortization'!$E$77,0)</f>
        <v>0</v>
      </c>
      <c r="CY19" s="320">
        <f>+IF(CY8=6,'Debt Amortization'!$E$77,0)</f>
        <v>0</v>
      </c>
      <c r="CZ19" s="320">
        <f>+IF(CZ8=6,'Debt Amortization'!$E$77,0)</f>
        <v>0</v>
      </c>
      <c r="DA19" s="320">
        <f>+IF(DA8=6,'Debt Amortization'!$E$77,0)</f>
        <v>5782.7742610647447</v>
      </c>
      <c r="DB19" s="320">
        <f>+IF(DB8=6,'Debt Amortization'!$E$77,0)</f>
        <v>0</v>
      </c>
      <c r="DC19" s="320">
        <f>+IF(DC8=6,'Debt Amortization'!$E$77,0)</f>
        <v>0</v>
      </c>
      <c r="DD19" s="320">
        <f>+IF(DD8=6,'Debt Amortization'!$E$77,0)</f>
        <v>0</v>
      </c>
      <c r="DE19" s="320">
        <f>+IF(DE8=6,'Debt Amortization'!$E$77,0)</f>
        <v>0</v>
      </c>
      <c r="DF19" s="320">
        <f>+IF(DF8=6,'Debt Amortization'!$E$77,0)</f>
        <v>0</v>
      </c>
      <c r="DG19" s="320">
        <f>+IF(DG8=6,'Debt Amortization'!$E$77,0)</f>
        <v>5782.7742610647447</v>
      </c>
      <c r="DH19" s="320">
        <f>+IF(DH8=6,'Debt Amortization'!$E$77,0)</f>
        <v>0</v>
      </c>
      <c r="DI19" s="320">
        <f>+IF(DI8=6,'Debt Amortization'!$E$77,0)</f>
        <v>0</v>
      </c>
      <c r="DJ19" s="320">
        <f>+IF(DJ8=6,'Debt Amortization'!$E$77,0)</f>
        <v>0</v>
      </c>
      <c r="DK19" s="320">
        <f>+IF(DK8=6,'Debt Amortization'!$E$77,0)</f>
        <v>0</v>
      </c>
      <c r="DL19" s="320">
        <f>+IF(DL8=6,'Debt Amortization'!$E$77,0)</f>
        <v>0</v>
      </c>
      <c r="DM19" s="320">
        <f>+IF(DM8=6,'Debt Amortization'!$E$77,0)</f>
        <v>5782.7742610647447</v>
      </c>
      <c r="DN19" s="320">
        <f>+IF(DN8=6,'Debt Amortization'!$E$77,0)</f>
        <v>0</v>
      </c>
      <c r="DO19" s="320">
        <f>+IF(DO8=6,'Debt Amortization'!$E$77,0)</f>
        <v>0</v>
      </c>
      <c r="DP19" s="320">
        <f>+IF(DP8=6,'Debt Amortization'!$E$77,0)</f>
        <v>0</v>
      </c>
      <c r="DQ19" s="320">
        <f>+IF(DQ8=6,'Debt Amortization'!$E$77,0)</f>
        <v>0</v>
      </c>
      <c r="DR19" s="320">
        <f>+IF(DR8=6,'Debt Amortization'!$E$77,0)</f>
        <v>0</v>
      </c>
      <c r="DS19" s="320">
        <f>+IF(DS8=6,'Debt Amortization'!$E$77,0)</f>
        <v>5782.7742610647447</v>
      </c>
      <c r="DT19" s="320">
        <f>+IF(DT8=6,'Debt Amortization'!$E$77,0)</f>
        <v>0</v>
      </c>
      <c r="DU19" s="320">
        <f>+IF(DU8=6,'Debt Amortization'!$E$77,0)</f>
        <v>0</v>
      </c>
      <c r="DV19" s="320">
        <f>+IF(DV8=6,'Debt Amortization'!$E$77,0)</f>
        <v>0</v>
      </c>
      <c r="DW19" s="320">
        <f>+IF(DW8=6,'Debt Amortization'!$E$77,0)</f>
        <v>0</v>
      </c>
      <c r="DX19" s="320">
        <f>+IF(DX8=6,'Debt Amortization'!$E$77,0)</f>
        <v>0</v>
      </c>
      <c r="DY19" s="320">
        <f>+IF(DY8=6,'Debt Amortization'!$E$77,0)</f>
        <v>5782.7742610647447</v>
      </c>
      <c r="DZ19" s="320">
        <f>+IF(DZ8=6,'Debt Amortization'!$E$77,0)</f>
        <v>0</v>
      </c>
      <c r="EA19" s="320">
        <f>+IF(EA8=6,'Debt Amortization'!$E$77,0)</f>
        <v>0</v>
      </c>
      <c r="EB19" s="320">
        <f>+IF(EB8=6,'Debt Amortization'!$E$77,0)</f>
        <v>0</v>
      </c>
      <c r="EC19" s="320">
        <f>+IF(EC8=6,'Debt Amortization'!$E$77,0)</f>
        <v>0</v>
      </c>
      <c r="ED19" s="320">
        <f>+IF(ED8=6,'Debt Amortization'!$E$77,0)</f>
        <v>0</v>
      </c>
      <c r="EE19" s="320">
        <f>+IF(EE8=6,'Debt Amortization'!$E$77,0)</f>
        <v>5782.7742610647447</v>
      </c>
      <c r="EF19" s="320">
        <f>+IF(EF8=6,'Debt Amortization'!$E$77,0)</f>
        <v>0</v>
      </c>
      <c r="EG19" s="320">
        <f>+IF(EG8=6,'Debt Amortization'!$E$77,0)</f>
        <v>0</v>
      </c>
      <c r="EH19" s="320">
        <f>+IF(EH8=6,'Debt Amortization'!$E$77,0)</f>
        <v>0</v>
      </c>
      <c r="EI19" s="320">
        <f>+IF(EI8=6,'Debt Amortization'!$E$77,0)</f>
        <v>0</v>
      </c>
      <c r="EJ19" s="320">
        <f>+IF(EJ8=6,'Debt Amortization'!$E$77,0)</f>
        <v>0</v>
      </c>
      <c r="EK19" s="320">
        <f>+IF(EK8=6,'Debt Amortization'!$E$77,0)</f>
        <v>5782.7742610647447</v>
      </c>
      <c r="EL19" s="320">
        <f>+IF(EL8=6,'Debt Amortization'!$E$77,0)</f>
        <v>0</v>
      </c>
      <c r="EM19" s="320">
        <f>+IF(EM8=6,'Debt Amortization'!$E$77,0)</f>
        <v>0</v>
      </c>
      <c r="EN19" s="320">
        <f>+IF(EN8=6,'Debt Amortization'!$E$77,0)</f>
        <v>0</v>
      </c>
      <c r="EO19" s="320">
        <f>+IF(EO8=6,'Debt Amortization'!$E$77,0)</f>
        <v>0</v>
      </c>
      <c r="EP19" s="320">
        <f>+IF(EP8=6,'Debt Amortization'!$E$77,0)</f>
        <v>0</v>
      </c>
      <c r="EQ19" s="320">
        <f>+IF(EQ8=6,'Debt Amortization'!$E$77,0)</f>
        <v>5782.7742610647447</v>
      </c>
      <c r="ER19" s="320">
        <f>+IF(ER8=6,'Debt Amortization'!$E$77,0)</f>
        <v>0</v>
      </c>
      <c r="ES19" s="320">
        <f>+IF(ES8=6,'Debt Amortization'!$E$77,0)</f>
        <v>0</v>
      </c>
      <c r="ET19" s="320">
        <f>+IF(ET8=6,'Debt Amortization'!$E$77,0)</f>
        <v>0</v>
      </c>
      <c r="EU19" s="320">
        <f>+IF(EU8=6,'Debt Amortization'!$E$77,0)</f>
        <v>0</v>
      </c>
      <c r="EV19" s="320">
        <f>+IF(EV8=6,'Debt Amortization'!$E$77,0)</f>
        <v>0</v>
      </c>
      <c r="EW19" s="320">
        <f>+IF(EW8=6,'Debt Amortization'!$E$77,0)</f>
        <v>5782.7742610647447</v>
      </c>
      <c r="EX19" s="320">
        <f>+IF(EX8=6,'Debt Amortization'!$E$77,0)</f>
        <v>0</v>
      </c>
      <c r="EY19" s="320">
        <f>+IF(EY8=6,'Debt Amortization'!$E$77,0)</f>
        <v>0</v>
      </c>
      <c r="EZ19" s="320">
        <f>+IF(EZ8=6,'Debt Amortization'!$E$77,0)</f>
        <v>0</v>
      </c>
      <c r="FA19" s="320">
        <f>+IF(FA8=6,'Debt Amortization'!$E$77,0)</f>
        <v>0</v>
      </c>
      <c r="FB19" s="320">
        <f>+IF(FB8=6,'Debt Amortization'!$E$77,0)</f>
        <v>0</v>
      </c>
      <c r="FC19" s="320">
        <f>+IF(FC8=6,'Debt Amortization'!$E$77,0)</f>
        <v>5782.7742610647447</v>
      </c>
      <c r="FD19" s="320">
        <f>+IF(FD8=6,'Debt Amortization'!$E$77,0)</f>
        <v>0</v>
      </c>
      <c r="FE19" s="320">
        <f>+IF(FE8=6,'Debt Amortization'!$E$77,0)</f>
        <v>0</v>
      </c>
      <c r="FF19" s="320">
        <f>+IF(FF8=6,'Debt Amortization'!$E$77,0)</f>
        <v>0</v>
      </c>
      <c r="FG19" s="320">
        <f>+IF(FG8=6,'Debt Amortization'!$E$77,0)</f>
        <v>0</v>
      </c>
      <c r="FH19" s="320">
        <f>+IF(FH8=6,'Debt Amortization'!$E$77,0)</f>
        <v>0</v>
      </c>
      <c r="FI19" s="320">
        <f>+IF(FI8=6,'Debt Amortization'!$E$77,0)</f>
        <v>5782.7742610647447</v>
      </c>
      <c r="FJ19" s="320">
        <f>+IF(FJ8=6,'Debt Amortization'!$E$77,0)</f>
        <v>0</v>
      </c>
      <c r="FK19" s="320">
        <f>+IF(FK8=6,'Debt Amortization'!$E$77,0)</f>
        <v>0</v>
      </c>
      <c r="FL19" s="320">
        <f>+IF(FL8=6,'Debt Amortization'!$E$77,0)</f>
        <v>0</v>
      </c>
      <c r="FM19" s="320">
        <f>+IF(FM8=6,'Debt Amortization'!$E$77,0)</f>
        <v>0</v>
      </c>
      <c r="FN19" s="320">
        <f>+IF(FN8=6,'Debt Amortization'!$E$77,0)</f>
        <v>0</v>
      </c>
      <c r="FO19" s="320">
        <f>+IF(FO8=6,'Debt Amortization'!$E$77,0)</f>
        <v>5782.7742610647447</v>
      </c>
      <c r="FP19" s="320">
        <f>+IF(FP8=6,'Debt Amortization'!$E$77,0)</f>
        <v>0</v>
      </c>
      <c r="FQ19" s="320">
        <f>+IF(FQ8=6,'Debt Amortization'!$E$77,0)</f>
        <v>0</v>
      </c>
      <c r="FR19" s="320">
        <f>+IF(FR8=6,'Debt Amortization'!$E$77,0)</f>
        <v>0</v>
      </c>
      <c r="FS19" s="320">
        <f>+IF(FS8=6,'Debt Amortization'!$E$77,0)</f>
        <v>0</v>
      </c>
      <c r="FT19" s="320">
        <f>+IF(FT8=6,'Debt Amortization'!$E$77,0)</f>
        <v>0</v>
      </c>
      <c r="FU19" s="320">
        <f>+IF(FU8=6,'Debt Amortization'!$E$77,0)</f>
        <v>5782.7742610647447</v>
      </c>
      <c r="FV19" s="320">
        <f>+IF(FV8=6,'Debt Amortization'!$E$77,0)</f>
        <v>0</v>
      </c>
      <c r="FW19" s="320">
        <f>+IF(FW8=6,'Debt Amortization'!$E$77,0)</f>
        <v>0</v>
      </c>
      <c r="FX19" s="320">
        <f>+IF(FX8=6,'Debt Amortization'!$E$77,0)</f>
        <v>0</v>
      </c>
      <c r="FY19" s="320">
        <f>+IF(FY8=6,'Debt Amortization'!$E$77,0)</f>
        <v>0</v>
      </c>
      <c r="FZ19" s="320">
        <f>+IF(FZ8=6,'Debt Amortization'!$E$77,0)</f>
        <v>0</v>
      </c>
      <c r="GA19" s="320">
        <f>+IF(GA8=6,'Debt Amortization'!$E$77,0)</f>
        <v>5782.7742610647447</v>
      </c>
      <c r="GB19" s="320">
        <f>+IF(GB8=6,'Debt Amortization'!$E$77,0)</f>
        <v>0</v>
      </c>
      <c r="GC19" s="320">
        <f>+IF(GC8=6,'Debt Amortization'!$E$77,0)</f>
        <v>0</v>
      </c>
      <c r="GD19" s="320">
        <f>+IF(GD8=6,'Debt Amortization'!$E$77,0)</f>
        <v>0</v>
      </c>
      <c r="GE19" s="320">
        <f>+IF(GE8=6,'Debt Amortization'!$E$77,0)</f>
        <v>0</v>
      </c>
      <c r="GF19" s="320">
        <f>+IF(GF8=6,'Debt Amortization'!$E$77,0)</f>
        <v>0</v>
      </c>
      <c r="GG19" s="320">
        <f>+IF(GG8=6,'Debt Amortization'!$E$77,0)</f>
        <v>5782.7742610647447</v>
      </c>
      <c r="GH19" s="212"/>
      <c r="GI19" s="212"/>
      <c r="GJ19" s="212"/>
      <c r="GK19" s="212"/>
      <c r="GL19" s="212"/>
      <c r="GM19" s="212"/>
      <c r="GN19" s="212"/>
      <c r="GO19" s="212"/>
      <c r="GP19" s="212"/>
      <c r="GQ19" s="212"/>
      <c r="GR19" s="212"/>
      <c r="GS19" s="212"/>
      <c r="GT19" s="212"/>
      <c r="GU19" s="212"/>
      <c r="GV19" s="212"/>
      <c r="GW19" s="212"/>
      <c r="GX19" s="212"/>
      <c r="GY19" s="212"/>
      <c r="GZ19" s="212"/>
      <c r="HA19" s="212"/>
      <c r="HB19" s="212"/>
      <c r="HC19" s="212"/>
      <c r="HD19" s="212"/>
      <c r="HE19" s="212"/>
      <c r="HF19" s="212"/>
      <c r="HG19" s="212"/>
      <c r="HH19" s="212"/>
      <c r="HI19" s="212"/>
      <c r="HJ19" s="212"/>
      <c r="HK19" s="212"/>
      <c r="HL19" s="212"/>
      <c r="HM19" s="212"/>
      <c r="HN19" s="212"/>
      <c r="HO19" s="212"/>
      <c r="HP19" s="212"/>
      <c r="HQ19" s="212"/>
      <c r="HR19" s="212"/>
      <c r="HS19" s="212"/>
      <c r="HT19" s="212"/>
      <c r="HU19" s="212"/>
    </row>
    <row r="20" spans="1:229">
      <c r="A20" s="211" t="s">
        <v>379</v>
      </c>
      <c r="B20" s="211"/>
      <c r="C20" s="212"/>
      <c r="D20" s="213">
        <f t="shared" ref="D20:AI20" si="12">SUM(D17:D19)</f>
        <v>32</v>
      </c>
      <c r="E20" s="213">
        <f t="shared" si="12"/>
        <v>60</v>
      </c>
      <c r="F20" s="213">
        <f t="shared" si="12"/>
        <v>62</v>
      </c>
      <c r="G20" s="213">
        <f t="shared" si="12"/>
        <v>0</v>
      </c>
      <c r="H20" s="213">
        <f t="shared" si="12"/>
        <v>31</v>
      </c>
      <c r="I20" s="213">
        <f t="shared" si="12"/>
        <v>564.18117335751936</v>
      </c>
      <c r="J20" s="213">
        <f t="shared" si="12"/>
        <v>0</v>
      </c>
      <c r="K20" s="213">
        <f t="shared" si="12"/>
        <v>0</v>
      </c>
      <c r="L20" s="213">
        <f t="shared" si="12"/>
        <v>0</v>
      </c>
      <c r="M20" s="213">
        <f t="shared" si="12"/>
        <v>0</v>
      </c>
      <c r="N20" s="213">
        <f t="shared" si="12"/>
        <v>0</v>
      </c>
      <c r="O20" s="213">
        <f t="shared" si="12"/>
        <v>5782.7742610647447</v>
      </c>
      <c r="P20" s="213">
        <f t="shared" si="12"/>
        <v>0</v>
      </c>
      <c r="Q20" s="213">
        <f t="shared" si="12"/>
        <v>0</v>
      </c>
      <c r="R20" s="213">
        <f t="shared" si="12"/>
        <v>0</v>
      </c>
      <c r="S20" s="213">
        <f t="shared" si="12"/>
        <v>0</v>
      </c>
      <c r="T20" s="213">
        <f t="shared" si="12"/>
        <v>0</v>
      </c>
      <c r="U20" s="213">
        <f t="shared" si="12"/>
        <v>5782.7742610647447</v>
      </c>
      <c r="V20" s="213">
        <f t="shared" si="12"/>
        <v>0</v>
      </c>
      <c r="W20" s="213">
        <f t="shared" si="12"/>
        <v>0</v>
      </c>
      <c r="X20" s="213">
        <f t="shared" si="12"/>
        <v>0</v>
      </c>
      <c r="Y20" s="213">
        <f t="shared" si="12"/>
        <v>0</v>
      </c>
      <c r="Z20" s="213">
        <f t="shared" si="12"/>
        <v>0</v>
      </c>
      <c r="AA20" s="213">
        <f t="shared" si="12"/>
        <v>5782.7742610647447</v>
      </c>
      <c r="AB20" s="213">
        <f t="shared" si="12"/>
        <v>0</v>
      </c>
      <c r="AC20" s="213">
        <f t="shared" si="12"/>
        <v>0</v>
      </c>
      <c r="AD20" s="213">
        <f t="shared" si="12"/>
        <v>0</v>
      </c>
      <c r="AE20" s="213">
        <f t="shared" si="12"/>
        <v>0</v>
      </c>
      <c r="AF20" s="213">
        <f t="shared" si="12"/>
        <v>0</v>
      </c>
      <c r="AG20" s="213">
        <f t="shared" si="12"/>
        <v>5782.7742610647447</v>
      </c>
      <c r="AH20" s="213">
        <f t="shared" si="12"/>
        <v>0</v>
      </c>
      <c r="AI20" s="213">
        <f t="shared" si="12"/>
        <v>0</v>
      </c>
      <c r="AJ20" s="213">
        <f t="shared" ref="AJ20:BO20" si="13">SUM(AJ17:AJ19)</f>
        <v>0</v>
      </c>
      <c r="AK20" s="213">
        <f t="shared" si="13"/>
        <v>0</v>
      </c>
      <c r="AL20" s="213">
        <f t="shared" si="13"/>
        <v>0</v>
      </c>
      <c r="AM20" s="213">
        <f t="shared" si="13"/>
        <v>5782.7742610647447</v>
      </c>
      <c r="AN20" s="213">
        <f t="shared" si="13"/>
        <v>0</v>
      </c>
      <c r="AO20" s="213">
        <f t="shared" si="13"/>
        <v>0</v>
      </c>
      <c r="AP20" s="213">
        <f t="shared" si="13"/>
        <v>0</v>
      </c>
      <c r="AQ20" s="213">
        <f t="shared" si="13"/>
        <v>0</v>
      </c>
      <c r="AR20" s="213">
        <f t="shared" si="13"/>
        <v>0</v>
      </c>
      <c r="AS20" s="213">
        <f t="shared" si="13"/>
        <v>5782.7742610647447</v>
      </c>
      <c r="AT20" s="213">
        <f t="shared" si="13"/>
        <v>0</v>
      </c>
      <c r="AU20" s="213">
        <f t="shared" si="13"/>
        <v>0</v>
      </c>
      <c r="AV20" s="213">
        <f t="shared" si="13"/>
        <v>0</v>
      </c>
      <c r="AW20" s="213">
        <f t="shared" si="13"/>
        <v>0</v>
      </c>
      <c r="AX20" s="213">
        <f t="shared" si="13"/>
        <v>0</v>
      </c>
      <c r="AY20" s="213">
        <f t="shared" si="13"/>
        <v>5782.7742610647447</v>
      </c>
      <c r="AZ20" s="213">
        <f t="shared" si="13"/>
        <v>0</v>
      </c>
      <c r="BA20" s="213">
        <f t="shared" si="13"/>
        <v>0</v>
      </c>
      <c r="BB20" s="213">
        <f t="shared" si="13"/>
        <v>0</v>
      </c>
      <c r="BC20" s="213">
        <f t="shared" si="13"/>
        <v>0</v>
      </c>
      <c r="BD20" s="213">
        <f t="shared" si="13"/>
        <v>0</v>
      </c>
      <c r="BE20" s="213">
        <f t="shared" si="13"/>
        <v>5782.7742610647447</v>
      </c>
      <c r="BF20" s="213">
        <f t="shared" si="13"/>
        <v>0</v>
      </c>
      <c r="BG20" s="213">
        <f t="shared" si="13"/>
        <v>0</v>
      </c>
      <c r="BH20" s="213">
        <f t="shared" si="13"/>
        <v>0</v>
      </c>
      <c r="BI20" s="213">
        <f t="shared" si="13"/>
        <v>0</v>
      </c>
      <c r="BJ20" s="213">
        <f t="shared" si="13"/>
        <v>0</v>
      </c>
      <c r="BK20" s="213">
        <f t="shared" si="13"/>
        <v>5782.7742610647447</v>
      </c>
      <c r="BL20" s="213">
        <f t="shared" si="13"/>
        <v>0</v>
      </c>
      <c r="BM20" s="213">
        <f t="shared" si="13"/>
        <v>0</v>
      </c>
      <c r="BN20" s="213">
        <f t="shared" si="13"/>
        <v>0</v>
      </c>
      <c r="BO20" s="213">
        <f t="shared" si="13"/>
        <v>0</v>
      </c>
      <c r="BP20" s="213">
        <f t="shared" ref="BP20:CU20" si="14">SUM(BP17:BP19)</f>
        <v>0</v>
      </c>
      <c r="BQ20" s="213">
        <f t="shared" si="14"/>
        <v>5782.7742610647447</v>
      </c>
      <c r="BR20" s="213">
        <f t="shared" si="14"/>
        <v>0</v>
      </c>
      <c r="BS20" s="213">
        <f t="shared" si="14"/>
        <v>0</v>
      </c>
      <c r="BT20" s="213">
        <f t="shared" si="14"/>
        <v>0</v>
      </c>
      <c r="BU20" s="213">
        <f t="shared" si="14"/>
        <v>0</v>
      </c>
      <c r="BV20" s="213">
        <f t="shared" si="14"/>
        <v>0</v>
      </c>
      <c r="BW20" s="213">
        <f t="shared" si="14"/>
        <v>5782.7742610647447</v>
      </c>
      <c r="BX20" s="213">
        <f t="shared" si="14"/>
        <v>0</v>
      </c>
      <c r="BY20" s="213">
        <f t="shared" si="14"/>
        <v>0</v>
      </c>
      <c r="BZ20" s="213">
        <f t="shared" si="14"/>
        <v>0</v>
      </c>
      <c r="CA20" s="213">
        <f t="shared" si="14"/>
        <v>0</v>
      </c>
      <c r="CB20" s="213">
        <f t="shared" si="14"/>
        <v>0</v>
      </c>
      <c r="CC20" s="213">
        <f t="shared" si="14"/>
        <v>5782.7742610647447</v>
      </c>
      <c r="CD20" s="213">
        <f t="shared" si="14"/>
        <v>0</v>
      </c>
      <c r="CE20" s="213">
        <f t="shared" si="14"/>
        <v>0</v>
      </c>
      <c r="CF20" s="213">
        <f t="shared" si="14"/>
        <v>0</v>
      </c>
      <c r="CG20" s="213">
        <f t="shared" si="14"/>
        <v>0</v>
      </c>
      <c r="CH20" s="213">
        <f t="shared" si="14"/>
        <v>0</v>
      </c>
      <c r="CI20" s="213">
        <f t="shared" si="14"/>
        <v>5782.7742610647447</v>
      </c>
      <c r="CJ20" s="213">
        <f t="shared" si="14"/>
        <v>0</v>
      </c>
      <c r="CK20" s="213">
        <f t="shared" si="14"/>
        <v>0</v>
      </c>
      <c r="CL20" s="213">
        <f t="shared" si="14"/>
        <v>0</v>
      </c>
      <c r="CM20" s="213">
        <f t="shared" si="14"/>
        <v>0</v>
      </c>
      <c r="CN20" s="213">
        <f t="shared" si="14"/>
        <v>0</v>
      </c>
      <c r="CO20" s="213">
        <f t="shared" si="14"/>
        <v>5782.7742610647447</v>
      </c>
      <c r="CP20" s="213">
        <f t="shared" si="14"/>
        <v>0</v>
      </c>
      <c r="CQ20" s="213">
        <f t="shared" si="14"/>
        <v>0</v>
      </c>
      <c r="CR20" s="213">
        <f t="shared" si="14"/>
        <v>0</v>
      </c>
      <c r="CS20" s="213">
        <f t="shared" si="14"/>
        <v>0</v>
      </c>
      <c r="CT20" s="213">
        <f t="shared" si="14"/>
        <v>0</v>
      </c>
      <c r="CU20" s="213">
        <f t="shared" si="14"/>
        <v>5782.7742610647447</v>
      </c>
      <c r="CV20" s="213">
        <f t="shared" ref="CV20:EA20" si="15">SUM(CV17:CV19)</f>
        <v>0</v>
      </c>
      <c r="CW20" s="213">
        <f t="shared" si="15"/>
        <v>0</v>
      </c>
      <c r="CX20" s="213">
        <f t="shared" si="15"/>
        <v>0</v>
      </c>
      <c r="CY20" s="213">
        <f t="shared" si="15"/>
        <v>0</v>
      </c>
      <c r="CZ20" s="213">
        <f t="shared" si="15"/>
        <v>0</v>
      </c>
      <c r="DA20" s="213">
        <f t="shared" si="15"/>
        <v>5782.7742610647447</v>
      </c>
      <c r="DB20" s="213">
        <f t="shared" si="15"/>
        <v>0</v>
      </c>
      <c r="DC20" s="213">
        <f t="shared" si="15"/>
        <v>0</v>
      </c>
      <c r="DD20" s="213">
        <f t="shared" si="15"/>
        <v>0</v>
      </c>
      <c r="DE20" s="213">
        <f t="shared" si="15"/>
        <v>0</v>
      </c>
      <c r="DF20" s="213">
        <f t="shared" si="15"/>
        <v>0</v>
      </c>
      <c r="DG20" s="213">
        <f t="shared" si="15"/>
        <v>5782.7742610647447</v>
      </c>
      <c r="DH20" s="213">
        <f t="shared" si="15"/>
        <v>0</v>
      </c>
      <c r="DI20" s="213">
        <f t="shared" si="15"/>
        <v>0</v>
      </c>
      <c r="DJ20" s="213">
        <f t="shared" si="15"/>
        <v>0</v>
      </c>
      <c r="DK20" s="213">
        <f t="shared" si="15"/>
        <v>0</v>
      </c>
      <c r="DL20" s="213">
        <f t="shared" si="15"/>
        <v>0</v>
      </c>
      <c r="DM20" s="213">
        <f t="shared" si="15"/>
        <v>5782.7742610647447</v>
      </c>
      <c r="DN20" s="213">
        <f t="shared" si="15"/>
        <v>0</v>
      </c>
      <c r="DO20" s="213">
        <f t="shared" si="15"/>
        <v>0</v>
      </c>
      <c r="DP20" s="213">
        <f t="shared" si="15"/>
        <v>0</v>
      </c>
      <c r="DQ20" s="213">
        <f t="shared" si="15"/>
        <v>0</v>
      </c>
      <c r="DR20" s="213">
        <f t="shared" si="15"/>
        <v>0</v>
      </c>
      <c r="DS20" s="213">
        <f t="shared" si="15"/>
        <v>5782.7742610647447</v>
      </c>
      <c r="DT20" s="213">
        <f t="shared" si="15"/>
        <v>0</v>
      </c>
      <c r="DU20" s="213">
        <f t="shared" si="15"/>
        <v>0</v>
      </c>
      <c r="DV20" s="213">
        <f t="shared" si="15"/>
        <v>0</v>
      </c>
      <c r="DW20" s="213">
        <f t="shared" si="15"/>
        <v>0</v>
      </c>
      <c r="DX20" s="213">
        <f t="shared" si="15"/>
        <v>0</v>
      </c>
      <c r="DY20" s="213">
        <f t="shared" si="15"/>
        <v>5782.7742610647447</v>
      </c>
      <c r="DZ20" s="213">
        <f t="shared" si="15"/>
        <v>0</v>
      </c>
      <c r="EA20" s="213">
        <f t="shared" si="15"/>
        <v>0</v>
      </c>
      <c r="EB20" s="213">
        <f t="shared" ref="EB20:FG20" si="16">SUM(EB17:EB19)</f>
        <v>0</v>
      </c>
      <c r="EC20" s="213">
        <f t="shared" si="16"/>
        <v>0</v>
      </c>
      <c r="ED20" s="213">
        <f t="shared" si="16"/>
        <v>0</v>
      </c>
      <c r="EE20" s="213">
        <f t="shared" si="16"/>
        <v>5782.7742610647447</v>
      </c>
      <c r="EF20" s="213">
        <f t="shared" si="16"/>
        <v>0</v>
      </c>
      <c r="EG20" s="213">
        <f t="shared" si="16"/>
        <v>0</v>
      </c>
      <c r="EH20" s="213">
        <f t="shared" si="16"/>
        <v>0</v>
      </c>
      <c r="EI20" s="213">
        <f t="shared" si="16"/>
        <v>0</v>
      </c>
      <c r="EJ20" s="213">
        <f t="shared" si="16"/>
        <v>0</v>
      </c>
      <c r="EK20" s="213">
        <f t="shared" si="16"/>
        <v>5782.7742610647447</v>
      </c>
      <c r="EL20" s="213">
        <f t="shared" si="16"/>
        <v>0</v>
      </c>
      <c r="EM20" s="213">
        <f t="shared" si="16"/>
        <v>0</v>
      </c>
      <c r="EN20" s="213">
        <f t="shared" si="16"/>
        <v>0</v>
      </c>
      <c r="EO20" s="213">
        <f t="shared" si="16"/>
        <v>0</v>
      </c>
      <c r="EP20" s="213">
        <f t="shared" si="16"/>
        <v>0</v>
      </c>
      <c r="EQ20" s="213">
        <f t="shared" si="16"/>
        <v>5782.7742610647447</v>
      </c>
      <c r="ER20" s="213">
        <f t="shared" si="16"/>
        <v>0</v>
      </c>
      <c r="ES20" s="213">
        <f t="shared" si="16"/>
        <v>0</v>
      </c>
      <c r="ET20" s="213">
        <f t="shared" si="16"/>
        <v>0</v>
      </c>
      <c r="EU20" s="213">
        <f t="shared" si="16"/>
        <v>0</v>
      </c>
      <c r="EV20" s="213">
        <f t="shared" si="16"/>
        <v>0</v>
      </c>
      <c r="EW20" s="213">
        <f t="shared" si="16"/>
        <v>5782.7742610647447</v>
      </c>
      <c r="EX20" s="213">
        <f t="shared" si="16"/>
        <v>0</v>
      </c>
      <c r="EY20" s="213">
        <f t="shared" si="16"/>
        <v>0</v>
      </c>
      <c r="EZ20" s="213">
        <f t="shared" si="16"/>
        <v>0</v>
      </c>
      <c r="FA20" s="213">
        <f t="shared" si="16"/>
        <v>0</v>
      </c>
      <c r="FB20" s="213">
        <f t="shared" si="16"/>
        <v>0</v>
      </c>
      <c r="FC20" s="213">
        <f t="shared" si="16"/>
        <v>5782.7742610647447</v>
      </c>
      <c r="FD20" s="213">
        <f t="shared" si="16"/>
        <v>0</v>
      </c>
      <c r="FE20" s="213">
        <f t="shared" si="16"/>
        <v>0</v>
      </c>
      <c r="FF20" s="213">
        <f t="shared" si="16"/>
        <v>0</v>
      </c>
      <c r="FG20" s="213">
        <f t="shared" si="16"/>
        <v>0</v>
      </c>
      <c r="FH20" s="213">
        <f t="shared" ref="FH20:GG20" si="17">SUM(FH17:FH19)</f>
        <v>0</v>
      </c>
      <c r="FI20" s="213">
        <f t="shared" si="17"/>
        <v>5782.7742610647447</v>
      </c>
      <c r="FJ20" s="213">
        <f t="shared" si="17"/>
        <v>0</v>
      </c>
      <c r="FK20" s="213">
        <f t="shared" si="17"/>
        <v>0</v>
      </c>
      <c r="FL20" s="213">
        <f t="shared" si="17"/>
        <v>0</v>
      </c>
      <c r="FM20" s="213">
        <f t="shared" si="17"/>
        <v>0</v>
      </c>
      <c r="FN20" s="213">
        <f t="shared" si="17"/>
        <v>0</v>
      </c>
      <c r="FO20" s="213">
        <f t="shared" si="17"/>
        <v>5782.7742610647447</v>
      </c>
      <c r="FP20" s="213">
        <f t="shared" si="17"/>
        <v>0</v>
      </c>
      <c r="FQ20" s="213">
        <f t="shared" si="17"/>
        <v>0</v>
      </c>
      <c r="FR20" s="213">
        <f t="shared" si="17"/>
        <v>0</v>
      </c>
      <c r="FS20" s="213">
        <f t="shared" si="17"/>
        <v>0</v>
      </c>
      <c r="FT20" s="213">
        <f t="shared" si="17"/>
        <v>0</v>
      </c>
      <c r="FU20" s="213">
        <f t="shared" si="17"/>
        <v>5782.7742610647447</v>
      </c>
      <c r="FV20" s="213">
        <f t="shared" si="17"/>
        <v>0</v>
      </c>
      <c r="FW20" s="213">
        <f t="shared" si="17"/>
        <v>0</v>
      </c>
      <c r="FX20" s="213">
        <f t="shared" si="17"/>
        <v>0</v>
      </c>
      <c r="FY20" s="213">
        <f t="shared" si="17"/>
        <v>0</v>
      </c>
      <c r="FZ20" s="213">
        <f t="shared" si="17"/>
        <v>0</v>
      </c>
      <c r="GA20" s="213">
        <f t="shared" si="17"/>
        <v>5782.7742610647447</v>
      </c>
      <c r="GB20" s="213">
        <f t="shared" si="17"/>
        <v>0</v>
      </c>
      <c r="GC20" s="213">
        <f t="shared" si="17"/>
        <v>0</v>
      </c>
      <c r="GD20" s="213">
        <f t="shared" si="17"/>
        <v>0</v>
      </c>
      <c r="GE20" s="213">
        <f t="shared" si="17"/>
        <v>0</v>
      </c>
      <c r="GF20" s="213">
        <f t="shared" si="17"/>
        <v>0</v>
      </c>
      <c r="GG20" s="213">
        <f t="shared" si="17"/>
        <v>5782.7742610647447</v>
      </c>
      <c r="GH20" s="212"/>
      <c r="GI20" s="212"/>
      <c r="GJ20" s="212"/>
      <c r="GK20" s="212"/>
      <c r="GL20" s="212"/>
      <c r="GM20" s="212"/>
      <c r="GN20" s="212"/>
      <c r="GO20" s="212"/>
      <c r="GP20" s="212"/>
      <c r="GQ20" s="212"/>
      <c r="GR20" s="212"/>
      <c r="GS20" s="212"/>
      <c r="GT20" s="212"/>
      <c r="GU20" s="212"/>
      <c r="GV20" s="212"/>
      <c r="GW20" s="212"/>
      <c r="GX20" s="212"/>
      <c r="GY20" s="212"/>
      <c r="GZ20" s="212"/>
      <c r="HA20" s="212"/>
      <c r="HB20" s="212"/>
      <c r="HC20" s="212"/>
      <c r="HD20" s="212"/>
      <c r="HE20" s="212"/>
      <c r="HF20" s="212"/>
      <c r="HG20" s="212"/>
      <c r="HH20" s="212"/>
      <c r="HI20" s="212"/>
      <c r="HJ20" s="212"/>
      <c r="HK20" s="212"/>
      <c r="HL20" s="212"/>
      <c r="HM20" s="212"/>
      <c r="HN20" s="212"/>
      <c r="HO20" s="212"/>
      <c r="HP20" s="212"/>
      <c r="HQ20" s="212"/>
      <c r="HR20" s="212"/>
      <c r="HS20" s="212"/>
      <c r="HT20" s="212"/>
      <c r="HU20" s="212"/>
    </row>
    <row r="21" spans="1:229">
      <c r="A21" s="81"/>
      <c r="B21" s="81"/>
      <c r="C21" s="212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AC21" s="212"/>
      <c r="AD21" s="212"/>
      <c r="AE21" s="212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2"/>
      <c r="AX21" s="212"/>
      <c r="AY21" s="212"/>
      <c r="AZ21" s="212"/>
      <c r="BA21" s="212"/>
      <c r="BB21" s="212"/>
      <c r="BC21" s="212"/>
      <c r="BD21" s="212"/>
      <c r="BE21" s="212"/>
      <c r="BF21" s="212"/>
      <c r="BG21" s="212"/>
      <c r="BH21" s="212"/>
      <c r="BI21" s="212"/>
      <c r="BJ21" s="212"/>
      <c r="BK21" s="212"/>
      <c r="BL21" s="212"/>
      <c r="BM21" s="212"/>
      <c r="BN21" s="212"/>
      <c r="BO21" s="212"/>
      <c r="BP21" s="212"/>
      <c r="BQ21" s="212"/>
      <c r="BR21" s="212"/>
      <c r="BS21" s="212"/>
      <c r="BT21" s="212"/>
      <c r="BU21" s="212"/>
      <c r="BV21" s="212"/>
      <c r="BW21" s="212"/>
      <c r="BX21" s="212"/>
      <c r="BY21" s="212"/>
      <c r="BZ21" s="212"/>
      <c r="CA21" s="212"/>
      <c r="CB21" s="212"/>
      <c r="CC21" s="212"/>
      <c r="CD21" s="212"/>
      <c r="CE21" s="212"/>
      <c r="CF21" s="212"/>
      <c r="CG21" s="212"/>
      <c r="CH21" s="212"/>
      <c r="CI21" s="212"/>
      <c r="CJ21" s="212"/>
      <c r="CK21" s="212"/>
      <c r="CL21" s="212"/>
      <c r="CM21" s="212"/>
      <c r="CN21" s="212"/>
      <c r="CO21" s="212"/>
      <c r="CP21" s="212"/>
      <c r="CQ21" s="212"/>
      <c r="CR21" s="212"/>
      <c r="CS21" s="212"/>
      <c r="CT21" s="212"/>
      <c r="CU21" s="212"/>
      <c r="CV21" s="212"/>
      <c r="CW21" s="212"/>
      <c r="CX21" s="212"/>
      <c r="CY21" s="212"/>
      <c r="CZ21" s="212"/>
      <c r="DA21" s="212"/>
      <c r="DB21" s="212"/>
      <c r="DC21" s="212"/>
      <c r="DD21" s="212"/>
      <c r="DE21" s="212"/>
      <c r="DF21" s="212"/>
      <c r="DG21" s="212"/>
      <c r="DH21" s="212"/>
      <c r="DI21" s="212"/>
      <c r="DJ21" s="212"/>
      <c r="DK21" s="212"/>
      <c r="DL21" s="212"/>
      <c r="DM21" s="212"/>
      <c r="DN21" s="212"/>
      <c r="DO21" s="212"/>
      <c r="DP21" s="212"/>
      <c r="DQ21" s="212"/>
      <c r="DR21" s="212"/>
      <c r="DS21" s="212"/>
      <c r="DT21" s="212"/>
      <c r="DU21" s="212"/>
      <c r="DV21" s="212"/>
      <c r="DW21" s="212"/>
      <c r="DX21" s="212"/>
      <c r="DY21" s="212"/>
      <c r="DZ21" s="212"/>
      <c r="EA21" s="212"/>
      <c r="EB21" s="212"/>
      <c r="EC21" s="212"/>
      <c r="ED21" s="212"/>
      <c r="EE21" s="212"/>
      <c r="EF21" s="212"/>
      <c r="EG21" s="212"/>
      <c r="EH21" s="212"/>
      <c r="EI21" s="212"/>
      <c r="EJ21" s="212"/>
      <c r="EK21" s="212"/>
      <c r="EL21" s="212"/>
      <c r="EM21" s="212"/>
      <c r="EN21" s="212"/>
      <c r="EO21" s="212"/>
      <c r="EP21" s="212"/>
      <c r="EQ21" s="212"/>
      <c r="ER21" s="212"/>
      <c r="ES21" s="212"/>
      <c r="ET21" s="212"/>
      <c r="EU21" s="212"/>
      <c r="EV21" s="212"/>
      <c r="EW21" s="212"/>
      <c r="EX21" s="212"/>
      <c r="EY21" s="212"/>
      <c r="EZ21" s="212"/>
      <c r="FA21" s="212"/>
      <c r="FB21" s="212"/>
      <c r="FC21" s="212"/>
      <c r="FD21" s="212"/>
      <c r="FE21" s="212"/>
      <c r="FF21" s="212"/>
      <c r="FG21" s="212"/>
      <c r="FH21" s="212"/>
      <c r="FI21" s="212"/>
      <c r="FJ21" s="212"/>
      <c r="FK21" s="212"/>
      <c r="FL21" s="212"/>
      <c r="FM21" s="212"/>
      <c r="FN21" s="212"/>
      <c r="FO21" s="212"/>
      <c r="FP21" s="212"/>
      <c r="FQ21" s="212"/>
      <c r="FR21" s="212"/>
      <c r="FS21" s="212"/>
      <c r="FT21" s="212"/>
      <c r="FU21" s="212"/>
      <c r="FV21" s="212"/>
      <c r="FW21" s="212"/>
      <c r="FX21" s="212"/>
      <c r="FY21" s="212"/>
      <c r="FZ21" s="212"/>
      <c r="GA21" s="212"/>
      <c r="GB21" s="212"/>
      <c r="GC21" s="212"/>
      <c r="GD21" s="212"/>
      <c r="GE21" s="212"/>
      <c r="GF21" s="212"/>
      <c r="GG21" s="212"/>
      <c r="GH21" s="212"/>
      <c r="GI21" s="212"/>
      <c r="GJ21" s="212"/>
      <c r="GK21" s="212"/>
      <c r="GL21" s="212"/>
      <c r="GM21" s="212"/>
      <c r="GN21" s="212"/>
      <c r="GO21" s="212"/>
      <c r="GP21" s="212"/>
      <c r="GQ21" s="212"/>
      <c r="GR21" s="212"/>
      <c r="GS21" s="212"/>
      <c r="GT21" s="212"/>
      <c r="GU21" s="212"/>
      <c r="GV21" s="212"/>
      <c r="GW21" s="212"/>
      <c r="GX21" s="212"/>
      <c r="GY21" s="212"/>
      <c r="GZ21" s="212"/>
      <c r="HA21" s="212"/>
      <c r="HB21" s="212"/>
      <c r="HC21" s="212"/>
      <c r="HD21" s="212"/>
      <c r="HE21" s="212"/>
      <c r="HF21" s="212"/>
      <c r="HG21" s="212"/>
      <c r="HH21" s="212"/>
      <c r="HI21" s="212"/>
      <c r="HJ21" s="212"/>
      <c r="HK21" s="212"/>
      <c r="HL21" s="212"/>
      <c r="HM21" s="212"/>
      <c r="HN21" s="212"/>
      <c r="HO21" s="212"/>
      <c r="HP21" s="212"/>
      <c r="HQ21" s="212"/>
      <c r="HR21" s="212"/>
      <c r="HS21" s="212"/>
      <c r="HT21" s="212"/>
      <c r="HU21" s="212"/>
    </row>
    <row r="22" spans="1:229">
      <c r="A22" s="214"/>
      <c r="B22" s="214"/>
      <c r="C22" s="212"/>
      <c r="D22" s="318"/>
      <c r="E22" s="318"/>
      <c r="F22" s="318"/>
      <c r="G22" s="318"/>
      <c r="H22" s="318"/>
      <c r="I22" s="318"/>
      <c r="J22" s="318"/>
      <c r="K22" s="318"/>
      <c r="L22" s="318"/>
      <c r="M22" s="318"/>
      <c r="N22" s="318"/>
      <c r="O22" s="318"/>
      <c r="P22" s="318"/>
      <c r="Q22" s="318"/>
      <c r="R22" s="318"/>
      <c r="S22" s="318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2"/>
      <c r="BA22" s="212"/>
      <c r="BB22" s="212"/>
      <c r="BC22" s="212"/>
      <c r="BD22" s="212"/>
      <c r="BE22" s="212"/>
      <c r="BF22" s="212"/>
      <c r="BG22" s="212"/>
      <c r="BH22" s="212"/>
      <c r="BI22" s="212"/>
      <c r="BJ22" s="212"/>
      <c r="BK22" s="212"/>
      <c r="BL22" s="212"/>
      <c r="BM22" s="212"/>
      <c r="BN22" s="212"/>
      <c r="BO22" s="212"/>
      <c r="BP22" s="212"/>
      <c r="BQ22" s="212"/>
      <c r="BR22" s="212"/>
      <c r="BS22" s="212"/>
      <c r="BT22" s="212"/>
      <c r="BU22" s="212"/>
      <c r="BV22" s="212"/>
      <c r="BW22" s="212"/>
      <c r="BX22" s="212"/>
      <c r="BY22" s="212"/>
      <c r="BZ22" s="212"/>
      <c r="CA22" s="212"/>
      <c r="CB22" s="212"/>
      <c r="CC22" s="212"/>
      <c r="CD22" s="212"/>
      <c r="CE22" s="212"/>
      <c r="CF22" s="212"/>
      <c r="CG22" s="212"/>
      <c r="CH22" s="212"/>
      <c r="CI22" s="212"/>
      <c r="CJ22" s="212"/>
      <c r="CK22" s="212"/>
      <c r="CL22" s="212"/>
      <c r="CM22" s="212"/>
      <c r="CN22" s="212"/>
      <c r="CO22" s="212"/>
      <c r="CP22" s="212"/>
      <c r="CQ22" s="212"/>
      <c r="CR22" s="212"/>
      <c r="CS22" s="212"/>
      <c r="CT22" s="212"/>
      <c r="CU22" s="212"/>
      <c r="CV22" s="212"/>
      <c r="CW22" s="212"/>
      <c r="CX22" s="212"/>
      <c r="CY22" s="212"/>
      <c r="CZ22" s="212"/>
      <c r="DA22" s="212"/>
      <c r="DB22" s="212"/>
      <c r="DC22" s="212"/>
      <c r="DD22" s="212"/>
      <c r="DE22" s="212"/>
      <c r="DF22" s="212"/>
      <c r="DG22" s="212"/>
      <c r="DH22" s="212"/>
      <c r="DI22" s="212"/>
      <c r="DJ22" s="212"/>
      <c r="DK22" s="212"/>
      <c r="DL22" s="212"/>
      <c r="DM22" s="212"/>
      <c r="DN22" s="212"/>
      <c r="DO22" s="212"/>
      <c r="DP22" s="212"/>
      <c r="DQ22" s="212"/>
      <c r="DR22" s="212"/>
      <c r="DS22" s="212"/>
      <c r="DT22" s="212"/>
      <c r="DU22" s="212"/>
      <c r="DV22" s="212"/>
      <c r="DW22" s="212"/>
      <c r="DX22" s="212"/>
      <c r="DY22" s="212"/>
      <c r="DZ22" s="212"/>
      <c r="EA22" s="212"/>
      <c r="EB22" s="212"/>
      <c r="EC22" s="212"/>
      <c r="ED22" s="212"/>
      <c r="EE22" s="212"/>
      <c r="EF22" s="212"/>
      <c r="EG22" s="212"/>
      <c r="EH22" s="212"/>
      <c r="EI22" s="212"/>
      <c r="EJ22" s="212"/>
      <c r="EK22" s="212"/>
      <c r="EL22" s="212"/>
      <c r="EM22" s="212"/>
      <c r="EN22" s="212"/>
      <c r="EO22" s="212"/>
      <c r="EP22" s="212"/>
      <c r="EQ22" s="212"/>
      <c r="ER22" s="212"/>
      <c r="ES22" s="212"/>
      <c r="ET22" s="212"/>
      <c r="EU22" s="212"/>
      <c r="EV22" s="212"/>
      <c r="EW22" s="212"/>
      <c r="EX22" s="212"/>
      <c r="EY22" s="212"/>
      <c r="EZ22" s="212"/>
      <c r="FA22" s="212"/>
      <c r="FB22" s="212"/>
      <c r="FC22" s="212"/>
      <c r="FD22" s="212"/>
      <c r="FE22" s="212"/>
      <c r="FF22" s="212"/>
      <c r="FG22" s="212"/>
      <c r="FH22" s="212"/>
      <c r="FI22" s="212"/>
      <c r="FJ22" s="212"/>
      <c r="FK22" s="212"/>
      <c r="FL22" s="212"/>
      <c r="FM22" s="212"/>
      <c r="FN22" s="212"/>
      <c r="FO22" s="212"/>
      <c r="FP22" s="212"/>
      <c r="FQ22" s="212"/>
      <c r="FR22" s="212"/>
      <c r="FS22" s="212"/>
      <c r="FT22" s="212"/>
      <c r="FU22" s="212"/>
      <c r="FV22" s="212"/>
      <c r="FW22" s="212"/>
      <c r="FX22" s="212"/>
      <c r="FY22" s="212"/>
      <c r="FZ22" s="212"/>
      <c r="GA22" s="212"/>
      <c r="GB22" s="212"/>
      <c r="GC22" s="212"/>
      <c r="GD22" s="212"/>
      <c r="GE22" s="212"/>
      <c r="GF22" s="212"/>
      <c r="GG22" s="212"/>
      <c r="GH22" s="212"/>
      <c r="GI22" s="212"/>
      <c r="GJ22" s="212"/>
      <c r="GK22" s="212"/>
      <c r="GL22" s="212"/>
      <c r="GM22" s="212"/>
      <c r="GN22" s="212"/>
      <c r="GO22" s="212"/>
      <c r="GP22" s="212"/>
      <c r="GQ22" s="212"/>
      <c r="GR22" s="212"/>
      <c r="GS22" s="212"/>
      <c r="GT22" s="212"/>
      <c r="GU22" s="212"/>
      <c r="GV22" s="212"/>
      <c r="GW22" s="212"/>
      <c r="GX22" s="212"/>
      <c r="GY22" s="212"/>
      <c r="GZ22" s="212"/>
      <c r="HA22" s="212"/>
      <c r="HB22" s="212"/>
      <c r="HC22" s="212"/>
      <c r="HD22" s="212"/>
      <c r="HE22" s="212"/>
      <c r="HF22" s="212"/>
      <c r="HG22" s="212"/>
      <c r="HH22" s="212"/>
      <c r="HI22" s="212"/>
      <c r="HJ22" s="212"/>
      <c r="HK22" s="212"/>
      <c r="HL22" s="212"/>
      <c r="HM22" s="212"/>
      <c r="HN22" s="212"/>
      <c r="HO22" s="212"/>
      <c r="HP22" s="212"/>
      <c r="HQ22" s="212"/>
      <c r="HR22" s="212"/>
      <c r="HS22" s="212"/>
      <c r="HT22" s="212"/>
      <c r="HU22" s="212"/>
    </row>
    <row r="23" spans="1:229">
      <c r="A23" s="211" t="s">
        <v>406</v>
      </c>
      <c r="B23" s="211"/>
      <c r="C23" s="212"/>
      <c r="D23" s="213">
        <f>D13-D20</f>
        <v>250.62715400410679</v>
      </c>
      <c r="E23" s="213">
        <f t="shared" ref="E23:AJ23" si="18">D23+E13-E20</f>
        <v>728.28115400410684</v>
      </c>
      <c r="F23" s="213">
        <f t="shared" si="18"/>
        <v>1428.6921540041069</v>
      </c>
      <c r="G23" s="213">
        <f t="shared" si="18"/>
        <v>1428.6921540041069</v>
      </c>
      <c r="H23" s="213">
        <f t="shared" si="18"/>
        <v>2160.1031540041067</v>
      </c>
      <c r="I23" s="213">
        <f t="shared" si="18"/>
        <v>1595.9219806465874</v>
      </c>
      <c r="J23" s="213">
        <f t="shared" si="18"/>
        <v>2583.0899806465873</v>
      </c>
      <c r="K23" s="213">
        <f t="shared" si="18"/>
        <v>3570.2579806465874</v>
      </c>
      <c r="L23" s="213">
        <f t="shared" si="18"/>
        <v>4557.425980646587</v>
      </c>
      <c r="M23" s="213">
        <f t="shared" si="18"/>
        <v>5544.5939806465867</v>
      </c>
      <c r="N23" s="213">
        <f t="shared" si="18"/>
        <v>6531.7619806465864</v>
      </c>
      <c r="O23" s="213">
        <f t="shared" si="18"/>
        <v>1736.1557195818414</v>
      </c>
      <c r="P23" s="213">
        <f t="shared" si="18"/>
        <v>2723.3237195818415</v>
      </c>
      <c r="Q23" s="213">
        <f t="shared" si="18"/>
        <v>3710.4917195818416</v>
      </c>
      <c r="R23" s="213">
        <f t="shared" si="18"/>
        <v>4697.6597195818413</v>
      </c>
      <c r="S23" s="213">
        <f t="shared" si="18"/>
        <v>5684.8277195818409</v>
      </c>
      <c r="T23" s="213">
        <f t="shared" si="18"/>
        <v>6671.9957195818406</v>
      </c>
      <c r="U23" s="213">
        <f t="shared" si="18"/>
        <v>1876.3894585170956</v>
      </c>
      <c r="V23" s="213">
        <f t="shared" si="18"/>
        <v>2863.5574585170957</v>
      </c>
      <c r="W23" s="213">
        <f t="shared" si="18"/>
        <v>3850.7254585170958</v>
      </c>
      <c r="X23" s="213">
        <f t="shared" si="18"/>
        <v>4837.8934585170955</v>
      </c>
      <c r="Y23" s="213">
        <f t="shared" si="18"/>
        <v>5825.0614585170952</v>
      </c>
      <c r="Z23" s="213">
        <f t="shared" si="18"/>
        <v>6812.2294585170948</v>
      </c>
      <c r="AA23" s="213">
        <f t="shared" si="18"/>
        <v>2016.6231974523498</v>
      </c>
      <c r="AB23" s="213">
        <f t="shared" si="18"/>
        <v>3003.7911974523499</v>
      </c>
      <c r="AC23" s="213">
        <f t="shared" si="18"/>
        <v>3990.9591974523501</v>
      </c>
      <c r="AD23" s="213">
        <f t="shared" si="18"/>
        <v>4978.1271974523497</v>
      </c>
      <c r="AE23" s="213">
        <f t="shared" si="18"/>
        <v>5965.2951974523494</v>
      </c>
      <c r="AF23" s="213">
        <f t="shared" si="18"/>
        <v>6952.463197452349</v>
      </c>
      <c r="AG23" s="213">
        <f t="shared" si="18"/>
        <v>2156.856936387604</v>
      </c>
      <c r="AH23" s="213">
        <f t="shared" si="18"/>
        <v>3144.0249363876042</v>
      </c>
      <c r="AI23" s="213">
        <f t="shared" si="18"/>
        <v>4131.1929363876043</v>
      </c>
      <c r="AJ23" s="213">
        <f t="shared" si="18"/>
        <v>5118.3609363876039</v>
      </c>
      <c r="AK23" s="213">
        <f t="shared" ref="AK23:BP23" si="19">AJ23+AK13-AK20</f>
        <v>6105.5289363876036</v>
      </c>
      <c r="AL23" s="213">
        <f t="shared" si="19"/>
        <v>7092.6969363876033</v>
      </c>
      <c r="AM23" s="213">
        <f t="shared" si="19"/>
        <v>2297.0906753228583</v>
      </c>
      <c r="AN23" s="213">
        <f t="shared" si="19"/>
        <v>3284.2586753228584</v>
      </c>
      <c r="AO23" s="213">
        <f t="shared" si="19"/>
        <v>4271.4266753228585</v>
      </c>
      <c r="AP23" s="213">
        <f t="shared" si="19"/>
        <v>5258.5946753228582</v>
      </c>
      <c r="AQ23" s="213">
        <f t="shared" si="19"/>
        <v>6245.7626753228578</v>
      </c>
      <c r="AR23" s="213">
        <f t="shared" si="19"/>
        <v>7232.9306753228575</v>
      </c>
      <c r="AS23" s="213">
        <f t="shared" si="19"/>
        <v>2437.3244142581125</v>
      </c>
      <c r="AT23" s="213">
        <f t="shared" si="19"/>
        <v>3424.4924142581126</v>
      </c>
      <c r="AU23" s="213">
        <f t="shared" si="19"/>
        <v>4411.6604142581127</v>
      </c>
      <c r="AV23" s="213">
        <f t="shared" si="19"/>
        <v>5398.8284142581124</v>
      </c>
      <c r="AW23" s="213">
        <f t="shared" si="19"/>
        <v>6385.9964142581121</v>
      </c>
      <c r="AX23" s="213">
        <f t="shared" si="19"/>
        <v>7373.1644142581117</v>
      </c>
      <c r="AY23" s="213">
        <f t="shared" si="19"/>
        <v>2577.5581531933667</v>
      </c>
      <c r="AZ23" s="213">
        <f t="shared" si="19"/>
        <v>3564.7261531933668</v>
      </c>
      <c r="BA23" s="213">
        <f t="shared" si="19"/>
        <v>4551.8941531933669</v>
      </c>
      <c r="BB23" s="213">
        <f t="shared" si="19"/>
        <v>5539.0621531933666</v>
      </c>
      <c r="BC23" s="213">
        <f t="shared" si="19"/>
        <v>6526.2301531933663</v>
      </c>
      <c r="BD23" s="213">
        <f t="shared" si="19"/>
        <v>7513.3981531933659</v>
      </c>
      <c r="BE23" s="213">
        <f t="shared" si="19"/>
        <v>2717.7918921286209</v>
      </c>
      <c r="BF23" s="213">
        <f t="shared" si="19"/>
        <v>3704.959892128621</v>
      </c>
      <c r="BG23" s="213">
        <f t="shared" si="19"/>
        <v>4692.1278921286212</v>
      </c>
      <c r="BH23" s="213">
        <f t="shared" si="19"/>
        <v>5679.2958921286208</v>
      </c>
      <c r="BI23" s="213">
        <f t="shared" si="19"/>
        <v>6666.4638921286205</v>
      </c>
      <c r="BJ23" s="213">
        <f t="shared" si="19"/>
        <v>7653.6318921286202</v>
      </c>
      <c r="BK23" s="213">
        <f t="shared" si="19"/>
        <v>2858.0256310638752</v>
      </c>
      <c r="BL23" s="213">
        <f t="shared" si="19"/>
        <v>3845.1936310638753</v>
      </c>
      <c r="BM23" s="213">
        <f t="shared" si="19"/>
        <v>4832.3616310638754</v>
      </c>
      <c r="BN23" s="213">
        <f t="shared" si="19"/>
        <v>5819.5296310638751</v>
      </c>
      <c r="BO23" s="213">
        <f t="shared" si="19"/>
        <v>6806.6976310638747</v>
      </c>
      <c r="BP23" s="213">
        <f t="shared" si="19"/>
        <v>7793.8656310638744</v>
      </c>
      <c r="BQ23" s="213">
        <f t="shared" ref="BQ23:CV23" si="20">BP23+BQ13-BQ20</f>
        <v>2998.2593699991294</v>
      </c>
      <c r="BR23" s="213">
        <f t="shared" si="20"/>
        <v>3985.4273699991295</v>
      </c>
      <c r="BS23" s="213">
        <f t="shared" si="20"/>
        <v>4972.5953699991296</v>
      </c>
      <c r="BT23" s="213">
        <f t="shared" si="20"/>
        <v>5959.7633699991293</v>
      </c>
      <c r="BU23" s="213">
        <f t="shared" si="20"/>
        <v>6946.9313699991289</v>
      </c>
      <c r="BV23" s="213">
        <f t="shared" si="20"/>
        <v>7934.0993699991286</v>
      </c>
      <c r="BW23" s="213">
        <f t="shared" si="20"/>
        <v>3138.4931089343836</v>
      </c>
      <c r="BX23" s="213">
        <f t="shared" si="20"/>
        <v>4125.6611089343833</v>
      </c>
      <c r="BY23" s="213">
        <f t="shared" si="20"/>
        <v>5112.8291089343829</v>
      </c>
      <c r="BZ23" s="213">
        <f t="shared" si="20"/>
        <v>6099.9971089343826</v>
      </c>
      <c r="CA23" s="213">
        <f t="shared" si="20"/>
        <v>7087.1651089343823</v>
      </c>
      <c r="CB23" s="213">
        <f t="shared" si="20"/>
        <v>8074.3331089343819</v>
      </c>
      <c r="CC23" s="213">
        <f t="shared" si="20"/>
        <v>3278.7268478696378</v>
      </c>
      <c r="CD23" s="213">
        <f t="shared" si="20"/>
        <v>4265.8948478696375</v>
      </c>
      <c r="CE23" s="213">
        <f t="shared" si="20"/>
        <v>5253.0628478696372</v>
      </c>
      <c r="CF23" s="213">
        <f t="shared" si="20"/>
        <v>6240.2308478696368</v>
      </c>
      <c r="CG23" s="213">
        <f t="shared" si="20"/>
        <v>7227.3988478696365</v>
      </c>
      <c r="CH23" s="213">
        <f t="shared" si="20"/>
        <v>8214.5668478696371</v>
      </c>
      <c r="CI23" s="213">
        <f t="shared" si="20"/>
        <v>3418.960586804892</v>
      </c>
      <c r="CJ23" s="213">
        <f t="shared" si="20"/>
        <v>4406.1285868048917</v>
      </c>
      <c r="CK23" s="213">
        <f t="shared" si="20"/>
        <v>5393.2965868048914</v>
      </c>
      <c r="CL23" s="213">
        <f t="shared" si="20"/>
        <v>6380.464586804891</v>
      </c>
      <c r="CM23" s="213">
        <f t="shared" si="20"/>
        <v>7367.6325868048907</v>
      </c>
      <c r="CN23" s="213">
        <f t="shared" si="20"/>
        <v>8354.8005868048913</v>
      </c>
      <c r="CO23" s="213">
        <f t="shared" si="20"/>
        <v>3559.1943257401463</v>
      </c>
      <c r="CP23" s="213">
        <f t="shared" si="20"/>
        <v>4546.3623257401459</v>
      </c>
      <c r="CQ23" s="213">
        <f t="shared" si="20"/>
        <v>5533.5303257401456</v>
      </c>
      <c r="CR23" s="213">
        <f t="shared" si="20"/>
        <v>6520.6983257401453</v>
      </c>
      <c r="CS23" s="213">
        <f t="shared" si="20"/>
        <v>7507.8663257401449</v>
      </c>
      <c r="CT23" s="213">
        <f t="shared" si="20"/>
        <v>8495.0343257401455</v>
      </c>
      <c r="CU23" s="213">
        <f t="shared" si="20"/>
        <v>3699.4280646754005</v>
      </c>
      <c r="CV23" s="213">
        <f t="shared" si="20"/>
        <v>4686.5960646754002</v>
      </c>
      <c r="CW23" s="213">
        <f t="shared" ref="CW23:EB23" si="21">CV23+CW13-CW20</f>
        <v>5673.7640646753998</v>
      </c>
      <c r="CX23" s="213">
        <f t="shared" si="21"/>
        <v>6660.9320646753995</v>
      </c>
      <c r="CY23" s="213">
        <f t="shared" si="21"/>
        <v>7648.1000646753992</v>
      </c>
      <c r="CZ23" s="213">
        <f t="shared" si="21"/>
        <v>8635.2680646753997</v>
      </c>
      <c r="DA23" s="213">
        <f t="shared" si="21"/>
        <v>3839.6618036106547</v>
      </c>
      <c r="DB23" s="213">
        <f t="shared" si="21"/>
        <v>4826.8298036106544</v>
      </c>
      <c r="DC23" s="213">
        <f t="shared" si="21"/>
        <v>5813.997803610654</v>
      </c>
      <c r="DD23" s="213">
        <f t="shared" si="21"/>
        <v>6801.1658036106537</v>
      </c>
      <c r="DE23" s="213">
        <f t="shared" si="21"/>
        <v>7788.3338036106534</v>
      </c>
      <c r="DF23" s="213">
        <f t="shared" si="21"/>
        <v>8775.501803610654</v>
      </c>
      <c r="DG23" s="213">
        <f t="shared" si="21"/>
        <v>3979.8955425459089</v>
      </c>
      <c r="DH23" s="213">
        <f t="shared" si="21"/>
        <v>4967.0635425459086</v>
      </c>
      <c r="DI23" s="213">
        <f t="shared" si="21"/>
        <v>5954.2315425459083</v>
      </c>
      <c r="DJ23" s="213">
        <f t="shared" si="21"/>
        <v>6941.3995425459079</v>
      </c>
      <c r="DK23" s="213">
        <f t="shared" si="21"/>
        <v>7928.5675425459076</v>
      </c>
      <c r="DL23" s="213">
        <f t="shared" si="21"/>
        <v>8915.7355425459082</v>
      </c>
      <c r="DM23" s="213">
        <f t="shared" si="21"/>
        <v>4120.1292814811632</v>
      </c>
      <c r="DN23" s="213">
        <f t="shared" si="21"/>
        <v>5107.2972814811628</v>
      </c>
      <c r="DO23" s="213">
        <f t="shared" si="21"/>
        <v>6094.4652814811625</v>
      </c>
      <c r="DP23" s="213">
        <f t="shared" si="21"/>
        <v>7081.6332814811622</v>
      </c>
      <c r="DQ23" s="213">
        <f t="shared" si="21"/>
        <v>8068.8012814811618</v>
      </c>
      <c r="DR23" s="213">
        <f t="shared" si="21"/>
        <v>9055.9692814811624</v>
      </c>
      <c r="DS23" s="213">
        <f t="shared" si="21"/>
        <v>4260.3630204164174</v>
      </c>
      <c r="DT23" s="213">
        <f t="shared" si="21"/>
        <v>5247.5310204164171</v>
      </c>
      <c r="DU23" s="213">
        <f t="shared" si="21"/>
        <v>6234.6990204164167</v>
      </c>
      <c r="DV23" s="213">
        <f t="shared" si="21"/>
        <v>7221.8670204164164</v>
      </c>
      <c r="DW23" s="213">
        <f t="shared" si="21"/>
        <v>8209.035020416417</v>
      </c>
      <c r="DX23" s="213">
        <f t="shared" si="21"/>
        <v>9196.2030204164166</v>
      </c>
      <c r="DY23" s="213">
        <f t="shared" si="21"/>
        <v>4400.5967593516716</v>
      </c>
      <c r="DZ23" s="213">
        <f t="shared" si="21"/>
        <v>5387.7647593516713</v>
      </c>
      <c r="EA23" s="213">
        <f t="shared" si="21"/>
        <v>6374.9327593516709</v>
      </c>
      <c r="EB23" s="213">
        <f t="shared" si="21"/>
        <v>7362.1007593516706</v>
      </c>
      <c r="EC23" s="213">
        <f t="shared" ref="EC23:FH23" si="22">EB23+EC13-EC20</f>
        <v>8349.2687593516712</v>
      </c>
      <c r="ED23" s="213">
        <f t="shared" si="22"/>
        <v>9336.4367593516708</v>
      </c>
      <c r="EE23" s="213">
        <f t="shared" si="22"/>
        <v>4540.8304982869258</v>
      </c>
      <c r="EF23" s="213">
        <f t="shared" si="22"/>
        <v>5527.9984982869255</v>
      </c>
      <c r="EG23" s="213">
        <f t="shared" si="22"/>
        <v>6515.1664982869252</v>
      </c>
      <c r="EH23" s="213">
        <f t="shared" si="22"/>
        <v>7502.3344982869248</v>
      </c>
      <c r="EI23" s="213">
        <f t="shared" si="22"/>
        <v>8489.5024982869254</v>
      </c>
      <c r="EJ23" s="213">
        <f t="shared" si="22"/>
        <v>9476.6704982869251</v>
      </c>
      <c r="EK23" s="213">
        <f t="shared" si="22"/>
        <v>4681.0642372221801</v>
      </c>
      <c r="EL23" s="213">
        <f t="shared" si="22"/>
        <v>5668.2322372221797</v>
      </c>
      <c r="EM23" s="213">
        <f t="shared" si="22"/>
        <v>6655.4002372221794</v>
      </c>
      <c r="EN23" s="213">
        <f t="shared" si="22"/>
        <v>7642.5682372221791</v>
      </c>
      <c r="EO23" s="213">
        <f t="shared" si="22"/>
        <v>8629.7362372221796</v>
      </c>
      <c r="EP23" s="213">
        <f t="shared" si="22"/>
        <v>9616.9042372221793</v>
      </c>
      <c r="EQ23" s="213">
        <f t="shared" si="22"/>
        <v>4821.2979761574343</v>
      </c>
      <c r="ER23" s="213">
        <f t="shared" si="22"/>
        <v>5808.4659761574339</v>
      </c>
      <c r="ES23" s="213">
        <f t="shared" si="22"/>
        <v>6795.6339761574336</v>
      </c>
      <c r="ET23" s="213">
        <f t="shared" si="22"/>
        <v>7782.8019761574333</v>
      </c>
      <c r="EU23" s="213">
        <f t="shared" si="22"/>
        <v>8769.9699761574338</v>
      </c>
      <c r="EV23" s="213">
        <f t="shared" si="22"/>
        <v>9757.1379761574335</v>
      </c>
      <c r="EW23" s="213">
        <f t="shared" si="22"/>
        <v>4961.5317150926885</v>
      </c>
      <c r="EX23" s="213">
        <f t="shared" si="22"/>
        <v>5948.6997150926882</v>
      </c>
      <c r="EY23" s="213">
        <f t="shared" si="22"/>
        <v>6935.8677150926878</v>
      </c>
      <c r="EZ23" s="213">
        <f t="shared" si="22"/>
        <v>7923.0357150926875</v>
      </c>
      <c r="FA23" s="213">
        <f t="shared" si="22"/>
        <v>8910.2037150926881</v>
      </c>
      <c r="FB23" s="213">
        <f t="shared" si="22"/>
        <v>9897.3717150926877</v>
      </c>
      <c r="FC23" s="213">
        <f t="shared" si="22"/>
        <v>5101.7654540279427</v>
      </c>
      <c r="FD23" s="213">
        <f t="shared" si="22"/>
        <v>6088.9334540279424</v>
      </c>
      <c r="FE23" s="213">
        <f t="shared" si="22"/>
        <v>7076.1014540279421</v>
      </c>
      <c r="FF23" s="213">
        <f t="shared" si="22"/>
        <v>8063.2694540279417</v>
      </c>
      <c r="FG23" s="213">
        <f t="shared" si="22"/>
        <v>9050.4374540279423</v>
      </c>
      <c r="FH23" s="213">
        <f t="shared" si="22"/>
        <v>10037.605454027942</v>
      </c>
      <c r="FI23" s="213">
        <f t="shared" ref="FI23:GG23" si="23">FH23+FI13-FI20</f>
        <v>5241.9991929631969</v>
      </c>
      <c r="FJ23" s="213">
        <f t="shared" si="23"/>
        <v>6229.1671929631966</v>
      </c>
      <c r="FK23" s="213">
        <f t="shared" si="23"/>
        <v>7216.3351929631963</v>
      </c>
      <c r="FL23" s="213">
        <f t="shared" si="23"/>
        <v>8203.5031929631969</v>
      </c>
      <c r="FM23" s="213">
        <f t="shared" si="23"/>
        <v>9190.6711929631965</v>
      </c>
      <c r="FN23" s="213">
        <f t="shared" si="23"/>
        <v>10177.839192963196</v>
      </c>
      <c r="FO23" s="213">
        <f t="shared" si="23"/>
        <v>5382.2329318984512</v>
      </c>
      <c r="FP23" s="213">
        <f t="shared" si="23"/>
        <v>6369.4009318984508</v>
      </c>
      <c r="FQ23" s="213">
        <f t="shared" si="23"/>
        <v>7356.5689318984505</v>
      </c>
      <c r="FR23" s="213">
        <f t="shared" si="23"/>
        <v>8343.7369318984511</v>
      </c>
      <c r="FS23" s="213">
        <f t="shared" si="23"/>
        <v>9330.9049318984507</v>
      </c>
      <c r="FT23" s="213">
        <f t="shared" si="23"/>
        <v>10318.07293189845</v>
      </c>
      <c r="FU23" s="213">
        <f t="shared" si="23"/>
        <v>5522.4666708337054</v>
      </c>
      <c r="FV23" s="213">
        <f t="shared" si="23"/>
        <v>6509.6346708337051</v>
      </c>
      <c r="FW23" s="213">
        <f t="shared" si="23"/>
        <v>7496.8026708337047</v>
      </c>
      <c r="FX23" s="213">
        <f t="shared" si="23"/>
        <v>8483.9706708337053</v>
      </c>
      <c r="FY23" s="213">
        <f t="shared" si="23"/>
        <v>9471.138670833705</v>
      </c>
      <c r="FZ23" s="213">
        <f t="shared" si="23"/>
        <v>10458.306670833705</v>
      </c>
      <c r="GA23" s="213">
        <f t="shared" si="23"/>
        <v>5662.7004097689596</v>
      </c>
      <c r="GB23" s="213">
        <f t="shared" si="23"/>
        <v>6649.8684097689593</v>
      </c>
      <c r="GC23" s="213">
        <f t="shared" si="23"/>
        <v>7637.0364097689589</v>
      </c>
      <c r="GD23" s="213">
        <f t="shared" si="23"/>
        <v>8624.2044097689595</v>
      </c>
      <c r="GE23" s="213">
        <f t="shared" si="23"/>
        <v>9611.3724097689592</v>
      </c>
      <c r="GF23" s="213">
        <f t="shared" si="23"/>
        <v>10598.540409768959</v>
      </c>
      <c r="GG23" s="213">
        <f t="shared" si="23"/>
        <v>5802.9341487042138</v>
      </c>
      <c r="GH23" s="212"/>
      <c r="GI23" s="212"/>
      <c r="GJ23" s="212"/>
      <c r="GK23" s="212"/>
      <c r="GL23" s="212"/>
      <c r="GM23" s="212"/>
      <c r="GN23" s="212"/>
      <c r="GO23" s="212"/>
      <c r="GP23" s="212"/>
      <c r="GQ23" s="212"/>
      <c r="GR23" s="212"/>
      <c r="GS23" s="212"/>
      <c r="GT23" s="212"/>
      <c r="GU23" s="212"/>
      <c r="GV23" s="212"/>
      <c r="GW23" s="212"/>
      <c r="GX23" s="212"/>
      <c r="GY23" s="212"/>
      <c r="GZ23" s="212"/>
      <c r="HA23" s="212"/>
      <c r="HB23" s="212"/>
      <c r="HC23" s="212"/>
      <c r="HD23" s="212"/>
      <c r="HE23" s="212"/>
      <c r="HF23" s="212"/>
      <c r="HG23" s="212"/>
      <c r="HH23" s="212"/>
      <c r="HI23" s="212"/>
      <c r="HJ23" s="212"/>
      <c r="HK23" s="212"/>
      <c r="HL23" s="212"/>
      <c r="HM23" s="212"/>
      <c r="HN23" s="212"/>
      <c r="HO23" s="212"/>
      <c r="HP23" s="212"/>
      <c r="HQ23" s="212"/>
      <c r="HR23" s="212"/>
      <c r="HS23" s="212"/>
      <c r="HT23" s="212"/>
      <c r="HU23" s="212"/>
    </row>
    <row r="26" spans="1:229" s="496" customFormat="1">
      <c r="B26" s="496">
        <f>+MIN(D26:IV26)</f>
        <v>1.3002288592296138</v>
      </c>
      <c r="D26" s="496" t="str">
        <f>IF(D19&gt;0,(C23+D13)/D20,"")</f>
        <v/>
      </c>
      <c r="E26" s="496" t="str">
        <f t="shared" ref="E26:BP26" si="24">IF(E19&gt;0,(D23+E13)/E20,"")</f>
        <v/>
      </c>
      <c r="F26" s="496" t="str">
        <f t="shared" si="24"/>
        <v/>
      </c>
      <c r="G26" s="496" t="str">
        <f t="shared" si="24"/>
        <v/>
      </c>
      <c r="H26" s="496" t="str">
        <f t="shared" si="24"/>
        <v/>
      </c>
      <c r="I26" s="496" t="str">
        <f t="shared" si="24"/>
        <v/>
      </c>
      <c r="J26" s="496" t="str">
        <f t="shared" si="24"/>
        <v/>
      </c>
      <c r="K26" s="496" t="str">
        <f t="shared" si="24"/>
        <v/>
      </c>
      <c r="L26" s="496" t="str">
        <f t="shared" si="24"/>
        <v/>
      </c>
      <c r="M26" s="496" t="str">
        <f t="shared" si="24"/>
        <v/>
      </c>
      <c r="N26" s="496" t="str">
        <f t="shared" si="24"/>
        <v/>
      </c>
      <c r="O26" s="496">
        <f t="shared" si="24"/>
        <v>1.3002288592296138</v>
      </c>
      <c r="P26" s="496" t="str">
        <f t="shared" si="24"/>
        <v/>
      </c>
      <c r="Q26" s="496" t="str">
        <f t="shared" si="24"/>
        <v/>
      </c>
      <c r="R26" s="496" t="str">
        <f t="shared" si="24"/>
        <v/>
      </c>
      <c r="S26" s="496" t="str">
        <f t="shared" si="24"/>
        <v/>
      </c>
      <c r="T26" s="496" t="str">
        <f t="shared" si="24"/>
        <v/>
      </c>
      <c r="U26" s="496">
        <f t="shared" si="24"/>
        <v>1.3244791122404298</v>
      </c>
      <c r="V26" s="496" t="str">
        <f t="shared" si="24"/>
        <v/>
      </c>
      <c r="W26" s="496" t="str">
        <f t="shared" si="24"/>
        <v/>
      </c>
      <c r="X26" s="496" t="str">
        <f t="shared" si="24"/>
        <v/>
      </c>
      <c r="Y26" s="496" t="str">
        <f t="shared" si="24"/>
        <v/>
      </c>
      <c r="Z26" s="496" t="str">
        <f t="shared" si="24"/>
        <v/>
      </c>
      <c r="AA26" s="496">
        <f t="shared" si="24"/>
        <v>1.3487293652512458</v>
      </c>
      <c r="AB26" s="496" t="str">
        <f t="shared" si="24"/>
        <v/>
      </c>
      <c r="AC26" s="496" t="str">
        <f t="shared" si="24"/>
        <v/>
      </c>
      <c r="AD26" s="496" t="str">
        <f t="shared" si="24"/>
        <v/>
      </c>
      <c r="AE26" s="496" t="str">
        <f t="shared" si="24"/>
        <v/>
      </c>
      <c r="AF26" s="496" t="str">
        <f t="shared" si="24"/>
        <v/>
      </c>
      <c r="AG26" s="496">
        <f t="shared" si="24"/>
        <v>1.3729796182620617</v>
      </c>
      <c r="AH26" s="496" t="str">
        <f t="shared" si="24"/>
        <v/>
      </c>
      <c r="AI26" s="496" t="str">
        <f t="shared" si="24"/>
        <v/>
      </c>
      <c r="AJ26" s="496" t="str">
        <f t="shared" si="24"/>
        <v/>
      </c>
      <c r="AK26" s="496" t="str">
        <f t="shared" si="24"/>
        <v/>
      </c>
      <c r="AL26" s="496" t="str">
        <f t="shared" si="24"/>
        <v/>
      </c>
      <c r="AM26" s="496">
        <f t="shared" si="24"/>
        <v>1.3972298712728777</v>
      </c>
      <c r="AN26" s="496" t="str">
        <f t="shared" si="24"/>
        <v/>
      </c>
      <c r="AO26" s="496" t="str">
        <f t="shared" si="24"/>
        <v/>
      </c>
      <c r="AP26" s="496" t="str">
        <f t="shared" si="24"/>
        <v/>
      </c>
      <c r="AQ26" s="496" t="str">
        <f t="shared" si="24"/>
        <v/>
      </c>
      <c r="AR26" s="496" t="str">
        <f t="shared" si="24"/>
        <v/>
      </c>
      <c r="AS26" s="496">
        <f t="shared" si="24"/>
        <v>1.4214801242836934</v>
      </c>
      <c r="AT26" s="496" t="str">
        <f t="shared" si="24"/>
        <v/>
      </c>
      <c r="AU26" s="496" t="str">
        <f t="shared" si="24"/>
        <v/>
      </c>
      <c r="AV26" s="496" t="str">
        <f t="shared" si="24"/>
        <v/>
      </c>
      <c r="AW26" s="496" t="str">
        <f t="shared" si="24"/>
        <v/>
      </c>
      <c r="AX26" s="496" t="str">
        <f t="shared" si="24"/>
        <v/>
      </c>
      <c r="AY26" s="496">
        <f t="shared" si="24"/>
        <v>1.4457303772945094</v>
      </c>
      <c r="AZ26" s="496" t="str">
        <f t="shared" si="24"/>
        <v/>
      </c>
      <c r="BA26" s="496" t="str">
        <f t="shared" si="24"/>
        <v/>
      </c>
      <c r="BB26" s="496" t="str">
        <f t="shared" si="24"/>
        <v/>
      </c>
      <c r="BC26" s="496" t="str">
        <f t="shared" si="24"/>
        <v/>
      </c>
      <c r="BD26" s="496" t="str">
        <f t="shared" si="24"/>
        <v/>
      </c>
      <c r="BE26" s="496">
        <f t="shared" si="24"/>
        <v>1.4699806303053253</v>
      </c>
      <c r="BF26" s="496" t="str">
        <f t="shared" si="24"/>
        <v/>
      </c>
      <c r="BG26" s="496" t="str">
        <f t="shared" si="24"/>
        <v/>
      </c>
      <c r="BH26" s="496" t="str">
        <f t="shared" si="24"/>
        <v/>
      </c>
      <c r="BI26" s="496" t="str">
        <f t="shared" si="24"/>
        <v/>
      </c>
      <c r="BJ26" s="496" t="str">
        <f t="shared" si="24"/>
        <v/>
      </c>
      <c r="BK26" s="496">
        <f t="shared" si="24"/>
        <v>1.4942308833161413</v>
      </c>
      <c r="BL26" s="496" t="str">
        <f t="shared" si="24"/>
        <v/>
      </c>
      <c r="BM26" s="496" t="str">
        <f t="shared" si="24"/>
        <v/>
      </c>
      <c r="BN26" s="496" t="str">
        <f t="shared" si="24"/>
        <v/>
      </c>
      <c r="BO26" s="496" t="str">
        <f t="shared" si="24"/>
        <v/>
      </c>
      <c r="BP26" s="496" t="str">
        <f t="shared" si="24"/>
        <v/>
      </c>
      <c r="BQ26" s="496">
        <f t="shared" ref="BQ26:EB26" si="25">IF(BQ19&gt;0,(BP23+BQ13)/BQ20,"")</f>
        <v>1.5184811363269572</v>
      </c>
      <c r="BR26" s="496" t="str">
        <f t="shared" si="25"/>
        <v/>
      </c>
      <c r="BS26" s="496" t="str">
        <f t="shared" si="25"/>
        <v/>
      </c>
      <c r="BT26" s="496" t="str">
        <f t="shared" si="25"/>
        <v/>
      </c>
      <c r="BU26" s="496" t="str">
        <f t="shared" si="25"/>
        <v/>
      </c>
      <c r="BV26" s="496" t="str">
        <f t="shared" si="25"/>
        <v/>
      </c>
      <c r="BW26" s="496">
        <f t="shared" si="25"/>
        <v>1.5427313893377732</v>
      </c>
      <c r="BX26" s="496" t="str">
        <f t="shared" si="25"/>
        <v/>
      </c>
      <c r="BY26" s="496" t="str">
        <f t="shared" si="25"/>
        <v/>
      </c>
      <c r="BZ26" s="496" t="str">
        <f t="shared" si="25"/>
        <v/>
      </c>
      <c r="CA26" s="496" t="str">
        <f t="shared" si="25"/>
        <v/>
      </c>
      <c r="CB26" s="496" t="str">
        <f t="shared" si="25"/>
        <v/>
      </c>
      <c r="CC26" s="496">
        <f t="shared" si="25"/>
        <v>1.5669816423485892</v>
      </c>
      <c r="CD26" s="496" t="str">
        <f t="shared" si="25"/>
        <v/>
      </c>
      <c r="CE26" s="496" t="str">
        <f t="shared" si="25"/>
        <v/>
      </c>
      <c r="CF26" s="496" t="str">
        <f t="shared" si="25"/>
        <v/>
      </c>
      <c r="CG26" s="496" t="str">
        <f t="shared" si="25"/>
        <v/>
      </c>
      <c r="CH26" s="496" t="str">
        <f t="shared" si="25"/>
        <v/>
      </c>
      <c r="CI26" s="496">
        <f t="shared" si="25"/>
        <v>1.5912318953594051</v>
      </c>
      <c r="CJ26" s="496" t="str">
        <f t="shared" si="25"/>
        <v/>
      </c>
      <c r="CK26" s="496" t="str">
        <f t="shared" si="25"/>
        <v/>
      </c>
      <c r="CL26" s="496" t="str">
        <f t="shared" si="25"/>
        <v/>
      </c>
      <c r="CM26" s="496" t="str">
        <f t="shared" si="25"/>
        <v/>
      </c>
      <c r="CN26" s="496" t="str">
        <f t="shared" si="25"/>
        <v/>
      </c>
      <c r="CO26" s="496">
        <f t="shared" si="25"/>
        <v>1.6154821483702211</v>
      </c>
      <c r="CP26" s="496" t="str">
        <f t="shared" si="25"/>
        <v/>
      </c>
      <c r="CQ26" s="496" t="str">
        <f t="shared" si="25"/>
        <v/>
      </c>
      <c r="CR26" s="496" t="str">
        <f t="shared" si="25"/>
        <v/>
      </c>
      <c r="CS26" s="496" t="str">
        <f t="shared" si="25"/>
        <v/>
      </c>
      <c r="CT26" s="496" t="str">
        <f t="shared" si="25"/>
        <v/>
      </c>
      <c r="CU26" s="496">
        <f t="shared" si="25"/>
        <v>1.639732401381037</v>
      </c>
      <c r="CV26" s="496" t="str">
        <f t="shared" si="25"/>
        <v/>
      </c>
      <c r="CW26" s="496" t="str">
        <f t="shared" si="25"/>
        <v/>
      </c>
      <c r="CX26" s="496" t="str">
        <f t="shared" si="25"/>
        <v/>
      </c>
      <c r="CY26" s="496" t="str">
        <f t="shared" si="25"/>
        <v/>
      </c>
      <c r="CZ26" s="496" t="str">
        <f t="shared" si="25"/>
        <v/>
      </c>
      <c r="DA26" s="496">
        <f t="shared" si="25"/>
        <v>1.6639826543918528</v>
      </c>
      <c r="DB26" s="496" t="str">
        <f t="shared" si="25"/>
        <v/>
      </c>
      <c r="DC26" s="496" t="str">
        <f t="shared" si="25"/>
        <v/>
      </c>
      <c r="DD26" s="496" t="str">
        <f t="shared" si="25"/>
        <v/>
      </c>
      <c r="DE26" s="496" t="str">
        <f t="shared" si="25"/>
        <v/>
      </c>
      <c r="DF26" s="496" t="str">
        <f t="shared" si="25"/>
        <v/>
      </c>
      <c r="DG26" s="496">
        <f t="shared" si="25"/>
        <v>1.6882329074026687</v>
      </c>
      <c r="DH26" s="496" t="str">
        <f t="shared" si="25"/>
        <v/>
      </c>
      <c r="DI26" s="496" t="str">
        <f t="shared" si="25"/>
        <v/>
      </c>
      <c r="DJ26" s="496" t="str">
        <f t="shared" si="25"/>
        <v/>
      </c>
      <c r="DK26" s="496" t="str">
        <f t="shared" si="25"/>
        <v/>
      </c>
      <c r="DL26" s="496" t="str">
        <f t="shared" si="25"/>
        <v/>
      </c>
      <c r="DM26" s="496">
        <f t="shared" si="25"/>
        <v>1.7124831604134847</v>
      </c>
      <c r="DN26" s="496" t="str">
        <f t="shared" si="25"/>
        <v/>
      </c>
      <c r="DO26" s="496" t="str">
        <f t="shared" si="25"/>
        <v/>
      </c>
      <c r="DP26" s="496" t="str">
        <f t="shared" si="25"/>
        <v/>
      </c>
      <c r="DQ26" s="496" t="str">
        <f t="shared" si="25"/>
        <v/>
      </c>
      <c r="DR26" s="496" t="str">
        <f t="shared" si="25"/>
        <v/>
      </c>
      <c r="DS26" s="496">
        <f t="shared" si="25"/>
        <v>1.7367334134243007</v>
      </c>
      <c r="DT26" s="496" t="str">
        <f t="shared" si="25"/>
        <v/>
      </c>
      <c r="DU26" s="496" t="str">
        <f t="shared" si="25"/>
        <v/>
      </c>
      <c r="DV26" s="496" t="str">
        <f t="shared" si="25"/>
        <v/>
      </c>
      <c r="DW26" s="496" t="str">
        <f t="shared" si="25"/>
        <v/>
      </c>
      <c r="DX26" s="496" t="str">
        <f t="shared" si="25"/>
        <v/>
      </c>
      <c r="DY26" s="496">
        <f t="shared" si="25"/>
        <v>1.7609836664351166</v>
      </c>
      <c r="DZ26" s="496" t="str">
        <f t="shared" si="25"/>
        <v/>
      </c>
      <c r="EA26" s="496" t="str">
        <f t="shared" si="25"/>
        <v/>
      </c>
      <c r="EB26" s="496" t="str">
        <f t="shared" si="25"/>
        <v/>
      </c>
      <c r="EC26" s="496" t="str">
        <f t="shared" ref="EC26:GG26" si="26">IF(EC19&gt;0,(EB23+EC13)/EC20,"")</f>
        <v/>
      </c>
      <c r="ED26" s="496" t="str">
        <f t="shared" si="26"/>
        <v/>
      </c>
      <c r="EE26" s="496">
        <f t="shared" si="26"/>
        <v>1.7852339194459326</v>
      </c>
      <c r="EF26" s="496" t="str">
        <f t="shared" si="26"/>
        <v/>
      </c>
      <c r="EG26" s="496" t="str">
        <f t="shared" si="26"/>
        <v/>
      </c>
      <c r="EH26" s="496" t="str">
        <f t="shared" si="26"/>
        <v/>
      </c>
      <c r="EI26" s="496" t="str">
        <f t="shared" si="26"/>
        <v/>
      </c>
      <c r="EJ26" s="496" t="str">
        <f t="shared" si="26"/>
        <v/>
      </c>
      <c r="EK26" s="496">
        <f t="shared" si="26"/>
        <v>1.8094841724567485</v>
      </c>
      <c r="EL26" s="496" t="str">
        <f t="shared" si="26"/>
        <v/>
      </c>
      <c r="EM26" s="496" t="str">
        <f t="shared" si="26"/>
        <v/>
      </c>
      <c r="EN26" s="496" t="str">
        <f t="shared" si="26"/>
        <v/>
      </c>
      <c r="EO26" s="496" t="str">
        <f t="shared" si="26"/>
        <v/>
      </c>
      <c r="EP26" s="496" t="str">
        <f t="shared" si="26"/>
        <v/>
      </c>
      <c r="EQ26" s="496">
        <f t="shared" si="26"/>
        <v>1.8337344254675645</v>
      </c>
      <c r="ER26" s="496" t="str">
        <f t="shared" si="26"/>
        <v/>
      </c>
      <c r="ES26" s="496" t="str">
        <f t="shared" si="26"/>
        <v/>
      </c>
      <c r="ET26" s="496" t="str">
        <f t="shared" si="26"/>
        <v/>
      </c>
      <c r="EU26" s="496" t="str">
        <f t="shared" si="26"/>
        <v/>
      </c>
      <c r="EV26" s="496" t="str">
        <f t="shared" si="26"/>
        <v/>
      </c>
      <c r="EW26" s="496">
        <f t="shared" si="26"/>
        <v>1.8579846784783804</v>
      </c>
      <c r="EX26" s="496" t="str">
        <f t="shared" si="26"/>
        <v/>
      </c>
      <c r="EY26" s="496" t="str">
        <f t="shared" si="26"/>
        <v/>
      </c>
      <c r="EZ26" s="496" t="str">
        <f t="shared" si="26"/>
        <v/>
      </c>
      <c r="FA26" s="496" t="str">
        <f t="shared" si="26"/>
        <v/>
      </c>
      <c r="FB26" s="496" t="str">
        <f t="shared" si="26"/>
        <v/>
      </c>
      <c r="FC26" s="496">
        <f t="shared" si="26"/>
        <v>1.8822349314891962</v>
      </c>
      <c r="FD26" s="496" t="str">
        <f t="shared" si="26"/>
        <v/>
      </c>
      <c r="FE26" s="496" t="str">
        <f t="shared" si="26"/>
        <v/>
      </c>
      <c r="FF26" s="496" t="str">
        <f t="shared" si="26"/>
        <v/>
      </c>
      <c r="FG26" s="496" t="str">
        <f t="shared" si="26"/>
        <v/>
      </c>
      <c r="FH26" s="496" t="str">
        <f t="shared" si="26"/>
        <v/>
      </c>
      <c r="FI26" s="496">
        <f t="shared" si="26"/>
        <v>1.9064851845000121</v>
      </c>
      <c r="FJ26" s="496" t="str">
        <f t="shared" si="26"/>
        <v/>
      </c>
      <c r="FK26" s="496" t="str">
        <f t="shared" si="26"/>
        <v/>
      </c>
      <c r="FL26" s="496" t="str">
        <f t="shared" si="26"/>
        <v/>
      </c>
      <c r="FM26" s="496" t="str">
        <f t="shared" si="26"/>
        <v/>
      </c>
      <c r="FN26" s="496" t="str">
        <f t="shared" si="26"/>
        <v/>
      </c>
      <c r="FO26" s="496">
        <f t="shared" si="26"/>
        <v>1.9307354375108281</v>
      </c>
      <c r="FP26" s="496" t="str">
        <f t="shared" si="26"/>
        <v/>
      </c>
      <c r="FQ26" s="496" t="str">
        <f t="shared" si="26"/>
        <v/>
      </c>
      <c r="FR26" s="496" t="str">
        <f t="shared" si="26"/>
        <v/>
      </c>
      <c r="FS26" s="496" t="str">
        <f t="shared" si="26"/>
        <v/>
      </c>
      <c r="FT26" s="496" t="str">
        <f t="shared" si="26"/>
        <v/>
      </c>
      <c r="FU26" s="496">
        <f t="shared" si="26"/>
        <v>1.9549856905216441</v>
      </c>
      <c r="FV26" s="496" t="str">
        <f t="shared" si="26"/>
        <v/>
      </c>
      <c r="FW26" s="496" t="str">
        <f t="shared" si="26"/>
        <v/>
      </c>
      <c r="FX26" s="496" t="str">
        <f t="shared" si="26"/>
        <v/>
      </c>
      <c r="FY26" s="496" t="str">
        <f t="shared" si="26"/>
        <v/>
      </c>
      <c r="FZ26" s="496" t="str">
        <f t="shared" si="26"/>
        <v/>
      </c>
      <c r="GA26" s="496">
        <f t="shared" si="26"/>
        <v>1.97923594353246</v>
      </c>
      <c r="GB26" s="496" t="str">
        <f t="shared" si="26"/>
        <v/>
      </c>
      <c r="GC26" s="496" t="str">
        <f t="shared" si="26"/>
        <v/>
      </c>
      <c r="GD26" s="496" t="str">
        <f t="shared" si="26"/>
        <v/>
      </c>
      <c r="GE26" s="496" t="str">
        <f t="shared" si="26"/>
        <v/>
      </c>
      <c r="GF26" s="496" t="str">
        <f t="shared" si="26"/>
        <v/>
      </c>
      <c r="GG26" s="496">
        <f t="shared" si="26"/>
        <v>2.003486196543276</v>
      </c>
    </row>
  </sheetData>
  <pageMargins left="0.75" right="0.75" top="1" bottom="1" header="0.5" footer="0.5"/>
  <pageSetup scale="72" fitToWidth="2" orientation="landscape" r:id="rId1"/>
  <headerFooter alignWithMargins="0"/>
  <colBreaks count="1" manualBreakCount="1">
    <brk id="15" max="2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38</vt:i4>
      </vt:variant>
    </vt:vector>
  </HeadingPairs>
  <TitlesOfParts>
    <vt:vector size="54" baseType="lpstr">
      <vt:lpstr>Project Assumptions</vt:lpstr>
      <vt:lpstr>Current Budget</vt:lpstr>
      <vt:lpstr>Refurb Budget</vt:lpstr>
      <vt:lpstr>IDC</vt:lpstr>
      <vt:lpstr>Capacity Adj Table</vt:lpstr>
      <vt:lpstr>Debt Amortization</vt:lpstr>
      <vt:lpstr>Book Income Statement</vt:lpstr>
      <vt:lpstr>Cash Flow Statement</vt:lpstr>
      <vt:lpstr>Start-up Cashflow</vt:lpstr>
      <vt:lpstr>Tax Calculations</vt:lpstr>
      <vt:lpstr>Depreciation</vt:lpstr>
      <vt:lpstr>Enron Pre-Tax Returns</vt:lpstr>
      <vt:lpstr>Balance_Sht</vt:lpstr>
      <vt:lpstr>Operations</vt:lpstr>
      <vt:lpstr>PPA Assumptions</vt:lpstr>
      <vt:lpstr>Maintenance Reserves</vt:lpstr>
      <vt:lpstr>Asset_Mgt</vt:lpstr>
      <vt:lpstr>Ebitda</vt:lpstr>
      <vt:lpstr>Fixed</vt:lpstr>
      <vt:lpstr>InterestExpense</vt:lpstr>
      <vt:lpstr>Labor</vt:lpstr>
      <vt:lpstr>Maint_Accrual</vt:lpstr>
      <vt:lpstr>OM_Fee</vt:lpstr>
      <vt:lpstr>Opcostescalation</vt:lpstr>
      <vt:lpstr>principal</vt:lpstr>
      <vt:lpstr>Balance_Sht!Print_Area</vt:lpstr>
      <vt:lpstr>'Book Income Statement'!Print_Area</vt:lpstr>
      <vt:lpstr>'Capacity Adj Table'!Print_Area</vt:lpstr>
      <vt:lpstr>'Cash Flow Statement'!Print_Area</vt:lpstr>
      <vt:lpstr>'Current Budget'!Print_Area</vt:lpstr>
      <vt:lpstr>'Debt Amortization'!Print_Area</vt:lpstr>
      <vt:lpstr>Depreciation!Print_Area</vt:lpstr>
      <vt:lpstr>'Enron Pre-Tax Returns'!Print_Area</vt:lpstr>
      <vt:lpstr>IDC!Print_Area</vt:lpstr>
      <vt:lpstr>'Maintenance Reserves'!Print_Area</vt:lpstr>
      <vt:lpstr>Operations!Print_Area</vt:lpstr>
      <vt:lpstr>'PPA Assumptions'!Print_Area</vt:lpstr>
      <vt:lpstr>'Project Assumptions'!Print_Area</vt:lpstr>
      <vt:lpstr>'Refurb Budget'!Print_Area</vt:lpstr>
      <vt:lpstr>'Start-up Cashflow'!Print_Area</vt:lpstr>
      <vt:lpstr>'Tax Calculations'!Print_Area</vt:lpstr>
      <vt:lpstr>Balance_Sht!Print_Titles</vt:lpstr>
      <vt:lpstr>'Book Income Statement'!Print_Titles</vt:lpstr>
      <vt:lpstr>'Cash Flow Statement'!Print_Titles</vt:lpstr>
      <vt:lpstr>'Debt Amortization'!Print_Titles</vt:lpstr>
      <vt:lpstr>Depreciation!Print_Titles</vt:lpstr>
      <vt:lpstr>'Enron Pre-Tax Returns'!Print_Titles</vt:lpstr>
      <vt:lpstr>IDC!Print_Titles</vt:lpstr>
      <vt:lpstr>'Maintenance Reserves'!Print_Titles</vt:lpstr>
      <vt:lpstr>Operations!Print_Titles</vt:lpstr>
      <vt:lpstr>'PPA Assumptions'!Print_Titles</vt:lpstr>
      <vt:lpstr>'Start-up Cashflow'!Print_Titles</vt:lpstr>
      <vt:lpstr>'Tax Calculations'!Print_Titles</vt:lpstr>
      <vt:lpstr>Variable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1999-08-17T19:28:10Z</cp:lastPrinted>
  <dcterms:created xsi:type="dcterms:W3CDTF">1997-11-13T01:38:26Z</dcterms:created>
  <dcterms:modified xsi:type="dcterms:W3CDTF">2023-09-10T11:56:56Z</dcterms:modified>
</cp:coreProperties>
</file>