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12" tabRatio="890" firstSheet="1" activeTab="1"/>
  </bookViews>
  <sheets>
    <sheet name="Table of Contents" sheetId="1" state="hidden" r:id="rId1"/>
    <sheet name="Scope" sheetId="2" r:id="rId2"/>
    <sheet name="Assumptions" sheetId="3" r:id="rId3"/>
    <sheet name="Map" sheetId="4" state="hidden" r:id="rId4"/>
    <sheet name="Summary" sheetId="5" r:id="rId5"/>
    <sheet name="Mob_Estimate" sheetId="8" state="hidden" r:id="rId6"/>
    <sheet name="Mob_Schedule" sheetId="9" state="hidden" r:id="rId7"/>
    <sheet name="MobStaff" sheetId="42" state="hidden" r:id="rId8"/>
    <sheet name="Training" sheetId="47" state="hidden" r:id="rId9"/>
    <sheet name="Training2" sheetId="43" state="hidden" r:id="rId10"/>
    <sheet name="ScopeSplit" sheetId="12" r:id="rId11"/>
    <sheet name="Owner's Engineer" sheetId="14" state="hidden" r:id="rId12"/>
    <sheet name="Mob_Backup" sheetId="15" state="hidden" r:id="rId13"/>
    <sheet name="O&amp;M_Estimate" sheetId="16" state="hidden" r:id="rId14"/>
    <sheet name="Ops_Staff" sheetId="41" state="hidden" r:id="rId15"/>
    <sheet name="Contract_Staff" sheetId="19" state="hidden" r:id="rId16"/>
    <sheet name="SALARY-BENEFITS LOOKUP TABLE" sheetId="44" state="hidden" r:id="rId17"/>
    <sheet name="Local_Benefits" sheetId="23" state="hidden" r:id="rId18"/>
    <sheet name="O&amp;M_Backup" sheetId="25" state="hidden" r:id="rId19"/>
    <sheet name="Cap Spares" sheetId="46" state="hidden" r:id="rId20"/>
    <sheet name="GE7EA" sheetId="40" state="hidden" r:id="rId21"/>
  </sheets>
  <externalReferences>
    <externalReference r:id="rId22"/>
  </externalReferences>
  <definedNames>
    <definedName name="_xlnm._FilterDatabase" localSheetId="12" hidden="1">Mob_Backup!$A$17:$D$278</definedName>
    <definedName name="_xlnm._FilterDatabase" localSheetId="18" hidden="1">'O&amp;M_Backup'!#REF!</definedName>
    <definedName name="ACwvu.jjj." localSheetId="4" hidden="1">Summary!#REF!</definedName>
    <definedName name="CompleteFilterPrint" localSheetId="18">'O&amp;M_Backup'!$A$2:$F$281</definedName>
    <definedName name="FX" localSheetId="11">#REF!</definedName>
    <definedName name="guam" localSheetId="16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guam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OPICFEED" localSheetId="11">#REF!</definedName>
    <definedName name="PIRR" localSheetId="11">#REF!</definedName>
    <definedName name="piti" localSheetId="16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NPV" localSheetId="11">#REF!</definedName>
    <definedName name="Power_Plant_Name" localSheetId="15">"Pakistan (Khanewal, Pakistan)"</definedName>
    <definedName name="Power_Plant_Name" localSheetId="11">"Guam Emergency"</definedName>
    <definedName name="_xlnm.Print_Area" localSheetId="2">Assumptions!$A$1:$L$50</definedName>
    <definedName name="_xlnm.Print_Area" localSheetId="20">GE7EA!$A$1:$Z$152</definedName>
    <definedName name="_xlnm.Print_Area" localSheetId="12">Mob_Backup!$E$1:$J$311</definedName>
    <definedName name="_xlnm.Print_Area" localSheetId="5">Mob_Estimate!$A$1:$D$52</definedName>
    <definedName name="_xlnm.Print_Area" localSheetId="6">Mob_Schedule!$A$1:$T$41</definedName>
    <definedName name="_xlnm.Print_Area" localSheetId="7">MobStaff!$A$1:$J$71</definedName>
    <definedName name="_xlnm.Print_Area" localSheetId="18">'O&amp;M_Backup'!$A$1:$F$307</definedName>
    <definedName name="_xlnm.Print_Area" localSheetId="13">'O&amp;M_Estimate'!$A$1:$G$64</definedName>
    <definedName name="_xlnm.Print_Area" localSheetId="14">Ops_Staff!$A$1:$I$55</definedName>
    <definedName name="_xlnm.Print_Area" localSheetId="11">'Owner''s Engineer'!$A$1:$D$34</definedName>
    <definedName name="_xlnm.Print_Area" localSheetId="1">Scope!$A$1:$M$38</definedName>
    <definedName name="_xlnm.Print_Area" localSheetId="10">ScopeSplit!$A$1:$F$122</definedName>
    <definedName name="_xlnm.Print_Area" localSheetId="4">Summary!$A$1:$H$57</definedName>
    <definedName name="_xlnm.Print_Area" localSheetId="0">'Table of Contents'!$A$1:$G$34</definedName>
    <definedName name="_xlnm.Print_Area" localSheetId="8">Training!$A$1:$G$51</definedName>
    <definedName name="_xlnm.Print_Area" localSheetId="9">Training2!$A$1:$M$64</definedName>
    <definedName name="_xlnm.Print_Titles" localSheetId="12">Mob_Backup!$2:$5</definedName>
    <definedName name="_xlnm.Print_Titles" localSheetId="7">MobStaff!$1:$3</definedName>
    <definedName name="_xlnm.Print_Titles" localSheetId="18">'O&amp;M_Backup'!$2:$4</definedName>
    <definedName name="SALARY">'SALARY-BENEFITS LOOKUP TABLE'!$B$8:$N$17</definedName>
    <definedName name="Swvu.jjj." localSheetId="4" hidden="1">Summary!#REF!</definedName>
    <definedName name="TABLE" localSheetId="3">Map!$C$2:$C$2</definedName>
    <definedName name="TABLE_2" localSheetId="3">Map!$C$2:$C$2</definedName>
    <definedName name="UpLt_CommOps" localSheetId="13">'O&amp;M_Estimate'!#REF!</definedName>
    <definedName name="wrn.Ilijan._.Print." localSheetId="19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20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6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9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vu.jjj." localSheetId="4" hidden="1">{TRUE,TRUE,-1.25,-15.5,484.5,276.75,FALSE,TRUE,TRUE,TRUE,0,1,#N/A,30,#N/A,8.4406779661017,23.7692307692308,1,FALSE,FALSE,3,TRUE,1,FALSE,75,"Swvu.jjj.","ACwvu.jjj.",#N/A,FALSE,FALSE,0.5,0.5,0.71,0.77,1,"","&amp;Lkwpierce&amp;C7/31/96&amp;R&amp;F, Rev.1_x000D_Page &amp;P",TRUE,FALSE,FALSE,FALSE,1,#N/A,1,1,FALSE,FALSE,#N/A,#N/A,FALSE,FALSE,FALSE,1,65532,65532,FALSE,FALSE,TRUE,TRUE,TRUE}</definedName>
    <definedName name="Z_23858840_75A3_11D3_9B0F_006097CA9A6E_.wvu.PrintArea" localSheetId="4" hidden="1">Summary!$A$1:$H$59</definedName>
    <definedName name="Z_27B46881_0F5B_11D2_8727_00600802E52E_.wvu.PrintArea" localSheetId="4" hidden="1">Summary!$A$1:$H$52</definedName>
    <definedName name="Z_44B1FD93_6C50_11D3_9B06_006097CA9A6E_.wvu.PrintArea" localSheetId="4" hidden="1">Summary!$A$1:$H$59</definedName>
    <definedName name="Z_69CDD2E0_B7B0_11D3_B354_005004B48B2E_.wvu.PrintArea" localSheetId="4" hidden="1">Summary!$A$1:$H$59</definedName>
    <definedName name="Z_7B8B4280_75B9_11D3_B354_0050048AD64B_.wvu.PrintArea" localSheetId="4" hidden="1">Summary!$A$1:$H$59</definedName>
    <definedName name="Z_7C8030C1_816E_11D3_9B1F_000064657374_.wvu.PrintArea" localSheetId="4" hidden="1">Summary!$A$1:$H$59</definedName>
    <definedName name="Z_887EA5F3_7E5C_11D3_9B1C_006097CA9A6E_.wvu.PrintArea" localSheetId="4" hidden="1">Summary!$A$1:$H$59</definedName>
    <definedName name="Z_97C9EDC3_809C_11D3_9B1E_006097CA9A6E_.wvu.PrintArea" localSheetId="4" hidden="1">Summary!$A$1:$H$59</definedName>
    <definedName name="Z_ADAAEFB1_7735_11D3_9B11_006097CA9A6E_.wvu.PrintArea" localSheetId="4" hidden="1">Summary!$A$1:$H$59</definedName>
    <definedName name="Z_B14BA500_7FDD_11D3_9B1D_000064657374_.wvu.PrintArea" localSheetId="4" hidden="1">Summary!$A$1:$H$59</definedName>
    <definedName name="Z_DD4FE528_7357_11D3_9B0D_006097CA9A6E_.wvu.PrintArea" localSheetId="4" hidden="1">Summary!$A$1:$H$59</definedName>
    <definedName name="Z_F8408542_C03D_11D2_9A75_00600802E52E_.wvu.PrintArea" localSheetId="4" hidden="1">Summary!$A$1:$H$52</definedName>
  </definedNames>
  <calcPr calcId="0" fullCalcOnLoad="1"/>
  <customWorkbookViews>
    <customWorkbookView name="jjj (Summary)" guid="{69CDD2E0-B7B0-11D3-B354-005004B48B2E}" maximized="1" xWindow="2" yWindow="2" windowWidth="636" windowHeight="340" tabRatio="890" activeSheetId="5"/>
  </customWorkbookViews>
</workbook>
</file>

<file path=xl/calcChain.xml><?xml version="1.0" encoding="utf-8"?>
<calcChain xmlns="http://schemas.openxmlformats.org/spreadsheetml/2006/main">
  <c r="A1" i="3" l="1"/>
  <c r="A1" i="46"/>
  <c r="C6" i="46"/>
  <c r="C8" i="46"/>
  <c r="C10" i="46"/>
  <c r="C11" i="46"/>
  <c r="C16" i="46"/>
  <c r="D16" i="46"/>
  <c r="C17" i="46"/>
  <c r="D17" i="46"/>
  <c r="C18" i="46"/>
  <c r="D18" i="46"/>
  <c r="A1" i="19"/>
  <c r="D11" i="19"/>
  <c r="E11" i="19"/>
  <c r="F11" i="19"/>
  <c r="G11" i="19"/>
  <c r="D12" i="19"/>
  <c r="E12" i="19"/>
  <c r="F12" i="19"/>
  <c r="G12" i="19"/>
  <c r="D13" i="19"/>
  <c r="E13" i="19"/>
  <c r="F13" i="19"/>
  <c r="G13" i="19"/>
  <c r="D14" i="19"/>
  <c r="E14" i="19"/>
  <c r="F14" i="19"/>
  <c r="G14" i="19"/>
  <c r="D15" i="19"/>
  <c r="E15" i="19"/>
  <c r="F15" i="19"/>
  <c r="G15" i="19"/>
  <c r="D16" i="19"/>
  <c r="E16" i="19"/>
  <c r="F16" i="19"/>
  <c r="B18" i="19"/>
  <c r="E18" i="19"/>
  <c r="F18" i="19"/>
  <c r="G18" i="19"/>
  <c r="C28" i="19"/>
  <c r="D28" i="19"/>
  <c r="E28" i="19"/>
  <c r="F28" i="19"/>
  <c r="B31" i="19"/>
  <c r="D31" i="19"/>
  <c r="E31" i="19"/>
  <c r="F31" i="19"/>
  <c r="D1" i="40"/>
  <c r="E1" i="40"/>
  <c r="F1" i="40"/>
  <c r="G1" i="40"/>
  <c r="H1" i="40"/>
  <c r="I1" i="40"/>
  <c r="J1" i="40"/>
  <c r="K1" i="40"/>
  <c r="L1" i="40"/>
  <c r="M1" i="40"/>
  <c r="N1" i="40"/>
  <c r="O1" i="40"/>
  <c r="P1" i="40"/>
  <c r="Q1" i="40"/>
  <c r="R1" i="40"/>
  <c r="S1" i="40"/>
  <c r="T1" i="40"/>
  <c r="U1" i="40"/>
  <c r="V1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B8" i="40"/>
  <c r="W8" i="40"/>
  <c r="B9" i="40"/>
  <c r="W9" i="40"/>
  <c r="B10" i="40"/>
  <c r="N10" i="40"/>
  <c r="W10" i="40"/>
  <c r="B11" i="40"/>
  <c r="N11" i="40"/>
  <c r="W11" i="40"/>
  <c r="B12" i="40"/>
  <c r="W12" i="40"/>
  <c r="B13" i="40"/>
  <c r="W13" i="40"/>
  <c r="B14" i="40"/>
  <c r="W14" i="40"/>
  <c r="B15" i="40"/>
  <c r="W15" i="40"/>
  <c r="B16" i="40"/>
  <c r="W16" i="40"/>
  <c r="B17" i="40"/>
  <c r="W17" i="40"/>
  <c r="B18" i="40"/>
  <c r="W18" i="40"/>
  <c r="B19" i="40"/>
  <c r="W19" i="40"/>
  <c r="B20" i="40"/>
  <c r="W20" i="40"/>
  <c r="B21" i="40"/>
  <c r="W21" i="40"/>
  <c r="B22" i="40"/>
  <c r="W22" i="40"/>
  <c r="B23" i="40"/>
  <c r="W23" i="40"/>
  <c r="B24" i="40"/>
  <c r="W24" i="40"/>
  <c r="B25" i="40"/>
  <c r="F25" i="40"/>
  <c r="J25" i="40"/>
  <c r="R25" i="40"/>
  <c r="W25" i="40"/>
  <c r="B26" i="40"/>
  <c r="N26" i="40"/>
  <c r="W26" i="40"/>
  <c r="B27" i="40"/>
  <c r="W27" i="40"/>
  <c r="B28" i="40"/>
  <c r="W28" i="40"/>
  <c r="B29" i="40"/>
  <c r="W29" i="40"/>
  <c r="W30" i="40"/>
  <c r="C32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S32" i="40"/>
  <c r="T32" i="40"/>
  <c r="U32" i="40"/>
  <c r="V32" i="40"/>
  <c r="W32" i="40"/>
  <c r="C34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C36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AC36" i="40"/>
  <c r="C39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T39" i="40"/>
  <c r="U39" i="40"/>
  <c r="V39" i="40"/>
  <c r="C40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S40" i="40"/>
  <c r="T40" i="40"/>
  <c r="U40" i="40"/>
  <c r="V40" i="40"/>
  <c r="C41" i="40"/>
  <c r="D41" i="40"/>
  <c r="E41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S41" i="40"/>
  <c r="T41" i="40"/>
  <c r="U41" i="40"/>
  <c r="V41" i="40"/>
  <c r="C42" i="40"/>
  <c r="D42" i="40"/>
  <c r="E42" i="40"/>
  <c r="F42" i="40"/>
  <c r="G42" i="40"/>
  <c r="H42" i="40"/>
  <c r="I42" i="40"/>
  <c r="J42" i="40"/>
  <c r="K42" i="40"/>
  <c r="L42" i="40"/>
  <c r="M42" i="40"/>
  <c r="N42" i="40"/>
  <c r="O42" i="40"/>
  <c r="P42" i="40"/>
  <c r="Q42" i="40"/>
  <c r="R42" i="40"/>
  <c r="S42" i="40"/>
  <c r="T42" i="40"/>
  <c r="U42" i="40"/>
  <c r="V42" i="40"/>
  <c r="C43" i="40"/>
  <c r="D43" i="40"/>
  <c r="E43" i="40"/>
  <c r="F43" i="40"/>
  <c r="G43" i="40"/>
  <c r="H43" i="40"/>
  <c r="I43" i="40"/>
  <c r="J43" i="40"/>
  <c r="K43" i="40"/>
  <c r="L43" i="40"/>
  <c r="M43" i="40"/>
  <c r="N43" i="40"/>
  <c r="O43" i="40"/>
  <c r="P43" i="40"/>
  <c r="Q43" i="40"/>
  <c r="R43" i="40"/>
  <c r="S43" i="40"/>
  <c r="T43" i="40"/>
  <c r="U43" i="40"/>
  <c r="V43" i="40"/>
  <c r="F45" i="40"/>
  <c r="J45" i="40"/>
  <c r="N45" i="40"/>
  <c r="R45" i="40"/>
  <c r="W45" i="40"/>
  <c r="B48" i="40"/>
  <c r="F48" i="40"/>
  <c r="J48" i="40"/>
  <c r="N48" i="40"/>
  <c r="R48" i="40"/>
  <c r="W48" i="40"/>
  <c r="B49" i="40"/>
  <c r="F49" i="40"/>
  <c r="J49" i="40"/>
  <c r="N49" i="40"/>
  <c r="R49" i="40"/>
  <c r="W49" i="40"/>
  <c r="B50" i="40"/>
  <c r="W50" i="40"/>
  <c r="B51" i="40"/>
  <c r="F51" i="40"/>
  <c r="J51" i="40"/>
  <c r="R51" i="40"/>
  <c r="W51" i="40"/>
  <c r="B52" i="40"/>
  <c r="N52" i="40"/>
  <c r="W52" i="40"/>
  <c r="B53" i="40"/>
  <c r="N53" i="40"/>
  <c r="W53" i="40"/>
  <c r="B54" i="40"/>
  <c r="N54" i="40"/>
  <c r="W54" i="40"/>
  <c r="B55" i="40"/>
  <c r="N55" i="40"/>
  <c r="W55" i="40"/>
  <c r="B56" i="40"/>
  <c r="N56" i="40"/>
  <c r="W56" i="40"/>
  <c r="B57" i="40"/>
  <c r="N57" i="40"/>
  <c r="W57" i="40"/>
  <c r="B58" i="40"/>
  <c r="N58" i="40"/>
  <c r="W58" i="40"/>
  <c r="B59" i="40"/>
  <c r="N59" i="40"/>
  <c r="W59" i="40"/>
  <c r="B60" i="40"/>
  <c r="N60" i="40"/>
  <c r="W60" i="40"/>
  <c r="B61" i="40"/>
  <c r="W61" i="40"/>
  <c r="B62" i="40"/>
  <c r="W62" i="40"/>
  <c r="B63" i="40"/>
  <c r="W63" i="40"/>
  <c r="B64" i="40"/>
  <c r="W64" i="40"/>
  <c r="B65" i="40"/>
  <c r="W65" i="40"/>
  <c r="B66" i="40"/>
  <c r="W66" i="40"/>
  <c r="B67" i="40"/>
  <c r="W67" i="40"/>
  <c r="B68" i="40"/>
  <c r="W68" i="40"/>
  <c r="B69" i="40"/>
  <c r="W69" i="40"/>
  <c r="W70" i="40"/>
  <c r="C72" i="40"/>
  <c r="D72" i="40"/>
  <c r="E72" i="40"/>
  <c r="F72" i="40"/>
  <c r="G72" i="40"/>
  <c r="H72" i="40"/>
  <c r="I72" i="40"/>
  <c r="J72" i="40"/>
  <c r="K72" i="40"/>
  <c r="L72" i="40"/>
  <c r="M72" i="40"/>
  <c r="N72" i="40"/>
  <c r="O72" i="40"/>
  <c r="P72" i="40"/>
  <c r="Q72" i="40"/>
  <c r="R72" i="40"/>
  <c r="S72" i="40"/>
  <c r="T72" i="40"/>
  <c r="U72" i="40"/>
  <c r="V72" i="40"/>
  <c r="W72" i="40"/>
  <c r="C74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C79" i="40"/>
  <c r="D79" i="40"/>
  <c r="E79" i="40"/>
  <c r="F79" i="40"/>
  <c r="G79" i="40"/>
  <c r="H79" i="40"/>
  <c r="I79" i="40"/>
  <c r="J79" i="40"/>
  <c r="K79" i="40"/>
  <c r="L79" i="40"/>
  <c r="M79" i="40"/>
  <c r="N79" i="40"/>
  <c r="O79" i="40"/>
  <c r="P79" i="40"/>
  <c r="Q79" i="40"/>
  <c r="R79" i="40"/>
  <c r="S79" i="40"/>
  <c r="T79" i="40"/>
  <c r="U79" i="40"/>
  <c r="V79" i="40"/>
  <c r="W79" i="40"/>
  <c r="X79" i="40"/>
  <c r="Y79" i="40"/>
  <c r="C81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R81" i="40"/>
  <c r="S81" i="40"/>
  <c r="T81" i="40"/>
  <c r="U81" i="40"/>
  <c r="V81" i="40"/>
  <c r="W81" i="40"/>
  <c r="X81" i="40"/>
  <c r="Y81" i="40"/>
  <c r="C82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R82" i="40"/>
  <c r="S82" i="40"/>
  <c r="T82" i="40"/>
  <c r="U82" i="40"/>
  <c r="V82" i="40"/>
  <c r="W82" i="40"/>
  <c r="X82" i="40"/>
  <c r="Y82" i="40"/>
  <c r="C122" i="40"/>
  <c r="D122" i="40"/>
  <c r="E122" i="40"/>
  <c r="C123" i="40"/>
  <c r="D123" i="40"/>
  <c r="E123" i="40"/>
  <c r="C125" i="40"/>
  <c r="D125" i="40"/>
  <c r="E125" i="40"/>
  <c r="D126" i="40"/>
  <c r="E126" i="40"/>
  <c r="D127" i="40"/>
  <c r="E127" i="40"/>
  <c r="D128" i="40"/>
  <c r="E128" i="40"/>
  <c r="D129" i="40"/>
  <c r="E129" i="40"/>
  <c r="D130" i="40"/>
  <c r="E130" i="40"/>
  <c r="D131" i="40"/>
  <c r="E131" i="40"/>
  <c r="D133" i="40"/>
  <c r="E133" i="40"/>
  <c r="C134" i="40"/>
  <c r="E134" i="40"/>
  <c r="A1" i="23"/>
  <c r="A1" i="4"/>
  <c r="E3" i="15"/>
  <c r="A6" i="15"/>
  <c r="I6" i="15"/>
  <c r="J6" i="15"/>
  <c r="H7" i="15"/>
  <c r="I7" i="15"/>
  <c r="J7" i="15"/>
  <c r="H8" i="15"/>
  <c r="I8" i="15"/>
  <c r="J8" i="15"/>
  <c r="H9" i="15"/>
  <c r="I9" i="15"/>
  <c r="J9" i="15"/>
  <c r="H10" i="15"/>
  <c r="I10" i="15"/>
  <c r="J10" i="15"/>
  <c r="H11" i="15"/>
  <c r="I11" i="15"/>
  <c r="J11" i="15"/>
  <c r="H12" i="15"/>
  <c r="I12" i="15"/>
  <c r="J12" i="15"/>
  <c r="I13" i="15"/>
  <c r="J13" i="15"/>
  <c r="I14" i="15"/>
  <c r="J14" i="15"/>
  <c r="H15" i="15"/>
  <c r="I15" i="15"/>
  <c r="J15" i="15"/>
  <c r="H16" i="15"/>
  <c r="I16" i="15"/>
  <c r="J16" i="15"/>
  <c r="H18" i="15"/>
  <c r="I18" i="15"/>
  <c r="J18" i="15"/>
  <c r="H22" i="15"/>
  <c r="I22" i="15"/>
  <c r="J22" i="15"/>
  <c r="A24" i="15"/>
  <c r="I24" i="15"/>
  <c r="H25" i="15"/>
  <c r="I25" i="15"/>
  <c r="I26" i="15"/>
  <c r="H28" i="15"/>
  <c r="I28" i="15"/>
  <c r="J28" i="15"/>
  <c r="A30" i="15"/>
  <c r="I30" i="15"/>
  <c r="A31" i="15"/>
  <c r="I31" i="15"/>
  <c r="J31" i="15"/>
  <c r="H32" i="15"/>
  <c r="I32" i="15"/>
  <c r="H33" i="15"/>
  <c r="I33" i="15"/>
  <c r="H35" i="15"/>
  <c r="I35" i="15"/>
  <c r="J35" i="15"/>
  <c r="A37" i="15"/>
  <c r="H37" i="15"/>
  <c r="I37" i="15"/>
  <c r="I38" i="15"/>
  <c r="I39" i="15"/>
  <c r="J39" i="15"/>
  <c r="I40" i="15"/>
  <c r="I41" i="15"/>
  <c r="H43" i="15"/>
  <c r="I43" i="15"/>
  <c r="J43" i="15"/>
  <c r="A45" i="15"/>
  <c r="I45" i="15"/>
  <c r="I46" i="15"/>
  <c r="A47" i="15"/>
  <c r="I47" i="15"/>
  <c r="A48" i="15"/>
  <c r="I48" i="15"/>
  <c r="A49" i="15"/>
  <c r="I49" i="15"/>
  <c r="A50" i="15"/>
  <c r="I50" i="15"/>
  <c r="A51" i="15"/>
  <c r="I51" i="15"/>
  <c r="A52" i="15"/>
  <c r="I52" i="15"/>
  <c r="I53" i="15"/>
  <c r="I54" i="15"/>
  <c r="A55" i="15"/>
  <c r="H55" i="15"/>
  <c r="I55" i="15"/>
  <c r="J55" i="15"/>
  <c r="H56" i="15"/>
  <c r="I56" i="15"/>
  <c r="J56" i="15"/>
  <c r="A57" i="15"/>
  <c r="H57" i="15"/>
  <c r="I57" i="15"/>
  <c r="J57" i="15"/>
  <c r="A58" i="15"/>
  <c r="H58" i="15"/>
  <c r="I58" i="15"/>
  <c r="J58" i="15"/>
  <c r="A59" i="15"/>
  <c r="H59" i="15"/>
  <c r="I59" i="15"/>
  <c r="J59" i="15"/>
  <c r="H60" i="15"/>
  <c r="I60" i="15"/>
  <c r="J60" i="15"/>
  <c r="A61" i="15"/>
  <c r="I61" i="15"/>
  <c r="J61" i="15"/>
  <c r="I62" i="15"/>
  <c r="J62" i="15"/>
  <c r="I63" i="15"/>
  <c r="I64" i="15"/>
  <c r="I65" i="15"/>
  <c r="A66" i="15"/>
  <c r="I66" i="15"/>
  <c r="I68" i="15"/>
  <c r="J68" i="15"/>
  <c r="H70" i="15"/>
  <c r="I70" i="15"/>
  <c r="A71" i="15"/>
  <c r="H71" i="15"/>
  <c r="I71" i="15"/>
  <c r="A72" i="15"/>
  <c r="H72" i="15"/>
  <c r="I72" i="15"/>
  <c r="A73" i="15"/>
  <c r="H73" i="15"/>
  <c r="I73" i="15"/>
  <c r="A74" i="15"/>
  <c r="I74" i="15"/>
  <c r="A75" i="15"/>
  <c r="H75" i="15"/>
  <c r="I75" i="15"/>
  <c r="H76" i="15"/>
  <c r="I76" i="15"/>
  <c r="H77" i="15"/>
  <c r="I77" i="15"/>
  <c r="H79" i="15"/>
  <c r="I79" i="15"/>
  <c r="J79" i="15"/>
  <c r="A81" i="15"/>
  <c r="H81" i="15"/>
  <c r="I81" i="15"/>
  <c r="A82" i="15"/>
  <c r="H82" i="15"/>
  <c r="I82" i="15"/>
  <c r="A83" i="15"/>
  <c r="H83" i="15"/>
  <c r="I83" i="15"/>
  <c r="H85" i="15"/>
  <c r="I85" i="15"/>
  <c r="J85" i="15"/>
  <c r="A87" i="15"/>
  <c r="I87" i="15"/>
  <c r="A88" i="15"/>
  <c r="H88" i="15"/>
  <c r="I88" i="15"/>
  <c r="A89" i="15"/>
  <c r="H89" i="15"/>
  <c r="I89" i="15"/>
  <c r="A90" i="15"/>
  <c r="I90" i="15"/>
  <c r="I91" i="15"/>
  <c r="H93" i="15"/>
  <c r="I93" i="15"/>
  <c r="J93" i="15"/>
  <c r="A95" i="15"/>
  <c r="H95" i="15"/>
  <c r="I95" i="15"/>
  <c r="J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H110" i="15"/>
  <c r="I110" i="15"/>
  <c r="J110" i="15"/>
  <c r="A112" i="15"/>
  <c r="H112" i="15"/>
  <c r="I112" i="15"/>
  <c r="J112" i="15"/>
  <c r="A113" i="15"/>
  <c r="H113" i="15"/>
  <c r="I113" i="15"/>
  <c r="J113" i="15"/>
  <c r="H114" i="15"/>
  <c r="I114" i="15"/>
  <c r="J114" i="15"/>
  <c r="A115" i="15"/>
  <c r="I115" i="15"/>
  <c r="J115" i="15"/>
  <c r="A116" i="15"/>
  <c r="I116" i="15"/>
  <c r="J116" i="15"/>
  <c r="A117" i="15"/>
  <c r="H117" i="15"/>
  <c r="I117" i="15"/>
  <c r="J117" i="15"/>
  <c r="A118" i="15"/>
  <c r="I118" i="15"/>
  <c r="J118" i="15"/>
  <c r="A119" i="15"/>
  <c r="I119" i="15"/>
  <c r="J119" i="15"/>
  <c r="A120" i="15"/>
  <c r="H120" i="15"/>
  <c r="I120" i="15"/>
  <c r="J120" i="15"/>
  <c r="A121" i="15"/>
  <c r="H121" i="15"/>
  <c r="I121" i="15"/>
  <c r="J121" i="15"/>
  <c r="A122" i="15"/>
  <c r="H122" i="15"/>
  <c r="I122" i="15"/>
  <c r="J122" i="15"/>
  <c r="A123" i="15"/>
  <c r="H123" i="15"/>
  <c r="I123" i="15"/>
  <c r="J123" i="15"/>
  <c r="H124" i="15"/>
  <c r="I124" i="15"/>
  <c r="J124" i="15"/>
  <c r="I125" i="15"/>
  <c r="J125" i="15"/>
  <c r="A126" i="15"/>
  <c r="I126" i="15"/>
  <c r="J126" i="15"/>
  <c r="A127" i="15"/>
  <c r="I127" i="15"/>
  <c r="J127" i="15"/>
  <c r="H128" i="15"/>
  <c r="I128" i="15"/>
  <c r="J128" i="15"/>
  <c r="A129" i="15"/>
  <c r="H130" i="15"/>
  <c r="I130" i="15"/>
  <c r="J130" i="15"/>
  <c r="A132" i="15"/>
  <c r="I132" i="15"/>
  <c r="H133" i="15"/>
  <c r="I133" i="15"/>
  <c r="J133" i="15"/>
  <c r="A135" i="15"/>
  <c r="I135" i="15"/>
  <c r="A136" i="15"/>
  <c r="H137" i="15"/>
  <c r="I137" i="15"/>
  <c r="J137" i="15"/>
  <c r="H139" i="15"/>
  <c r="I139" i="15"/>
  <c r="J139" i="15"/>
  <c r="I140" i="15"/>
  <c r="H141" i="15"/>
  <c r="I141" i="15"/>
  <c r="J141" i="15"/>
  <c r="I142" i="15"/>
  <c r="H144" i="15"/>
  <c r="I144" i="15"/>
  <c r="J144" i="15"/>
  <c r="A146" i="15"/>
  <c r="H146" i="15"/>
  <c r="I146" i="15"/>
  <c r="A147" i="15"/>
  <c r="H147" i="15"/>
  <c r="I147" i="15"/>
  <c r="A148" i="15"/>
  <c r="H148" i="15"/>
  <c r="I148" i="15"/>
  <c r="A149" i="15"/>
  <c r="H149" i="15"/>
  <c r="I149" i="15"/>
  <c r="A150" i="15"/>
  <c r="H150" i="15"/>
  <c r="I150" i="15"/>
  <c r="A151" i="15"/>
  <c r="I151" i="15"/>
  <c r="A152" i="15"/>
  <c r="H152" i="15"/>
  <c r="I152" i="15"/>
  <c r="A153" i="15"/>
  <c r="H153" i="15"/>
  <c r="I153" i="15"/>
  <c r="A154" i="15"/>
  <c r="H154" i="15"/>
  <c r="I154" i="15"/>
  <c r="A155" i="15"/>
  <c r="H155" i="15"/>
  <c r="I155" i="15"/>
  <c r="A156" i="15"/>
  <c r="H156" i="15"/>
  <c r="I156" i="15"/>
  <c r="A157" i="15"/>
  <c r="I157" i="15"/>
  <c r="A158" i="15"/>
  <c r="H158" i="15"/>
  <c r="I158" i="15"/>
  <c r="A159" i="15"/>
  <c r="H159" i="15"/>
  <c r="I159" i="15"/>
  <c r="A160" i="15"/>
  <c r="H160" i="15"/>
  <c r="I160" i="15"/>
  <c r="I161" i="15"/>
  <c r="J161" i="15"/>
  <c r="H162" i="15"/>
  <c r="I162" i="15"/>
  <c r="I163" i="15"/>
  <c r="J163" i="15"/>
  <c r="I164" i="15"/>
  <c r="J164" i="15"/>
  <c r="A165" i="15"/>
  <c r="I165" i="15"/>
  <c r="A166" i="15"/>
  <c r="I166" i="15"/>
  <c r="A167" i="15"/>
  <c r="I167" i="15"/>
  <c r="A168" i="15"/>
  <c r="H168" i="15"/>
  <c r="I168" i="15"/>
  <c r="A169" i="15"/>
  <c r="H169" i="15"/>
  <c r="I169" i="15"/>
  <c r="A170" i="15"/>
  <c r="I170" i="15"/>
  <c r="A171" i="15"/>
  <c r="I171" i="15"/>
  <c r="A172" i="15"/>
  <c r="H172" i="15"/>
  <c r="I172" i="15"/>
  <c r="A173" i="15"/>
  <c r="I173" i="15"/>
  <c r="I174" i="15"/>
  <c r="A175" i="15"/>
  <c r="H175" i="15"/>
  <c r="I175" i="15"/>
  <c r="I176" i="15"/>
  <c r="I177" i="15"/>
  <c r="H178" i="15"/>
  <c r="I178" i="15"/>
  <c r="H180" i="15"/>
  <c r="I180" i="15"/>
  <c r="J180" i="15"/>
  <c r="A182" i="15"/>
  <c r="I182" i="15"/>
  <c r="I183" i="15"/>
  <c r="H184" i="15"/>
  <c r="I184" i="15"/>
  <c r="I185" i="15"/>
  <c r="I186" i="15"/>
  <c r="I187" i="15"/>
  <c r="J187" i="15"/>
  <c r="I188" i="15"/>
  <c r="J188" i="15"/>
  <c r="H192" i="15"/>
  <c r="I192" i="15"/>
  <c r="H194" i="15"/>
  <c r="I194" i="15"/>
  <c r="J194" i="15"/>
  <c r="A196" i="15"/>
  <c r="I196" i="15"/>
  <c r="A197" i="15"/>
  <c r="H197" i="15"/>
  <c r="I197" i="15"/>
  <c r="I198" i="15"/>
  <c r="A199" i="15"/>
  <c r="I199" i="15"/>
  <c r="H200" i="15"/>
  <c r="I200" i="15"/>
  <c r="I201" i="15"/>
  <c r="A202" i="15"/>
  <c r="I202" i="15"/>
  <c r="J202" i="15"/>
  <c r="H203" i="15"/>
  <c r="I203" i="15"/>
  <c r="I204" i="15"/>
  <c r="I205" i="15"/>
  <c r="I206" i="15"/>
  <c r="I207" i="15"/>
  <c r="A208" i="15"/>
  <c r="I208" i="15"/>
  <c r="I209" i="15"/>
  <c r="I210" i="15"/>
  <c r="H211" i="15"/>
  <c r="I211" i="15"/>
  <c r="H213" i="15"/>
  <c r="I213" i="15"/>
  <c r="J213" i="15"/>
  <c r="A215" i="15"/>
  <c r="I215" i="15"/>
  <c r="A216" i="15"/>
  <c r="I216" i="15"/>
  <c r="A217" i="15"/>
  <c r="I217" i="15"/>
  <c r="A218" i="15"/>
  <c r="I218" i="15"/>
  <c r="H219" i="15"/>
  <c r="I219" i="15"/>
  <c r="H221" i="15"/>
  <c r="I221" i="15"/>
  <c r="J221" i="15"/>
  <c r="A223" i="15"/>
  <c r="I223" i="15"/>
  <c r="J223" i="15"/>
  <c r="I224" i="15"/>
  <c r="I225" i="15"/>
  <c r="I226" i="15"/>
  <c r="J226" i="15"/>
  <c r="H227" i="15"/>
  <c r="I227" i="15"/>
  <c r="J227" i="15"/>
  <c r="H229" i="15"/>
  <c r="I229" i="15"/>
  <c r="J229" i="15"/>
  <c r="A231" i="15"/>
  <c r="H231" i="15"/>
  <c r="A232" i="15"/>
  <c r="H232" i="15"/>
  <c r="A233" i="15"/>
  <c r="A234" i="15"/>
  <c r="H234" i="15"/>
  <c r="A236" i="15"/>
  <c r="A237" i="15"/>
  <c r="A238" i="15"/>
  <c r="A243" i="15"/>
  <c r="A248" i="15"/>
  <c r="H248" i="15"/>
  <c r="A249" i="15"/>
  <c r="A254" i="15"/>
  <c r="A260" i="15"/>
  <c r="A274" i="15"/>
  <c r="H277" i="15"/>
  <c r="H279" i="15"/>
  <c r="H281" i="15"/>
  <c r="I281" i="15"/>
  <c r="I282" i="15"/>
  <c r="I283" i="15"/>
  <c r="H285" i="15"/>
  <c r="I285" i="15"/>
  <c r="J285" i="15"/>
  <c r="I287" i="15"/>
  <c r="J287" i="15"/>
  <c r="I288" i="15"/>
  <c r="I289" i="15"/>
  <c r="H291" i="15"/>
  <c r="I291" i="15"/>
  <c r="J291" i="15"/>
  <c r="H293" i="15"/>
  <c r="I293" i="15"/>
  <c r="J293" i="15"/>
  <c r="H294" i="15"/>
  <c r="H297" i="15"/>
  <c r="I297" i="15"/>
  <c r="J297" i="15"/>
  <c r="I299" i="15"/>
  <c r="J299" i="15"/>
  <c r="H301" i="15"/>
  <c r="I301" i="15"/>
  <c r="J301" i="15"/>
  <c r="I303" i="15"/>
  <c r="J303" i="15"/>
  <c r="H305" i="15"/>
  <c r="I305" i="15"/>
  <c r="J305" i="15"/>
  <c r="H307" i="15"/>
  <c r="I307" i="15"/>
  <c r="J307" i="15"/>
  <c r="J308" i="15"/>
  <c r="H309" i="15"/>
  <c r="I309" i="15"/>
  <c r="J309" i="15"/>
  <c r="H310" i="15"/>
  <c r="I310" i="15"/>
  <c r="J310" i="15"/>
  <c r="H311" i="15"/>
  <c r="I311" i="15"/>
  <c r="J311" i="15"/>
  <c r="A1" i="8"/>
  <c r="D6" i="8"/>
  <c r="D8" i="8"/>
  <c r="D11" i="8"/>
  <c r="D12" i="8"/>
  <c r="D13" i="8"/>
  <c r="D14" i="8"/>
  <c r="D15" i="8"/>
  <c r="D16" i="8"/>
  <c r="D17" i="8"/>
  <c r="D18" i="8"/>
  <c r="D19" i="8"/>
  <c r="D20" i="8"/>
  <c r="D21" i="8"/>
  <c r="D22" i="8"/>
  <c r="D24" i="8"/>
  <c r="D28" i="8"/>
  <c r="D29" i="8"/>
  <c r="D30" i="8"/>
  <c r="D31" i="8"/>
  <c r="D32" i="8"/>
  <c r="D33" i="8"/>
  <c r="D34" i="8"/>
  <c r="D36" i="8"/>
  <c r="D38" i="8"/>
  <c r="D43" i="8"/>
  <c r="D45" i="8"/>
  <c r="D48" i="8"/>
  <c r="D51" i="8"/>
  <c r="D52" i="8"/>
  <c r="A1" i="9"/>
  <c r="I5" i="9"/>
  <c r="J5" i="9"/>
  <c r="K5" i="9"/>
  <c r="L5" i="9"/>
  <c r="M5" i="9"/>
  <c r="N5" i="9"/>
  <c r="O5" i="9"/>
  <c r="P5" i="9"/>
  <c r="Q5" i="9"/>
  <c r="R5" i="9"/>
  <c r="S5" i="9"/>
  <c r="A1" i="42"/>
  <c r="E9" i="42"/>
  <c r="F9" i="42"/>
  <c r="E10" i="42"/>
  <c r="F10" i="42"/>
  <c r="E11" i="42"/>
  <c r="F11" i="42"/>
  <c r="E12" i="42"/>
  <c r="F12" i="42"/>
  <c r="E13" i="42"/>
  <c r="F13" i="42"/>
  <c r="E14" i="42"/>
  <c r="F14" i="42"/>
  <c r="E15" i="42"/>
  <c r="F15" i="42"/>
  <c r="B19" i="42"/>
  <c r="F19" i="42"/>
  <c r="A29" i="42"/>
  <c r="B29" i="42"/>
  <c r="A30" i="42"/>
  <c r="B30" i="42"/>
  <c r="A31" i="42"/>
  <c r="B31" i="42"/>
  <c r="A32" i="42"/>
  <c r="B32" i="42"/>
  <c r="A33" i="42"/>
  <c r="B33" i="42"/>
  <c r="A34" i="42"/>
  <c r="B34" i="42"/>
  <c r="A35" i="42"/>
  <c r="B35" i="42"/>
  <c r="A46" i="42"/>
  <c r="B46" i="42"/>
  <c r="C46" i="42"/>
  <c r="D46" i="42"/>
  <c r="E46" i="42"/>
  <c r="F46" i="42"/>
  <c r="G46" i="42"/>
  <c r="H46" i="42"/>
  <c r="I46" i="42"/>
  <c r="J46" i="42"/>
  <c r="A47" i="42"/>
  <c r="B47" i="42"/>
  <c r="C47" i="42"/>
  <c r="D47" i="42"/>
  <c r="E47" i="42"/>
  <c r="F47" i="42"/>
  <c r="G47" i="42"/>
  <c r="H47" i="42"/>
  <c r="I47" i="42"/>
  <c r="J47" i="42"/>
  <c r="A48" i="42"/>
  <c r="C48" i="42"/>
  <c r="D48" i="42"/>
  <c r="E48" i="42"/>
  <c r="F48" i="42"/>
  <c r="G48" i="42"/>
  <c r="H48" i="42"/>
  <c r="I48" i="42"/>
  <c r="J48" i="42"/>
  <c r="A49" i="42"/>
  <c r="C49" i="42"/>
  <c r="D49" i="42"/>
  <c r="E49" i="42"/>
  <c r="F49" i="42"/>
  <c r="G49" i="42"/>
  <c r="H49" i="42"/>
  <c r="I49" i="42"/>
  <c r="J49" i="42"/>
  <c r="A51" i="42"/>
  <c r="B51" i="42"/>
  <c r="C51" i="42"/>
  <c r="D51" i="42"/>
  <c r="E51" i="42"/>
  <c r="F51" i="42"/>
  <c r="G51" i="42"/>
  <c r="H51" i="42"/>
  <c r="I51" i="42"/>
  <c r="J51" i="42"/>
  <c r="A52" i="42"/>
  <c r="B52" i="42"/>
  <c r="C52" i="42"/>
  <c r="D52" i="42"/>
  <c r="E52" i="42"/>
  <c r="F52" i="42"/>
  <c r="G52" i="42"/>
  <c r="H52" i="42"/>
  <c r="I52" i="42"/>
  <c r="J52" i="42"/>
  <c r="A53" i="42"/>
  <c r="C53" i="42"/>
  <c r="D53" i="42"/>
  <c r="E53" i="42"/>
  <c r="F53" i="42"/>
  <c r="G53" i="42"/>
  <c r="H53" i="42"/>
  <c r="I53" i="42"/>
  <c r="J53" i="42"/>
  <c r="C62" i="42"/>
  <c r="D62" i="42"/>
  <c r="E62" i="42"/>
  <c r="G62" i="42"/>
  <c r="A64" i="42"/>
  <c r="B64" i="42"/>
  <c r="C64" i="42"/>
  <c r="D64" i="42"/>
  <c r="E64" i="42"/>
  <c r="F64" i="42"/>
  <c r="G64" i="42"/>
  <c r="H64" i="42"/>
  <c r="I64" i="42"/>
  <c r="A65" i="42"/>
  <c r="B65" i="42"/>
  <c r="C65" i="42"/>
  <c r="D65" i="42"/>
  <c r="E65" i="42"/>
  <c r="F65" i="42"/>
  <c r="G65" i="42"/>
  <c r="H65" i="42"/>
  <c r="I65" i="42"/>
  <c r="A66" i="42"/>
  <c r="B66" i="42"/>
  <c r="C66" i="42"/>
  <c r="D66" i="42"/>
  <c r="E66" i="42"/>
  <c r="F66" i="42"/>
  <c r="G66" i="42"/>
  <c r="H66" i="42"/>
  <c r="I66" i="42"/>
  <c r="A67" i="42"/>
  <c r="B67" i="42"/>
  <c r="C67" i="42"/>
  <c r="D67" i="42"/>
  <c r="E67" i="42"/>
  <c r="F67" i="42"/>
  <c r="G67" i="42"/>
  <c r="H67" i="42"/>
  <c r="I67" i="42"/>
  <c r="A69" i="42"/>
  <c r="B69" i="42"/>
  <c r="C69" i="42"/>
  <c r="D69" i="42"/>
  <c r="E69" i="42"/>
  <c r="F69" i="42"/>
  <c r="G69" i="42"/>
  <c r="H69" i="42"/>
  <c r="I69" i="42"/>
  <c r="A70" i="42"/>
  <c r="B70" i="42"/>
  <c r="C70" i="42"/>
  <c r="D70" i="42"/>
  <c r="E70" i="42"/>
  <c r="F70" i="42"/>
  <c r="G70" i="42"/>
  <c r="H70" i="42"/>
  <c r="I70" i="42"/>
  <c r="A71" i="42"/>
  <c r="B71" i="42"/>
  <c r="C71" i="42"/>
  <c r="D71" i="42"/>
  <c r="E71" i="42"/>
  <c r="F71" i="42"/>
  <c r="G71" i="42"/>
  <c r="H71" i="42"/>
  <c r="I71" i="42"/>
  <c r="A3" i="25"/>
  <c r="E5" i="25"/>
  <c r="F5" i="25"/>
  <c r="D6" i="25"/>
  <c r="F6" i="25"/>
  <c r="D7" i="25"/>
  <c r="F7" i="25"/>
  <c r="D8" i="25"/>
  <c r="E8" i="25"/>
  <c r="F8" i="25"/>
  <c r="D9" i="25"/>
  <c r="E9" i="25"/>
  <c r="F9" i="25"/>
  <c r="D13" i="25"/>
  <c r="E13" i="25"/>
  <c r="F13" i="25"/>
  <c r="E14" i="25"/>
  <c r="F14" i="25"/>
  <c r="D15" i="25"/>
  <c r="E15" i="25"/>
  <c r="F15" i="25"/>
  <c r="D16" i="25"/>
  <c r="E16" i="25"/>
  <c r="F16" i="25"/>
  <c r="D17" i="25"/>
  <c r="E17" i="25"/>
  <c r="F17" i="25"/>
  <c r="D18" i="25"/>
  <c r="E18" i="25"/>
  <c r="F18" i="25"/>
  <c r="E19" i="25"/>
  <c r="F19" i="25"/>
  <c r="E20" i="25"/>
  <c r="F20" i="25"/>
  <c r="E21" i="25"/>
  <c r="F21" i="25"/>
  <c r="D23" i="25"/>
  <c r="E23" i="25"/>
  <c r="F23" i="25"/>
  <c r="E24" i="25"/>
  <c r="F24" i="25"/>
  <c r="E25" i="25"/>
  <c r="F25" i="25"/>
  <c r="C26" i="25"/>
  <c r="C27" i="25"/>
  <c r="E27" i="25"/>
  <c r="F27" i="25"/>
  <c r="D28" i="25"/>
  <c r="E29" i="25"/>
  <c r="F29" i="25"/>
  <c r="E30" i="25"/>
  <c r="F30" i="25"/>
  <c r="E31" i="25"/>
  <c r="F31" i="25"/>
  <c r="E32" i="25"/>
  <c r="F32" i="25"/>
  <c r="F33" i="25"/>
  <c r="F34" i="25"/>
  <c r="E35" i="25"/>
  <c r="F35" i="25"/>
  <c r="E36" i="25"/>
  <c r="F36" i="25"/>
  <c r="E37" i="25"/>
  <c r="F37" i="25"/>
  <c r="D39" i="25"/>
  <c r="E39" i="25"/>
  <c r="F39" i="25"/>
  <c r="E40" i="25"/>
  <c r="F40" i="25"/>
  <c r="E41" i="25"/>
  <c r="F41" i="25"/>
  <c r="E42" i="25"/>
  <c r="F42" i="25"/>
  <c r="E43" i="25"/>
  <c r="F43" i="25"/>
  <c r="E44" i="25"/>
  <c r="F44" i="25"/>
  <c r="F45" i="25"/>
  <c r="F46" i="25"/>
  <c r="D48" i="25"/>
  <c r="E48" i="25"/>
  <c r="F48" i="25"/>
  <c r="E49" i="25"/>
  <c r="F49" i="25"/>
  <c r="F50" i="25"/>
  <c r="E51" i="25"/>
  <c r="F51" i="25"/>
  <c r="E52" i="25"/>
  <c r="F52" i="25"/>
  <c r="F53" i="25"/>
  <c r="D59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F65" i="25"/>
  <c r="F66" i="25"/>
  <c r="E67" i="25"/>
  <c r="F67" i="25"/>
  <c r="F68" i="25"/>
  <c r="F69" i="25"/>
  <c r="E70" i="25"/>
  <c r="F70" i="25"/>
  <c r="E71" i="25"/>
  <c r="F71" i="25"/>
  <c r="E72" i="25"/>
  <c r="F72" i="25"/>
  <c r="E73" i="25"/>
  <c r="F73" i="25"/>
  <c r="E74" i="25"/>
  <c r="F74" i="25"/>
  <c r="E75" i="25"/>
  <c r="F75" i="25"/>
  <c r="E76" i="25"/>
  <c r="F76" i="25"/>
  <c r="E77" i="25"/>
  <c r="F77" i="25"/>
  <c r="E78" i="25"/>
  <c r="F78" i="25"/>
  <c r="E79" i="25"/>
  <c r="F79" i="25"/>
  <c r="E80" i="25"/>
  <c r="F80" i="25"/>
  <c r="E81" i="25"/>
  <c r="F81" i="25"/>
  <c r="E82" i="25"/>
  <c r="F82" i="25"/>
  <c r="E83" i="25"/>
  <c r="F83" i="25"/>
  <c r="E84" i="25"/>
  <c r="F84" i="25"/>
  <c r="E85" i="25"/>
  <c r="F85" i="25"/>
  <c r="D86" i="25"/>
  <c r="E86" i="25"/>
  <c r="F86" i="25"/>
  <c r="D87" i="25"/>
  <c r="D89" i="25"/>
  <c r="E89" i="25"/>
  <c r="F89" i="25"/>
  <c r="E90" i="25"/>
  <c r="F90" i="25"/>
  <c r="D91" i="25"/>
  <c r="E91" i="25"/>
  <c r="F91" i="25"/>
  <c r="E92" i="25"/>
  <c r="F92" i="25"/>
  <c r="D93" i="25"/>
  <c r="D95" i="25"/>
  <c r="E95" i="25"/>
  <c r="F95" i="25"/>
  <c r="F97" i="25"/>
  <c r="D99" i="25"/>
  <c r="E99" i="25"/>
  <c r="F99" i="25"/>
  <c r="E100" i="25"/>
  <c r="F100" i="25"/>
  <c r="E101" i="25"/>
  <c r="F101" i="25"/>
  <c r="E102" i="25"/>
  <c r="F102" i="25"/>
  <c r="E103" i="25"/>
  <c r="F103" i="25"/>
  <c r="E104" i="25"/>
  <c r="F104" i="25"/>
  <c r="E105" i="25"/>
  <c r="F105" i="25"/>
  <c r="E106" i="25"/>
  <c r="F106" i="25"/>
  <c r="E107" i="25"/>
  <c r="F107" i="25"/>
  <c r="E108" i="25"/>
  <c r="F108" i="25"/>
  <c r="D109" i="25"/>
  <c r="E109" i="25"/>
  <c r="F109" i="25"/>
  <c r="E110" i="25"/>
  <c r="F110" i="25"/>
  <c r="F111" i="25"/>
  <c r="E112" i="25"/>
  <c r="F112" i="25"/>
  <c r="E113" i="25"/>
  <c r="F113" i="25"/>
  <c r="E114" i="25"/>
  <c r="F114" i="25"/>
  <c r="D116" i="25"/>
  <c r="E116" i="25"/>
  <c r="F116" i="25"/>
  <c r="E117" i="25"/>
  <c r="F117" i="25"/>
  <c r="E118" i="25"/>
  <c r="F118" i="25"/>
  <c r="E119" i="25"/>
  <c r="F119" i="25"/>
  <c r="D120" i="25"/>
  <c r="E120" i="25"/>
  <c r="F120" i="25"/>
  <c r="E121" i="25"/>
  <c r="F121" i="25"/>
  <c r="D122" i="25"/>
  <c r="E122" i="25"/>
  <c r="F122" i="25"/>
  <c r="E123" i="25"/>
  <c r="F123" i="25"/>
  <c r="E124" i="25"/>
  <c r="F124" i="25"/>
  <c r="E125" i="25"/>
  <c r="F125" i="25"/>
  <c r="E126" i="25"/>
  <c r="F126" i="25"/>
  <c r="E127" i="25"/>
  <c r="F127" i="25"/>
  <c r="E128" i="25"/>
  <c r="F128" i="25"/>
  <c r="D129" i="25"/>
  <c r="E129" i="25"/>
  <c r="F129" i="25"/>
  <c r="E130" i="25"/>
  <c r="F130" i="25"/>
  <c r="D131" i="25"/>
  <c r="E131" i="25"/>
  <c r="F131" i="25"/>
  <c r="E132" i="25"/>
  <c r="F132" i="25"/>
  <c r="D133" i="25"/>
  <c r="E133" i="25"/>
  <c r="F133" i="25"/>
  <c r="D139" i="25"/>
  <c r="E139" i="25"/>
  <c r="F139" i="25"/>
  <c r="E140" i="25"/>
  <c r="F140" i="25"/>
  <c r="E141" i="25"/>
  <c r="F141" i="25"/>
  <c r="E142" i="25"/>
  <c r="F142" i="25"/>
  <c r="E143" i="25"/>
  <c r="F143" i="25"/>
  <c r="E144" i="25"/>
  <c r="F144" i="25"/>
  <c r="E145" i="25"/>
  <c r="F145" i="25"/>
  <c r="E146" i="25"/>
  <c r="F146" i="25"/>
  <c r="E147" i="25"/>
  <c r="F147" i="25"/>
  <c r="D149" i="25"/>
  <c r="E149" i="25"/>
  <c r="F149" i="25"/>
  <c r="E150" i="25"/>
  <c r="F150" i="25"/>
  <c r="E151" i="25"/>
  <c r="F151" i="25"/>
  <c r="E152" i="25"/>
  <c r="F152" i="25"/>
  <c r="E153" i="25"/>
  <c r="F153" i="25"/>
  <c r="E154" i="25"/>
  <c r="F154" i="25"/>
  <c r="E155" i="25"/>
  <c r="F155" i="25"/>
  <c r="E156" i="25"/>
  <c r="F156" i="25"/>
  <c r="E157" i="25"/>
  <c r="F157" i="25"/>
  <c r="D158" i="25"/>
  <c r="E158" i="25"/>
  <c r="F158" i="25"/>
  <c r="E159" i="25"/>
  <c r="F159" i="25"/>
  <c r="E160" i="25"/>
  <c r="F160" i="25"/>
  <c r="E161" i="25"/>
  <c r="F161" i="25"/>
  <c r="E162" i="25"/>
  <c r="F162" i="25"/>
  <c r="E163" i="25"/>
  <c r="F163" i="25"/>
  <c r="E164" i="25"/>
  <c r="F164" i="25"/>
  <c r="E165" i="25"/>
  <c r="F165" i="25"/>
  <c r="E166" i="25"/>
  <c r="F166" i="25"/>
  <c r="D168" i="25"/>
  <c r="E168" i="25"/>
  <c r="F168" i="25"/>
  <c r="E169" i="25"/>
  <c r="F169" i="25"/>
  <c r="E170" i="25"/>
  <c r="F170" i="25"/>
  <c r="E171" i="25"/>
  <c r="F171" i="25"/>
  <c r="E172" i="25"/>
  <c r="F172" i="25"/>
  <c r="E173" i="25"/>
  <c r="F173" i="25"/>
  <c r="E174" i="25"/>
  <c r="F174" i="25"/>
  <c r="E175" i="25"/>
  <c r="F175" i="25"/>
  <c r="E176" i="25"/>
  <c r="F176" i="25"/>
  <c r="E177" i="25"/>
  <c r="F177" i="25"/>
  <c r="D179" i="25"/>
  <c r="E179" i="25"/>
  <c r="F179" i="25"/>
  <c r="E180" i="25"/>
  <c r="F180" i="25"/>
  <c r="E181" i="25"/>
  <c r="F181" i="25"/>
  <c r="E182" i="25"/>
  <c r="F182" i="25"/>
  <c r="E183" i="25"/>
  <c r="F183" i="25"/>
  <c r="E184" i="25"/>
  <c r="F184" i="25"/>
  <c r="E185" i="25"/>
  <c r="F185" i="25"/>
  <c r="E186" i="25"/>
  <c r="F186" i="25"/>
  <c r="D187" i="25"/>
  <c r="E187" i="25"/>
  <c r="F187" i="25"/>
  <c r="E189" i="25"/>
  <c r="F189" i="25"/>
  <c r="F190" i="25"/>
  <c r="E191" i="25"/>
  <c r="F191" i="25"/>
  <c r="E192" i="25"/>
  <c r="F192" i="25"/>
  <c r="E193" i="25"/>
  <c r="F193" i="25"/>
  <c r="E194" i="25"/>
  <c r="F194" i="25"/>
  <c r="E195" i="25"/>
  <c r="F195" i="25"/>
  <c r="E196" i="25"/>
  <c r="F196" i="25"/>
  <c r="E197" i="25"/>
  <c r="F197" i="25"/>
  <c r="D199" i="25"/>
  <c r="E199" i="25"/>
  <c r="F199" i="25"/>
  <c r="E200" i="25"/>
  <c r="F200" i="25"/>
  <c r="E201" i="25"/>
  <c r="F201" i="25"/>
  <c r="E202" i="25"/>
  <c r="F202" i="25"/>
  <c r="E203" i="25"/>
  <c r="F203" i="25"/>
  <c r="E204" i="25"/>
  <c r="F204" i="25"/>
  <c r="E205" i="25"/>
  <c r="F205" i="25"/>
  <c r="E206" i="25"/>
  <c r="F206" i="25"/>
  <c r="E207" i="25"/>
  <c r="F207" i="25"/>
  <c r="D208" i="25"/>
  <c r="E208" i="25"/>
  <c r="F208" i="25"/>
  <c r="D210" i="25"/>
  <c r="E210" i="25"/>
  <c r="F210" i="25"/>
  <c r="F211" i="25"/>
  <c r="E212" i="25"/>
  <c r="F212" i="25"/>
  <c r="D220" i="25"/>
  <c r="E220" i="25"/>
  <c r="F220" i="25"/>
  <c r="F221" i="25"/>
  <c r="E222" i="25"/>
  <c r="F222" i="25"/>
  <c r="E223" i="25"/>
  <c r="F223" i="25"/>
  <c r="E224" i="25"/>
  <c r="F224" i="25"/>
  <c r="E225" i="25"/>
  <c r="F225" i="25"/>
  <c r="E226" i="25"/>
  <c r="F226" i="25"/>
  <c r="D230" i="25"/>
  <c r="E230" i="25"/>
  <c r="F230" i="25"/>
  <c r="E231" i="25"/>
  <c r="F231" i="25"/>
  <c r="E232" i="25"/>
  <c r="F232" i="25"/>
  <c r="E233" i="25"/>
  <c r="F233" i="25"/>
  <c r="D234" i="25"/>
  <c r="E234" i="25"/>
  <c r="F234" i="25"/>
  <c r="D235" i="25"/>
  <c r="E235" i="25"/>
  <c r="F235" i="25"/>
  <c r="E236" i="25"/>
  <c r="F236" i="25"/>
  <c r="E237" i="25"/>
  <c r="F237" i="25"/>
  <c r="E238" i="25"/>
  <c r="F238" i="25"/>
  <c r="E239" i="25"/>
  <c r="F239" i="25"/>
  <c r="E240" i="25"/>
  <c r="F240" i="25"/>
  <c r="E241" i="25"/>
  <c r="F241" i="25"/>
  <c r="E242" i="25"/>
  <c r="F242" i="25"/>
  <c r="E243" i="25"/>
  <c r="F243" i="25"/>
  <c r="E244" i="25"/>
  <c r="F244" i="25"/>
  <c r="E245" i="25"/>
  <c r="F245" i="25"/>
  <c r="E246" i="25"/>
  <c r="F246" i="25"/>
  <c r="E247" i="25"/>
  <c r="F247" i="25"/>
  <c r="D249" i="25"/>
  <c r="E249" i="25"/>
  <c r="F249" i="25"/>
  <c r="E250" i="25"/>
  <c r="F250" i="25"/>
  <c r="D251" i="25"/>
  <c r="F251" i="25"/>
  <c r="D258" i="25"/>
  <c r="E258" i="25"/>
  <c r="F258" i="25"/>
  <c r="E259" i="25"/>
  <c r="F259" i="25"/>
  <c r="F260" i="25"/>
  <c r="D261" i="25"/>
  <c r="D264" i="25"/>
  <c r="E264" i="25"/>
  <c r="F264" i="25"/>
  <c r="E265" i="25"/>
  <c r="F265" i="25"/>
  <c r="D266" i="25"/>
  <c r="E266" i="25"/>
  <c r="F266" i="25"/>
  <c r="E267" i="25"/>
  <c r="F267" i="25"/>
  <c r="E268" i="25"/>
  <c r="F268" i="25"/>
  <c r="D272" i="25"/>
  <c r="E272" i="25"/>
  <c r="F272" i="25"/>
  <c r="E273" i="25"/>
  <c r="F273" i="25"/>
  <c r="E274" i="25"/>
  <c r="F274" i="25"/>
  <c r="D276" i="25"/>
  <c r="E276" i="25"/>
  <c r="F276" i="25"/>
  <c r="E277" i="25"/>
  <c r="F277" i="25"/>
  <c r="D278" i="25"/>
  <c r="E278" i="25"/>
  <c r="F278" i="25"/>
  <c r="E279" i="25"/>
  <c r="F279" i="25"/>
  <c r="D281" i="25"/>
  <c r="E281" i="25"/>
  <c r="F281" i="25"/>
  <c r="E282" i="25"/>
  <c r="F282" i="25"/>
  <c r="E284" i="25"/>
  <c r="F284" i="25"/>
  <c r="F285" i="25"/>
  <c r="E286" i="25"/>
  <c r="F286" i="25"/>
  <c r="F287" i="25"/>
  <c r="E288" i="25"/>
  <c r="F288" i="25"/>
  <c r="F289" i="25"/>
  <c r="E290" i="25"/>
  <c r="F290" i="25"/>
  <c r="F291" i="25"/>
  <c r="E292" i="25"/>
  <c r="F292" i="25"/>
  <c r="D295" i="25"/>
  <c r="E295" i="25"/>
  <c r="F295" i="25"/>
  <c r="A1" i="16"/>
  <c r="E8" i="16"/>
  <c r="B11" i="16"/>
  <c r="E11" i="16"/>
  <c r="B12" i="16"/>
  <c r="B13" i="16"/>
  <c r="E13" i="16"/>
  <c r="B14" i="16"/>
  <c r="E14" i="16"/>
  <c r="B15" i="16"/>
  <c r="E15" i="16"/>
  <c r="B16" i="16"/>
  <c r="E16" i="16"/>
  <c r="B17" i="16"/>
  <c r="E17" i="16"/>
  <c r="B18" i="16"/>
  <c r="B19" i="16"/>
  <c r="E19" i="16"/>
  <c r="B20" i="16"/>
  <c r="E22" i="16"/>
  <c r="E24" i="16"/>
  <c r="B28" i="16"/>
  <c r="E28" i="16"/>
  <c r="B29" i="16"/>
  <c r="E29" i="16"/>
  <c r="B30" i="16"/>
  <c r="B31" i="16"/>
  <c r="B32" i="16"/>
  <c r="B33" i="16"/>
  <c r="E33" i="16"/>
  <c r="B34" i="16"/>
  <c r="E34" i="16"/>
  <c r="B35" i="16"/>
  <c r="E35" i="16"/>
  <c r="B36" i="16"/>
  <c r="E36" i="16"/>
  <c r="B37" i="16"/>
  <c r="E37" i="16"/>
  <c r="B38" i="16"/>
  <c r="E38" i="16"/>
  <c r="E40" i="16"/>
  <c r="E42" i="16"/>
  <c r="E44" i="16"/>
  <c r="D47" i="16"/>
  <c r="G47" i="16"/>
  <c r="G48" i="16"/>
  <c r="G50" i="16"/>
  <c r="G51" i="16"/>
  <c r="G59" i="16"/>
  <c r="G60" i="16"/>
  <c r="D63" i="16"/>
  <c r="D64" i="16"/>
  <c r="A1" i="41"/>
  <c r="A11" i="41"/>
  <c r="C11" i="41"/>
  <c r="D11" i="41"/>
  <c r="G11" i="41"/>
  <c r="A12" i="41"/>
  <c r="C12" i="41"/>
  <c r="D12" i="41"/>
  <c r="E12" i="41"/>
  <c r="G12" i="41"/>
  <c r="A13" i="41"/>
  <c r="C13" i="41"/>
  <c r="D13" i="41"/>
  <c r="G13" i="41"/>
  <c r="A14" i="41"/>
  <c r="C14" i="41"/>
  <c r="D14" i="41"/>
  <c r="E14" i="41"/>
  <c r="F14" i="41"/>
  <c r="G14" i="41"/>
  <c r="C15" i="41"/>
  <c r="G15" i="41"/>
  <c r="H15" i="41"/>
  <c r="B17" i="41"/>
  <c r="G17" i="41"/>
  <c r="C27" i="41"/>
  <c r="D27" i="41"/>
  <c r="F27" i="41"/>
  <c r="G27" i="41"/>
  <c r="H27" i="41"/>
  <c r="A29" i="41"/>
  <c r="C29" i="41"/>
  <c r="D29" i="41"/>
  <c r="E29" i="41"/>
  <c r="F29" i="41"/>
  <c r="G29" i="41"/>
  <c r="H29" i="41"/>
  <c r="I29" i="41"/>
  <c r="J29" i="41"/>
  <c r="K29" i="41"/>
  <c r="A30" i="41"/>
  <c r="B30" i="41"/>
  <c r="C30" i="41"/>
  <c r="D30" i="41"/>
  <c r="E30" i="41"/>
  <c r="F30" i="41"/>
  <c r="G30" i="41"/>
  <c r="H30" i="41"/>
  <c r="I30" i="41"/>
  <c r="J30" i="41"/>
  <c r="A31" i="41"/>
  <c r="B31" i="41"/>
  <c r="C31" i="41"/>
  <c r="D31" i="41"/>
  <c r="E31" i="41"/>
  <c r="F31" i="41"/>
  <c r="G31" i="41"/>
  <c r="H31" i="41"/>
  <c r="I31" i="41"/>
  <c r="J31" i="41"/>
  <c r="K31" i="41"/>
  <c r="A32" i="41"/>
  <c r="B32" i="41"/>
  <c r="C32" i="41"/>
  <c r="D32" i="41"/>
  <c r="E32" i="41"/>
  <c r="F32" i="41"/>
  <c r="G32" i="41"/>
  <c r="H32" i="41"/>
  <c r="I32" i="41"/>
  <c r="J32" i="41"/>
  <c r="K32" i="41"/>
  <c r="A33" i="41"/>
  <c r="A34" i="41"/>
  <c r="B34" i="41"/>
  <c r="C34" i="41"/>
  <c r="D34" i="41"/>
  <c r="E34" i="41"/>
  <c r="F34" i="41"/>
  <c r="G34" i="41"/>
  <c r="H34" i="41"/>
  <c r="I34" i="41"/>
  <c r="J34" i="41"/>
  <c r="A35" i="41"/>
  <c r="B35" i="41"/>
  <c r="C35" i="41"/>
  <c r="D35" i="41"/>
  <c r="E35" i="41"/>
  <c r="F35" i="41"/>
  <c r="G35" i="41"/>
  <c r="H35" i="41"/>
  <c r="I35" i="41"/>
  <c r="J35" i="41"/>
  <c r="A36" i="41"/>
  <c r="B36" i="41"/>
  <c r="C36" i="41"/>
  <c r="D36" i="41"/>
  <c r="E36" i="41"/>
  <c r="F36" i="41"/>
  <c r="G36" i="41"/>
  <c r="H36" i="41"/>
  <c r="I36" i="41"/>
  <c r="J36" i="41"/>
  <c r="K36" i="41"/>
  <c r="C46" i="41"/>
  <c r="D46" i="41"/>
  <c r="E46" i="41"/>
  <c r="F46" i="41"/>
  <c r="G46" i="41"/>
  <c r="H46" i="41"/>
  <c r="A48" i="41"/>
  <c r="A49" i="41"/>
  <c r="A50" i="41"/>
  <c r="A51" i="41"/>
  <c r="B51" i="41"/>
  <c r="C51" i="41"/>
  <c r="D51" i="41"/>
  <c r="E51" i="41"/>
  <c r="F51" i="41"/>
  <c r="G51" i="41"/>
  <c r="H51" i="41"/>
  <c r="I51" i="41"/>
  <c r="A52" i="41"/>
  <c r="A53" i="41"/>
  <c r="A54" i="41"/>
  <c r="B54" i="41"/>
  <c r="C54" i="41"/>
  <c r="D54" i="41"/>
  <c r="E54" i="41"/>
  <c r="F54" i="41"/>
  <c r="G54" i="41"/>
  <c r="H54" i="41"/>
  <c r="I54" i="41"/>
  <c r="A55" i="41"/>
  <c r="B55" i="41"/>
  <c r="C55" i="41"/>
  <c r="D55" i="41"/>
  <c r="E55" i="41"/>
  <c r="F55" i="41"/>
  <c r="G55" i="41"/>
  <c r="H55" i="41"/>
  <c r="I55" i="41"/>
  <c r="A65" i="41"/>
  <c r="G66" i="41"/>
  <c r="C95" i="41"/>
  <c r="D95" i="41"/>
  <c r="E95" i="41"/>
  <c r="F95" i="41"/>
  <c r="G95" i="41"/>
  <c r="C96" i="41"/>
  <c r="D96" i="41"/>
  <c r="E96" i="41"/>
  <c r="F96" i="41"/>
  <c r="G96" i="41"/>
  <c r="C99" i="41"/>
  <c r="D99" i="41"/>
  <c r="E99" i="41"/>
  <c r="F99" i="41"/>
  <c r="G99" i="41"/>
  <c r="C100" i="41"/>
  <c r="D100" i="41"/>
  <c r="C102" i="41"/>
  <c r="D102" i="41"/>
  <c r="F102" i="41"/>
  <c r="G102" i="41"/>
  <c r="D103" i="41"/>
  <c r="C105" i="41"/>
  <c r="D105" i="41"/>
  <c r="G105" i="41"/>
  <c r="C108" i="41"/>
  <c r="D108" i="41"/>
  <c r="E108" i="41"/>
  <c r="C111" i="41"/>
  <c r="D111" i="41"/>
  <c r="E111" i="41"/>
  <c r="F111" i="41"/>
  <c r="C112" i="41"/>
  <c r="C115" i="41"/>
  <c r="D115" i="41"/>
  <c r="E115" i="41"/>
  <c r="F115" i="41"/>
  <c r="G115" i="41"/>
  <c r="C116" i="41"/>
  <c r="D116" i="41"/>
  <c r="E116" i="41"/>
  <c r="F116" i="41"/>
  <c r="G116" i="41"/>
  <c r="C118" i="41"/>
  <c r="D118" i="41"/>
  <c r="E118" i="41"/>
  <c r="F118" i="41"/>
  <c r="G118" i="41"/>
  <c r="C119" i="41"/>
  <c r="D119" i="41"/>
  <c r="E119" i="41"/>
  <c r="F119" i="41"/>
  <c r="G119" i="41"/>
  <c r="C121" i="41"/>
  <c r="D121" i="41"/>
  <c r="C122" i="41"/>
  <c r="D122" i="41"/>
  <c r="E122" i="41"/>
  <c r="F122" i="41"/>
  <c r="G122" i="41"/>
  <c r="C124" i="41"/>
  <c r="D124" i="41"/>
  <c r="E124" i="41"/>
  <c r="F124" i="41"/>
  <c r="G124" i="41"/>
  <c r="C125" i="41"/>
  <c r="D125" i="41"/>
  <c r="E125" i="41"/>
  <c r="F125" i="41"/>
  <c r="G125" i="41"/>
  <c r="A1" i="14"/>
  <c r="B8" i="14"/>
  <c r="D8" i="14"/>
  <c r="B9" i="14"/>
  <c r="D9" i="14"/>
  <c r="D10" i="14"/>
  <c r="D11" i="14"/>
  <c r="D12" i="14"/>
  <c r="D13" i="14"/>
  <c r="D15" i="14"/>
  <c r="D16" i="14"/>
  <c r="D17" i="14"/>
  <c r="D20" i="14"/>
  <c r="D22" i="14"/>
  <c r="D24" i="14"/>
  <c r="A1" i="44"/>
  <c r="E8" i="44"/>
  <c r="F8" i="44"/>
  <c r="I8" i="44"/>
  <c r="K8" i="44"/>
  <c r="M8" i="44"/>
  <c r="N8" i="44"/>
  <c r="E9" i="44"/>
  <c r="F9" i="44"/>
  <c r="I9" i="44"/>
  <c r="K9" i="44"/>
  <c r="M9" i="44"/>
  <c r="N9" i="44"/>
  <c r="E10" i="44"/>
  <c r="F10" i="44"/>
  <c r="I10" i="44"/>
  <c r="K10" i="44"/>
  <c r="M10" i="44"/>
  <c r="N10" i="44"/>
  <c r="E11" i="44"/>
  <c r="F11" i="44"/>
  <c r="I11" i="44"/>
  <c r="K11" i="44"/>
  <c r="M11" i="44"/>
  <c r="N11" i="44"/>
  <c r="E12" i="44"/>
  <c r="F12" i="44"/>
  <c r="I12" i="44"/>
  <c r="K12" i="44"/>
  <c r="M12" i="44"/>
  <c r="N12" i="44"/>
  <c r="E13" i="44"/>
  <c r="F13" i="44"/>
  <c r="I13" i="44"/>
  <c r="K13" i="44"/>
  <c r="M13" i="44"/>
  <c r="N13" i="44"/>
  <c r="E14" i="44"/>
  <c r="F14" i="44"/>
  <c r="I14" i="44"/>
  <c r="K14" i="44"/>
  <c r="M14" i="44"/>
  <c r="N14" i="44"/>
  <c r="E15" i="44"/>
  <c r="F15" i="44"/>
  <c r="I15" i="44"/>
  <c r="K15" i="44"/>
  <c r="M15" i="44"/>
  <c r="N15" i="44"/>
  <c r="E16" i="44"/>
  <c r="F16" i="44"/>
  <c r="I16" i="44"/>
  <c r="K16" i="44"/>
  <c r="M16" i="44"/>
  <c r="N16" i="44"/>
  <c r="E17" i="44"/>
  <c r="F17" i="44"/>
  <c r="I17" i="44"/>
  <c r="K17" i="44"/>
  <c r="M17" i="44"/>
  <c r="N17" i="44"/>
  <c r="E24" i="44"/>
  <c r="E28" i="44"/>
  <c r="A1" i="12"/>
  <c r="A1" i="5"/>
  <c r="E8" i="5"/>
  <c r="E13" i="5"/>
  <c r="F13" i="5"/>
  <c r="E15" i="5"/>
  <c r="E17" i="5"/>
  <c r="E19" i="5"/>
  <c r="F21" i="5"/>
  <c r="F23" i="5"/>
  <c r="E25" i="5"/>
  <c r="F25" i="5"/>
  <c r="E33" i="5"/>
  <c r="F33" i="5"/>
  <c r="F34" i="5"/>
  <c r="G35" i="5"/>
  <c r="F36" i="5"/>
  <c r="F37" i="5"/>
  <c r="E39" i="5"/>
  <c r="G43" i="5"/>
  <c r="F45" i="5"/>
  <c r="G45" i="5"/>
  <c r="E47" i="5"/>
  <c r="F47" i="5"/>
  <c r="G47" i="5"/>
  <c r="E49" i="5"/>
  <c r="F49" i="5"/>
  <c r="G49" i="5"/>
  <c r="E56" i="5"/>
  <c r="F56" i="5"/>
  <c r="A1" i="1"/>
  <c r="G7" i="1"/>
  <c r="B10" i="1"/>
  <c r="G10" i="1"/>
  <c r="B11" i="1"/>
  <c r="G11" i="1"/>
  <c r="B12" i="1"/>
  <c r="G12" i="1"/>
  <c r="A14" i="1"/>
  <c r="G14" i="1"/>
  <c r="A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A24" i="1"/>
  <c r="G24" i="1"/>
  <c r="B25" i="1"/>
  <c r="G25" i="1"/>
  <c r="B26" i="1"/>
  <c r="G26" i="1"/>
  <c r="B29" i="1"/>
  <c r="G29" i="1"/>
  <c r="G30" i="1"/>
  <c r="A1" i="47"/>
  <c r="C27" i="47"/>
  <c r="F34" i="47"/>
  <c r="F35" i="47"/>
  <c r="F36" i="47"/>
  <c r="F38" i="47"/>
  <c r="F39" i="47"/>
  <c r="F47" i="47"/>
  <c r="F49" i="47"/>
  <c r="F51" i="47"/>
  <c r="A1" i="43"/>
  <c r="I8" i="43"/>
  <c r="I9" i="43"/>
  <c r="I10" i="43"/>
  <c r="I14" i="43"/>
  <c r="I15" i="43"/>
  <c r="I20" i="43"/>
  <c r="I29" i="43"/>
  <c r="I36" i="43"/>
  <c r="I41" i="43"/>
  <c r="I45" i="43"/>
  <c r="I47" i="43"/>
  <c r="I48" i="43"/>
  <c r="I49" i="43"/>
  <c r="I53" i="43"/>
  <c r="I64" i="43"/>
  <c r="K64" i="43"/>
  <c r="H69" i="43"/>
  <c r="H71" i="43"/>
</calcChain>
</file>

<file path=xl/comments1.xml><?xml version="1.0" encoding="utf-8"?>
<comments xmlns="http://schemas.openxmlformats.org/spreadsheetml/2006/main">
  <authors>
    <author>Tina Toburen</author>
  </authors>
  <commentList>
    <comment ref="B47" authorId="0" shapeId="0">
      <text>
        <r>
          <rPr>
            <b/>
            <sz val="8"/>
            <color indexed="81"/>
            <rFont val="Tahoma"/>
          </rPr>
          <t>Tina Toburen:</t>
        </r>
        <r>
          <rPr>
            <sz val="8"/>
            <color indexed="81"/>
            <rFont val="Tahoma"/>
          </rPr>
          <t xml:space="preserve">
Flagged for verification</t>
        </r>
      </text>
    </comment>
  </commentList>
</comments>
</file>

<file path=xl/sharedStrings.xml><?xml version="1.0" encoding="utf-8"?>
<sst xmlns="http://schemas.openxmlformats.org/spreadsheetml/2006/main" count="3089" uniqueCount="1431">
  <si>
    <t>BOP Preventive Maintenance *</t>
  </si>
  <si>
    <t>Gas Turbine Mark V</t>
  </si>
  <si>
    <t>DCS &amp; Mark IV Operations and Maintenance Training (2 people for 4 weeks)</t>
  </si>
  <si>
    <t>Software &amp; Hardware Maintenance</t>
  </si>
  <si>
    <t>Opts/Eng/I&amp;C</t>
  </si>
  <si>
    <t>To be determined</t>
  </si>
  <si>
    <t>Troubleshooting</t>
  </si>
  <si>
    <t>Total Class Training Duration</t>
  </si>
  <si>
    <t>Estimated Training Expenses</t>
  </si>
  <si>
    <t>Meals, Etc.</t>
  </si>
  <si>
    <t>$50/day x 20 days x 7 employees</t>
  </si>
  <si>
    <t>$125/day x 12 days x 7 employees</t>
  </si>
  <si>
    <t>$450 airfare x 7 employees</t>
  </si>
  <si>
    <t xml:space="preserve">Classroom Facility rental: </t>
  </si>
  <si>
    <t>$75/hr x 10 hrs/wk x 5 weeks + OJT Admin @ 40 hours</t>
  </si>
  <si>
    <t>Phase I - Employee Orientation</t>
  </si>
  <si>
    <t>$500/day x 5 days</t>
  </si>
  <si>
    <t>Phase II - Technical Training</t>
  </si>
  <si>
    <t xml:space="preserve">  Fundamentals &amp; BOP Systems</t>
  </si>
  <si>
    <t>TriTech Quotation</t>
  </si>
  <si>
    <t xml:space="preserve">  Combustion Turbine</t>
  </si>
  <si>
    <t>General Electric Option at Caledonia</t>
  </si>
  <si>
    <t xml:space="preserve">  Instructor</t>
  </si>
  <si>
    <t>Included</t>
  </si>
  <si>
    <t xml:space="preserve">  DCS Training</t>
  </si>
  <si>
    <t>General Electric Option</t>
  </si>
  <si>
    <t xml:space="preserve">  Control Room Simulator Training</t>
  </si>
  <si>
    <t>Not included</t>
  </si>
  <si>
    <t>Phase III - Leadership Training</t>
  </si>
  <si>
    <t>By Enron Corp in Houston</t>
  </si>
  <si>
    <t>Phase IV - Safety &amp; Environmental</t>
  </si>
  <si>
    <t>$1500 x 1 trip + 40 hours x $75</t>
  </si>
  <si>
    <t>Phase V - OJT Program</t>
  </si>
  <si>
    <t>Supplied by GE during TD of I</t>
  </si>
  <si>
    <t>Supplies &amp; Other Expenses</t>
  </si>
  <si>
    <t>5% of Subtotal</t>
  </si>
  <si>
    <t>Basis: Wilton Center training estimate</t>
  </si>
  <si>
    <t>9 monthsx$750/month</t>
  </si>
  <si>
    <t>$100/month x 9 months</t>
  </si>
  <si>
    <t>$200/month x 9 months</t>
  </si>
  <si>
    <t>5 equip x $100/month x 9 months</t>
  </si>
  <si>
    <t>8 P&amp;IDsx 2 mandays each x $400/day</t>
  </si>
  <si>
    <t>Recruiting/Procedures/CMMS Input/Store Room Setup</t>
  </si>
  <si>
    <t>Travel Expenses (to Minnesota)</t>
  </si>
  <si>
    <t>SAP Acctg System</t>
  </si>
  <si>
    <t>4ea @ $200</t>
  </si>
  <si>
    <t>1ea/9 months lease</t>
  </si>
  <si>
    <t>2ea. extinguisher cart</t>
  </si>
  <si>
    <t>Lakefield</t>
  </si>
  <si>
    <t>Capital &amp; Operational Spares</t>
  </si>
  <si>
    <t>O&amp;M Mobilization BudgetProcurement ExpensesVehicles &amp; Mobile Equipment Total</t>
  </si>
  <si>
    <t>Basis: Purchasing Dept.</t>
  </si>
  <si>
    <t>O&amp;M Mobilization BudgetProcurement ExpensesWarehouse Furnishings &amp; Equipment Title</t>
  </si>
  <si>
    <t>Bins/Racks/shelves</t>
  </si>
  <si>
    <t>includes Lumber, nails, materials (to construct)</t>
  </si>
  <si>
    <t>Equipment/Tools</t>
  </si>
  <si>
    <t>dollies, scales, carpenter tools, banding &amp; labeling machines</t>
  </si>
  <si>
    <t>Furniture</t>
  </si>
  <si>
    <t>tables, desks, chairs, file cabinets</t>
  </si>
  <si>
    <t>Miscellaneous Supplies</t>
  </si>
  <si>
    <t>O&amp;M Mobilization BudgetProcurement ExpensesWarehouse Furnishings &amp; Equipment Total</t>
  </si>
  <si>
    <t>O&amp;M Mobilization BudgetProcurement ExpensesLaboratory Equipment Title</t>
  </si>
  <si>
    <t>Laboratory Analyzers (pH, conductivity, spectrophotometer)</t>
  </si>
  <si>
    <t>Glassware/Misc. Equipment (centrifuge, vacuum pump, PC,scale,oven)</t>
  </si>
  <si>
    <t>Furniture, cabinets, benches, tables, refrigerator</t>
  </si>
  <si>
    <t>Fuel Testing equipment</t>
  </si>
  <si>
    <t>Gas Chromatogragh/Atomic Absorption</t>
  </si>
  <si>
    <t>O&amp;M Mobilization BudgetProcurement ExpensesLaboratory Equipment Total</t>
  </si>
  <si>
    <t>O&amp;M Mobilization BudgetProcurement ExpensesShop Tools &amp; Equipment Title</t>
  </si>
  <si>
    <t>Mechanic Hand Tools</t>
  </si>
  <si>
    <t>tool boxes</t>
  </si>
  <si>
    <t>$1200 each</t>
  </si>
  <si>
    <t>I/E Tech Hand Tools</t>
  </si>
  <si>
    <t>$1500 each</t>
  </si>
  <si>
    <t>Consumables (Cleaning, Mech. supplies, compounds, I&amp;E supplies, hoses)</t>
  </si>
  <si>
    <t>Radios  (Basis: Houston 2-way Radio - Motorola HC1000, 2 channels)</t>
  </si>
  <si>
    <t>$1000 each</t>
  </si>
  <si>
    <t>Radio Base</t>
  </si>
  <si>
    <t>Mechanical Shop Tools &amp; Equip.</t>
  </si>
  <si>
    <t>High Pressure Hand Pump</t>
  </si>
  <si>
    <t>Nordstrom Hyper Grease Gun 5 gal.</t>
  </si>
  <si>
    <t>$3015 each</t>
  </si>
  <si>
    <t>Rockwell Hand Held High Pressure Grease Gun</t>
  </si>
  <si>
    <t>$960 each</t>
  </si>
  <si>
    <t>Hydraulic Torque Wrench</t>
  </si>
  <si>
    <t>$4000 each</t>
  </si>
  <si>
    <t>Centrifugal Pump</t>
  </si>
  <si>
    <t>$2500 each</t>
  </si>
  <si>
    <t>Pneumatic diaphram pump</t>
  </si>
  <si>
    <t>Bead Blaster</t>
  </si>
  <si>
    <t>$1800 each</t>
  </si>
  <si>
    <t>Sand Blaster</t>
  </si>
  <si>
    <t>$900 each</t>
  </si>
  <si>
    <t>Portable Air Compressor</t>
  </si>
  <si>
    <t>$600 each</t>
  </si>
  <si>
    <t>Hydraulic Press - 25 ton</t>
  </si>
  <si>
    <t>$1400 each</t>
  </si>
  <si>
    <t>O&amp;M Mobilization BudgetProcurement ExpensesShop Tools &amp; Equipment Total</t>
  </si>
  <si>
    <t>Post Hole Digger</t>
  </si>
  <si>
    <t>O&amp;M Mobilization BudgetProcurement ExpensesChemicals, Lubricants, Hydraulic Fluids Title</t>
  </si>
  <si>
    <t>Steel Work Bench</t>
  </si>
  <si>
    <t>$160 each</t>
  </si>
  <si>
    <t>Employee Lockers x 6</t>
  </si>
  <si>
    <t>$250 each</t>
  </si>
  <si>
    <t>Storage Cabinets</t>
  </si>
  <si>
    <t>$300 each</t>
  </si>
  <si>
    <t>Parts Washer</t>
  </si>
  <si>
    <t>Bench Grinder</t>
  </si>
  <si>
    <t>$400 each</t>
  </si>
  <si>
    <t>O&amp;M Mobilization BudgetProcurement ExpensesChemicals, Lubricants, Hydraulic Fluids Total</t>
  </si>
  <si>
    <t>Drill Press</t>
  </si>
  <si>
    <t>$2375 each</t>
  </si>
  <si>
    <t>O&amp;M Mobilization BudgetO&amp;M Mobilization Fee Title</t>
  </si>
  <si>
    <t>AC/DC Welder Generator</t>
  </si>
  <si>
    <t>$3100 each</t>
  </si>
  <si>
    <t>Assortment Hammer Wrenches</t>
  </si>
  <si>
    <t>$5000 each</t>
  </si>
  <si>
    <t>Flange Spreader</t>
  </si>
  <si>
    <t>Hoists /Come-a-longs</t>
  </si>
  <si>
    <t>Miscellaneous small hand tools</t>
  </si>
  <si>
    <t>$5000 set</t>
  </si>
  <si>
    <t>O&amp;M Mobilization BudgetO&amp;M Mobilization Fee Total</t>
  </si>
  <si>
    <t>I/E Shop Tools &amp; Test Equipment</t>
  </si>
  <si>
    <t>Gas Detector Calibration Kit</t>
  </si>
  <si>
    <t>$500 each</t>
  </si>
  <si>
    <t>O&amp;M Mobilization BudgetOwner Optional Items Title</t>
  </si>
  <si>
    <t>Owner Optional Items</t>
  </si>
  <si>
    <t>Flow, Press, &amp; Temp Transmitter Communicators</t>
  </si>
  <si>
    <t>Digital Thickness Gauge</t>
  </si>
  <si>
    <t>UV IR Portable Test Kit</t>
  </si>
  <si>
    <t>IRD Vibration Meter</t>
  </si>
  <si>
    <t>$8000 each</t>
  </si>
  <si>
    <t>Fluke Digital Multimeter</t>
  </si>
  <si>
    <t>$350 each</t>
  </si>
  <si>
    <t>O&amp;M Mobilization BudgetOwner Optional Items Total</t>
  </si>
  <si>
    <t>Thermocoupler Calibrator</t>
  </si>
  <si>
    <t>$950 each</t>
  </si>
  <si>
    <t>Precision Pressure Calibrator</t>
  </si>
  <si>
    <t>$5700 each</t>
  </si>
  <si>
    <t>Simpson Multimeter</t>
  </si>
  <si>
    <t>RTD Calibrator</t>
  </si>
  <si>
    <t>$700 each</t>
  </si>
  <si>
    <t>Test Gauges 0 -1500 psig.</t>
  </si>
  <si>
    <t>$1000 set</t>
  </si>
  <si>
    <t>Gravitometer</t>
  </si>
  <si>
    <t>$5850 each</t>
  </si>
  <si>
    <t>PK Tester</t>
  </si>
  <si>
    <t>$4065 each</t>
  </si>
  <si>
    <t>Pipeline Locator</t>
  </si>
  <si>
    <t>$3900 each</t>
  </si>
  <si>
    <t xml:space="preserve">Test/Troubleshooting Equipment </t>
  </si>
  <si>
    <t>Beta Engine Analyzer</t>
  </si>
  <si>
    <t>$60,000 each</t>
  </si>
  <si>
    <t>O&amp;M Mobilization BudgetCapital, Operating and BOP Spares (1998$) Title</t>
  </si>
  <si>
    <t>Capital, Operating and BOP Spares (1996$)</t>
  </si>
  <si>
    <t>Oscilloscope</t>
  </si>
  <si>
    <t>$3000 each</t>
  </si>
  <si>
    <t>Capital, Operating and BOP Spares (1998$)</t>
  </si>
  <si>
    <t>Bore Scope (probe, light source and photo)</t>
  </si>
  <si>
    <t>$15,000 each</t>
  </si>
  <si>
    <t>Combustible Gas Detector</t>
  </si>
  <si>
    <t>$1795 each</t>
  </si>
  <si>
    <t>O&amp;M Mobilization BudgetCapital, Operating and BOP Spares (1998$) Total</t>
  </si>
  <si>
    <t>Warehouse Stock</t>
  </si>
  <si>
    <t xml:space="preserve">1month's worth x chemicals </t>
  </si>
  <si>
    <t>5% of cost (included above)</t>
  </si>
  <si>
    <t>Basis/Justification:</t>
  </si>
  <si>
    <t>10% of mob. money managed excluding</t>
  </si>
  <si>
    <t>Spares, OE and G&amp;A</t>
  </si>
  <si>
    <t>US, UK and like</t>
  </si>
  <si>
    <t xml:space="preserve">Annual % of Payroll &amp; Burden based </t>
  </si>
  <si>
    <t>India, Brazil, Argentina and like</t>
  </si>
  <si>
    <t>on country type</t>
  </si>
  <si>
    <t>Bangladesh and like</t>
  </si>
  <si>
    <t>Basis: Eval team concensus</t>
  </si>
  <si>
    <t>Assume 75% of 1 Year's annual budget</t>
  </si>
  <si>
    <t>Basis:same as yearly G&amp;A</t>
  </si>
  <si>
    <t>EECC provides Turnkey Contract</t>
  </si>
  <si>
    <t>See Owners' Engineer detail sheet</t>
  </si>
  <si>
    <t>Straight Time</t>
  </si>
  <si>
    <t>Salary &amp;</t>
  </si>
  <si>
    <t>Operations &amp; Maintenance Cost Estimate</t>
  </si>
  <si>
    <t>Table of Contents</t>
  </si>
  <si>
    <t>Scope</t>
  </si>
  <si>
    <t>Project Scope Description</t>
  </si>
  <si>
    <t>List of Assumptions</t>
  </si>
  <si>
    <t>Map</t>
  </si>
  <si>
    <t>Summary - Operations &amp; Maintenance Cost Estimate</t>
  </si>
  <si>
    <t xml:space="preserve">1) </t>
  </si>
  <si>
    <t>Base year for all costs and prices herein: current 2000 US $ (no escalation or inflation included).</t>
  </si>
  <si>
    <t xml:space="preserve">2) </t>
  </si>
  <si>
    <t>Primary fuel: Pipeline Quality Natural Gas</t>
  </si>
  <si>
    <t xml:space="preserve">3) </t>
  </si>
  <si>
    <t>Backup fuel: No backup fuel source.</t>
  </si>
  <si>
    <t xml:space="preserve">4)  </t>
  </si>
  <si>
    <t xml:space="preserve">5)  </t>
  </si>
  <si>
    <t xml:space="preserve">6) </t>
  </si>
  <si>
    <t>7) .</t>
  </si>
  <si>
    <t xml:space="preserve">12)   </t>
  </si>
  <si>
    <t>Standard Scope Split between Turnkey/Startup Contractor and Owner/Operator per enclosed.</t>
  </si>
  <si>
    <t xml:space="preserve">17) </t>
  </si>
  <si>
    <t>This O&amp;M Estimate does not include the cost of the following items:</t>
  </si>
  <si>
    <t>Owner Functions include:</t>
  </si>
  <si>
    <t>O&amp;M Pre-Mobilization / Mobilization Cost Estimate</t>
  </si>
  <si>
    <t>Training Program</t>
  </si>
  <si>
    <t>Owners' Engineer</t>
  </si>
  <si>
    <t>Commercial Operations O&amp;M Estimate</t>
  </si>
  <si>
    <t>Contract &amp; Opns Support Staffing Plan</t>
  </si>
  <si>
    <t>Personnel Benefits</t>
  </si>
  <si>
    <t>O&amp;M Estimate Backup/Detail</t>
  </si>
  <si>
    <t>Major Maintenance Cost Estimate</t>
  </si>
  <si>
    <t>Initial Operating Spares</t>
  </si>
  <si>
    <t>GT Scheduled Major Maint. Program (year by year)</t>
  </si>
  <si>
    <t>Staffing Plan</t>
  </si>
  <si>
    <t>Equipment:</t>
  </si>
  <si>
    <t>Fuel:</t>
  </si>
  <si>
    <t>Operations Mode:</t>
  </si>
  <si>
    <t>PPA:</t>
  </si>
  <si>
    <t>Tentative schedule:</t>
  </si>
  <si>
    <t>COD</t>
  </si>
  <si>
    <t>Commercial Office:</t>
  </si>
  <si>
    <t>Owners Engineer:</t>
  </si>
  <si>
    <t xml:space="preserve">                    </t>
  </si>
  <si>
    <t>Revenue and Property Book Accounting including customer and fuel supplier billing</t>
  </si>
  <si>
    <t>Tax Accounting including preparing Local and US tax returns</t>
  </si>
  <si>
    <t>Annual financial audits by outside auditors.</t>
  </si>
  <si>
    <t xml:space="preserve">Maintaining Bank accounts and treasury functions </t>
  </si>
  <si>
    <t>Commercial contracts and interface with Power Purchasers and Fuel Suppliers</t>
  </si>
  <si>
    <t>Fuel purchasing &amp; supply, logistics and scheduling</t>
  </si>
  <si>
    <t>Government and Public Relations</t>
  </si>
  <si>
    <t>Legal and contractual requirements</t>
  </si>
  <si>
    <t>Project Human resources (compensation and benefits plans)</t>
  </si>
  <si>
    <t>Interface with Lenders and Partners regarding funding and information requests</t>
  </si>
  <si>
    <t>Budgeting, Operating and Capital planning</t>
  </si>
  <si>
    <t>Dealing with Customs authorities with regard to imported goods and services.</t>
  </si>
  <si>
    <t>Purchased (backfeed) power and other purchased utilities</t>
  </si>
  <si>
    <t>Buildings:  Administration, Warehouse and Shop facilities</t>
  </si>
  <si>
    <t>Operating or Environmental Permits (Operator to assist Owner in obtaining)</t>
  </si>
  <si>
    <t>Communications facilities (internal &amp; external)</t>
  </si>
  <si>
    <t>Expenses before Commercial Operation:</t>
  </si>
  <si>
    <t>US $</t>
  </si>
  <si>
    <t>O&amp;M Pre-Mobilization / Mobilization Expenses</t>
  </si>
  <si>
    <t>Pre-Mobilization Expenses</t>
  </si>
  <si>
    <t>Mobilization Payroll and Burden</t>
  </si>
  <si>
    <t>Mobilization Operating Expenses</t>
  </si>
  <si>
    <t>Mobilization Procurement Expenses</t>
  </si>
  <si>
    <t>Total O&amp;M Pre-Mobilization / Mobilization Expenses</t>
  </si>
  <si>
    <t>Housing Colony Mobilization Expenses</t>
  </si>
  <si>
    <t>Commercial Office Mobilization Expenses</t>
  </si>
  <si>
    <t>Owners' Engineer Expenses</t>
  </si>
  <si>
    <t>Operator Overhead Charge (G&amp;A)</t>
  </si>
  <si>
    <t>Expenses during Commercial Operation:</t>
  </si>
  <si>
    <t>Annual</t>
  </si>
  <si>
    <t>O&amp;M Expenses</t>
  </si>
  <si>
    <t>Payroll and Burden</t>
  </si>
  <si>
    <t>Administration &amp; Operations Expenses</t>
  </si>
  <si>
    <t>Maintenance Expenses (excl. GT Scheduled Maint. Program)</t>
  </si>
  <si>
    <t>Sustaining Capital Expenses</t>
  </si>
  <si>
    <t>Total O&amp;M Expenses (ex GT Scheduled Maint.)</t>
  </si>
  <si>
    <t>GT Scheduled Major Maintenance Program</t>
  </si>
  <si>
    <t>Housing Colony Operating Expenses</t>
  </si>
  <si>
    <t>Commercial Office Expenses</t>
  </si>
  <si>
    <t>Average Annual Operating Expenses (excluding Fee and G&amp;A)</t>
  </si>
  <si>
    <t>Tech III</t>
  </si>
  <si>
    <t>O&amp;M Pre-Mobilization Expenses</t>
  </si>
  <si>
    <t>Mobilization Payroll &amp; Burden</t>
  </si>
  <si>
    <t>Employee Expenses</t>
  </si>
  <si>
    <t>Recruiting Expenses</t>
  </si>
  <si>
    <t>Relocation Expenses</t>
  </si>
  <si>
    <t>Outside Services</t>
  </si>
  <si>
    <t>Other Supplies &amp; Expenses</t>
  </si>
  <si>
    <t>Communications</t>
  </si>
  <si>
    <t>Temporary Offices/Facilities</t>
  </si>
  <si>
    <t>Training</t>
  </si>
  <si>
    <t>Manuals &amp; Procedures</t>
  </si>
  <si>
    <t>Permits</t>
  </si>
  <si>
    <t>Insurance</t>
  </si>
  <si>
    <t>Operations Support Personnel</t>
  </si>
  <si>
    <t>Total Mobilization Operating Expenses</t>
  </si>
  <si>
    <t>Office Furnishings &amp; Equipment</t>
  </si>
  <si>
    <t>Safety &amp; Environmental Equipment</t>
  </si>
  <si>
    <t>Vehicles &amp; Mobile Equipment (excluding switch engine)</t>
  </si>
  <si>
    <t>Warehouse Furnishings &amp; Equipment</t>
  </si>
  <si>
    <t>Laboratory Equipment</t>
  </si>
  <si>
    <t>Shop Tools &amp; Equipment</t>
  </si>
  <si>
    <t>Chemicals, Lubricants, Hydraulic Fluids</t>
  </si>
  <si>
    <t>Total Mobilization Procurement Expenses</t>
  </si>
  <si>
    <t>Housing Colony Mobilization</t>
  </si>
  <si>
    <t>Commercial Office Mobilization</t>
  </si>
  <si>
    <t>OM&amp;A Mobilization Fee (incl. Commercial Office)</t>
  </si>
  <si>
    <t>Staff Mobilization Schedule</t>
  </si>
  <si>
    <t>MOB. MONTHS</t>
  </si>
  <si>
    <t>SCHEDULE</t>
  </si>
  <si>
    <t>FACILITY NEEDS</t>
  </si>
  <si>
    <t>ADMINISTRATION FACILITIES</t>
  </si>
  <si>
    <t>OFFICE EQUIPMENT</t>
  </si>
  <si>
    <t>WAREHOUSE/SHOP</t>
  </si>
  <si>
    <t>VEHICLES</t>
  </si>
  <si>
    <t>TRAINING FACILITIES</t>
  </si>
  <si>
    <t>O&amp;M Mobilization Period Fee</t>
  </si>
  <si>
    <t>Located at South Carolina &amp; Georgia Border</t>
  </si>
  <si>
    <t xml:space="preserve">236 MW (@ ISO) </t>
  </si>
  <si>
    <t>5 ea. LM6000 PC Sprint gas turbines in simple cycle with water injection</t>
  </si>
  <si>
    <t>Scope of Work:</t>
  </si>
  <si>
    <t>Full Operations and Maintenance services during the Pre-Operating and</t>
  </si>
  <si>
    <t>Demin system to purify water for water injection and Sprint water @ 340 gpm</t>
  </si>
  <si>
    <t xml:space="preserve">Operating Period for one gas-fired 5 x LM6000 simple cycle facility </t>
  </si>
  <si>
    <t>Distributed Control System</t>
  </si>
  <si>
    <t>Facilities:</t>
  </si>
  <si>
    <t>Admininstrative office space, storage</t>
  </si>
  <si>
    <t>Warehouse with some climate control space</t>
  </si>
  <si>
    <t>Central control room and small lab area</t>
  </si>
  <si>
    <t>Sanitary facilities, to include lockers &amp; showers</t>
  </si>
  <si>
    <t>Chillers with condenser and chilled water pumps</t>
  </si>
  <si>
    <t>induced draft Cooling Tower with circ. water pumps with bromine treatment</t>
  </si>
  <si>
    <t>Water injection for Spray Intercooling (SPRINT) at a rate of 7.5 gpm/GT</t>
  </si>
  <si>
    <t>Water injection for NOX control at a rate of 60 gpm/GT</t>
  </si>
  <si>
    <t>Water source: Surface water</t>
  </si>
  <si>
    <t>COD is June 2001</t>
  </si>
  <si>
    <t>18 year term</t>
  </si>
  <si>
    <t xml:space="preserve">16% plant load factor based on 1,400 hours/year,  </t>
  </si>
  <si>
    <t>dispatch on Monday-Friday 6am to 10pm, June-September</t>
  </si>
  <si>
    <t>Type of combustion system: standard with water injection for NOx control to 25 ppmv.</t>
  </si>
  <si>
    <t>Variable costs are based on the above assumed plant load factor.</t>
  </si>
  <si>
    <t>Chemical costs and GT major maintenance accrual are assumed variable with dispatch; all other costs are fixed.</t>
  </si>
  <si>
    <t>Turnkey Contractor: EECC</t>
  </si>
  <si>
    <t>Sustaining project capital expenses cover only replacement of initial procurement items at end of useful life.</t>
  </si>
  <si>
    <t>In owner's scope.</t>
  </si>
  <si>
    <t xml:space="preserve">Maintenance shop with bay </t>
  </si>
  <si>
    <t>Fuel or fuel testing</t>
  </si>
  <si>
    <t xml:space="preserve">Water rights and water usage costs </t>
  </si>
  <si>
    <t>Customs duties, Taxes or VAT</t>
  </si>
  <si>
    <t>Changes in escalation, inflation or exchange rate</t>
  </si>
  <si>
    <t>Emissions, discharge or waste hauling Fees</t>
  </si>
  <si>
    <t>Security (At Owner's discretion)</t>
  </si>
  <si>
    <t>Insurance (Operator to be named as additional insured)</t>
  </si>
  <si>
    <t>Assume all major schedule maintenance to be performed during off-peak season.</t>
  </si>
  <si>
    <t>Plant load factor: 16% based on CTG approx. operating scenario of 1,400 hours/year, 100 starts/year, Jun-Sept., Mon-Fri., 16 hours/day at a baseload setting</t>
  </si>
  <si>
    <t>Chemical treatment cost based in-house estimating model (no water balance available) for 1000 ppm TDS surface water. Owner to provide sample analysis.</t>
  </si>
  <si>
    <t xml:space="preserve"> Admin staff and support are provided by Operator from home office and other sites.</t>
  </si>
  <si>
    <t>Gas turbine scheduled maintenance costs and initial spare parts based on S&amp;S (George Graham) email dated 12/10/99.</t>
  </si>
  <si>
    <t xml:space="preserve">18)  Major scheduled maintenance intervals per OEM (S&amp;S): Hot Gas Path - 24,000 hrs; Major - 50,000 hours. </t>
  </si>
  <si>
    <t>19)  EPC Contract to provide an allowance for GT familiarization and operations training to O&amp;M staff.</t>
  </si>
  <si>
    <t xml:space="preserve">   18 yr total   </t>
  </si>
  <si>
    <t>$/fired hr/GT</t>
  </si>
  <si>
    <t>Owner's Engineer Estimate</t>
  </si>
  <si>
    <t>Santee Cooper 5 x LM6000 PC Power Project (236 MW)</t>
  </si>
  <si>
    <t>per kW</t>
  </si>
  <si>
    <t>Variable ($/mWh)</t>
  </si>
  <si>
    <t xml:space="preserve">Chemicals @16% load factor </t>
  </si>
  <si>
    <t>Total Plant O&amp;M Expenses (excl. fee)</t>
  </si>
  <si>
    <t>$/mWhr</t>
  </si>
  <si>
    <t>Fixed ($/kw)</t>
  </si>
  <si>
    <t>($/kw)</t>
  </si>
  <si>
    <t xml:space="preserve">20) </t>
  </si>
  <si>
    <t>Does not include annual Lease Engine Membership dues.</t>
  </si>
  <si>
    <t xml:space="preserve">21) </t>
  </si>
  <si>
    <t>Assumes that no gas compression is required.</t>
  </si>
  <si>
    <t>No gas and electric distribution systems</t>
  </si>
  <si>
    <t>TOOLS AND O&amp;M EQUIPMENT</t>
  </si>
  <si>
    <t>Staff</t>
  </si>
  <si>
    <t>Number</t>
  </si>
  <si>
    <t>Total</t>
  </si>
  <si>
    <t>Total Salary</t>
  </si>
  <si>
    <t>Personnel</t>
  </si>
  <si>
    <t>Area</t>
  </si>
  <si>
    <t>of</t>
  </si>
  <si>
    <t>Salary</t>
  </si>
  <si>
    <t>Benefits</t>
  </si>
  <si>
    <t>&amp; Benefits</t>
  </si>
  <si>
    <t>A,O or M</t>
  </si>
  <si>
    <t>Months</t>
  </si>
  <si>
    <t>US$/Month</t>
  </si>
  <si>
    <t>A</t>
  </si>
  <si>
    <t>O</t>
  </si>
  <si>
    <t>M</t>
  </si>
  <si>
    <t>TOTALS</t>
  </si>
  <si>
    <t>Weeks</t>
  </si>
  <si>
    <t/>
  </si>
  <si>
    <t xml:space="preserve">        </t>
  </si>
  <si>
    <t>Turnkey/O&amp;M/Owner Scope Split</t>
  </si>
  <si>
    <t>Turnkey/</t>
  </si>
  <si>
    <t>Startup</t>
  </si>
  <si>
    <t>O&amp;M</t>
  </si>
  <si>
    <t>Owner</t>
  </si>
  <si>
    <t>Remarks/Comments</t>
  </si>
  <si>
    <t>OPERATING EXPENSES (pre-COD):</t>
  </si>
  <si>
    <t>Payroll and Benefits</t>
  </si>
  <si>
    <t xml:space="preserve">    for Owner Personnel</t>
  </si>
  <si>
    <t>x</t>
  </si>
  <si>
    <t xml:space="preserve">    for O&amp;M Personnel</t>
  </si>
  <si>
    <t xml:space="preserve">    for Turnkey/Startup Personnel</t>
  </si>
  <si>
    <t>Employee Expenses/Recruiting/Relocation</t>
  </si>
  <si>
    <t xml:space="preserve">    Technical Direction of Installation (TD&amp;I)</t>
  </si>
  <si>
    <t xml:space="preserve">    Vendor reps &amp; startup services</t>
  </si>
  <si>
    <t xml:space="preserve">    Security before COD</t>
  </si>
  <si>
    <t xml:space="preserve">    Security after COD</t>
  </si>
  <si>
    <t xml:space="preserve">    O&amp;M related services</t>
  </si>
  <si>
    <t xml:space="preserve">    Reliability Availability Maintainability (RAM) Study</t>
  </si>
  <si>
    <t>EPC to assist &amp; participate</t>
  </si>
  <si>
    <t xml:space="preserve">    Process Hazards Analysis (HAZOP)</t>
  </si>
  <si>
    <t>O&amp;M to assist &amp; participate</t>
  </si>
  <si>
    <t>Communications (phone bills, etc.)</t>
  </si>
  <si>
    <t xml:space="preserve">    for Startup Personnel</t>
  </si>
  <si>
    <t>Offices/Buildings/Facilities (temporary)</t>
  </si>
  <si>
    <t xml:space="preserve">    for O&amp;M Personnel (admin, training, etc.)</t>
  </si>
  <si>
    <t xml:space="preserve">    for Startup/Commissioning Personnel</t>
  </si>
  <si>
    <t>Training for O&amp;M Personnel *</t>
  </si>
  <si>
    <t xml:space="preserve">    Vendor Familiarization Training (CT, ST, HRSG, WT/Desal)</t>
  </si>
  <si>
    <t>Defined scope req'd</t>
  </si>
  <si>
    <t xml:space="preserve">    Add'l Major Equip. Vendor (CT,ST,HRSG, WT/Desal,DCS)</t>
  </si>
  <si>
    <t xml:space="preserve">    OJT during startup/commissioning</t>
  </si>
  <si>
    <t xml:space="preserve">    Basic Power Plant Training (&amp; all other training) </t>
  </si>
  <si>
    <t>Permits/Insurance</t>
  </si>
  <si>
    <t xml:space="preserve">    Construction &amp; Startup Contractor's name</t>
  </si>
  <si>
    <t>need permit matrix</t>
  </si>
  <si>
    <t xml:space="preserve">    Operator's name</t>
  </si>
  <si>
    <t>"</t>
  </si>
  <si>
    <t xml:space="preserve">    Owner's name</t>
  </si>
  <si>
    <t>Manuals, Procedures and Plans</t>
  </si>
  <si>
    <t xml:space="preserve">    Startup/Commissioning Plans &amp; Procedures</t>
  </si>
  <si>
    <t xml:space="preserve">    Job Data books</t>
  </si>
  <si>
    <t xml:space="preserve">    Engineering drawings (incl. "as builts")</t>
  </si>
  <si>
    <t>AutoCad 14 (or apprvd substitute)</t>
  </si>
  <si>
    <t xml:space="preserve">    Systems Descriptions</t>
  </si>
  <si>
    <t xml:space="preserve">    Test procedures &amp; report</t>
  </si>
  <si>
    <t xml:space="preserve">    O&amp;M Procedures</t>
  </si>
  <si>
    <t xml:space="preserve">    Admin and all other Plant procedures</t>
  </si>
  <si>
    <t>Punchlist resolution</t>
  </si>
  <si>
    <t>with O&amp;M walkdown</t>
  </si>
  <si>
    <t>Purchase and transportation of fuel to plant (startup)</t>
  </si>
  <si>
    <t>Allowance in LSTK price</t>
  </si>
  <si>
    <t>Schedule fuel deliveries from supplier</t>
  </si>
  <si>
    <t>Purchase of turbine generator startup power (backfeed)</t>
  </si>
  <si>
    <t>Purchase of construction power (from fence line)</t>
  </si>
  <si>
    <t>Purchase and delivery of Process water (hydrotests, etc)</t>
  </si>
  <si>
    <t>Steam Blows</t>
  </si>
  <si>
    <t>Given power, fuel and water</t>
  </si>
  <si>
    <t>Chemical Cleaning (including disposal)</t>
  </si>
  <si>
    <t>Oil Flushes</t>
  </si>
  <si>
    <t>*  O&amp;M has overall responsibility for training O&amp;M personnel, but Major Equip. Vendor training (for CTs, STs, HRSGs, Water</t>
  </si>
  <si>
    <t xml:space="preserve">   Treatment/Desal, and DCS) will be provided under the major equip. purchase orders (with O&amp;M participation in scoping).</t>
  </si>
  <si>
    <t>Warranty Implementation</t>
  </si>
  <si>
    <t>O&amp;M/Owner participate</t>
  </si>
  <si>
    <t>Pre-Mobilization expenses</t>
  </si>
  <si>
    <t xml:space="preserve">    O&amp;M engineering review/comments</t>
  </si>
  <si>
    <t xml:space="preserve">    Operating plans/budgets/estimates</t>
  </si>
  <si>
    <t xml:space="preserve">    Other Owner directed O&amp;M services</t>
  </si>
  <si>
    <t>Fuel/water quality checking (pre-COD)</t>
  </si>
  <si>
    <t>Procurement Expenses:</t>
  </si>
  <si>
    <t xml:space="preserve">    Stationary items (built-ins)</t>
  </si>
  <si>
    <t xml:space="preserve">    PABX (internal) telephone system &amp; wiring</t>
  </si>
  <si>
    <t xml:space="preserve">    LAN wiring</t>
  </si>
  <si>
    <t xml:space="preserve">    External communications (satellite dish)</t>
  </si>
  <si>
    <t xml:space="preserve">    Office/Building furniture</t>
  </si>
  <si>
    <t xml:space="preserve">    Office equipment (copiers, fax, etc.)</t>
  </si>
  <si>
    <t xml:space="preserve">    Computer hardware/software</t>
  </si>
  <si>
    <t xml:space="preserve">    CMMS computer system (incl training)</t>
  </si>
  <si>
    <t>with Owner approval</t>
  </si>
  <si>
    <t>Safety &amp; Environmental equipment</t>
  </si>
  <si>
    <t xml:space="preserve">    Permanent Fire protection</t>
  </si>
  <si>
    <t xml:space="preserve">    Portable fire extinguishers (for offices &amp; buildings)</t>
  </si>
  <si>
    <t xml:space="preserve">    Portable fire extinguishers (exterior)</t>
  </si>
  <si>
    <t xml:space="preserve">    Safety showers/eye washes</t>
  </si>
  <si>
    <t xml:space="preserve">    Permanent Environmental testing equip.</t>
  </si>
  <si>
    <t>if required</t>
  </si>
  <si>
    <t xml:space="preserve">    Portable Environmental testing equip.</t>
  </si>
  <si>
    <t xml:space="preserve">    O&amp;M Personnel Safety/First Aid  equip.</t>
  </si>
  <si>
    <t>Vehicles &amp; Mobile Equipment</t>
  </si>
  <si>
    <t xml:space="preserve">    Construction/Startup Contractor requirements</t>
  </si>
  <si>
    <t xml:space="preserve">    O&amp;M requirements (@ post Comm. Opns level)</t>
  </si>
  <si>
    <t>Warehouse/Shop Furnishings &amp; Equipment</t>
  </si>
  <si>
    <t xml:space="preserve">    Stationary items incl hoists (built-ins)</t>
  </si>
  <si>
    <t xml:space="preserve">    Non-stationary items (bins, furniture, etc.)</t>
  </si>
  <si>
    <t>Process Monitoring &amp; Laboratory Equipment</t>
  </si>
  <si>
    <t xml:space="preserve">    Installed analyzers/instruments</t>
  </si>
  <si>
    <t xml:space="preserve">Basis:  </t>
  </si>
  <si>
    <t xml:space="preserve">Basic Plant Training </t>
  </si>
  <si>
    <t>New Employee Orientation (1 day)</t>
  </si>
  <si>
    <t>Supplied by:</t>
  </si>
  <si>
    <t xml:space="preserve"> OEC</t>
  </si>
  <si>
    <t>Plant Safety/Environmental/Firefighting (1 day)</t>
  </si>
  <si>
    <t>Power Plant Fundamentals (20 days)</t>
  </si>
  <si>
    <t>Introduction to Plant Systems (1 day)</t>
  </si>
  <si>
    <t>Introduction to Power Gen. Equipment (1day)</t>
  </si>
  <si>
    <t>HRSG &amp; Cooling Water Chemistry (1day)</t>
  </si>
  <si>
    <t>Steam Distribution System (1day)</t>
  </si>
  <si>
    <t xml:space="preserve">Power Block </t>
  </si>
  <si>
    <t>CT-Generator Operation (5 days)</t>
  </si>
  <si>
    <t>1 ea @ $600</t>
  </si>
  <si>
    <t>1 ea @ $750</t>
  </si>
  <si>
    <t>2 ea. @ $50</t>
  </si>
  <si>
    <t>3ea @ $200</t>
  </si>
  <si>
    <t>3ea @ $2500</t>
  </si>
  <si>
    <t>3ea @ $500</t>
  </si>
  <si>
    <t>$10M License + $10M installation/training</t>
  </si>
  <si>
    <t>1 PC's ($2500), printer</t>
  </si>
  <si>
    <t>LAN $3M + Installation $1,000</t>
  </si>
  <si>
    <t>3ea @ $20</t>
  </si>
  <si>
    <t>2ea @ $80</t>
  </si>
  <si>
    <t>1ea @ $600</t>
  </si>
  <si>
    <t>$600/month</t>
  </si>
  <si>
    <t>$500/month</t>
  </si>
  <si>
    <t>Assorted Plant Operational Spares for:</t>
  </si>
  <si>
    <t>Fuel System (Nozzles + Accessories)</t>
  </si>
  <si>
    <t>Turbine Control / DCS Panels / Excitation</t>
  </si>
  <si>
    <t>Starting System (Torque Converter + Misc)</t>
  </si>
  <si>
    <t>CT Operational Spares</t>
  </si>
  <si>
    <t>CT Misc. Auxiliary Systems</t>
  </si>
  <si>
    <t xml:space="preserve">CEMS </t>
  </si>
  <si>
    <t>Total  Capital &amp; Operational Spares</t>
  </si>
  <si>
    <t>GrandTotal Capital &amp; Operational Spares</t>
  </si>
  <si>
    <t>Water Wash Detergent</t>
  </si>
  <si>
    <t>Demin Water for Water Wash</t>
  </si>
  <si>
    <t>Salaries &amp; Benefits</t>
  </si>
  <si>
    <t>HO Meetings (Travel &amp; Expense)</t>
  </si>
  <si>
    <t>Participation in Industry Groups</t>
  </si>
  <si>
    <t>Commercial Business Trips</t>
  </si>
  <si>
    <t>3 trips @ $ 1000/trip</t>
  </si>
  <si>
    <t>Misc Expense</t>
  </si>
  <si>
    <t>$ 10,000/yr</t>
  </si>
  <si>
    <t>2 meetings @ $1,500/meeting</t>
  </si>
  <si>
    <t>3 trips @ $ 1,000/trip</t>
  </si>
  <si>
    <t>ST-Generator Operation (3 days)</t>
  </si>
  <si>
    <t>HRSG Operation (2 days)</t>
  </si>
  <si>
    <t xml:space="preserve">Utility Systems Operator Training </t>
  </si>
  <si>
    <t xml:space="preserve">Water Treatment &amp; Cooling System Operation </t>
  </si>
  <si>
    <t xml:space="preserve">Fuel Handling Systems </t>
  </si>
  <si>
    <t>Plant Utility Systems (BOP: hydrogen, misc. systems)</t>
  </si>
  <si>
    <t xml:space="preserve">Control Room Training </t>
  </si>
  <si>
    <t xml:space="preserve">Basic Controls and DCS </t>
  </si>
  <si>
    <t xml:space="preserve">HRSG Controls </t>
  </si>
  <si>
    <t xml:space="preserve">Basic Maintenance Training </t>
  </si>
  <si>
    <t>HRSG Maintenance (vendor)</t>
  </si>
  <si>
    <t>ST Maintenance (vendor)</t>
  </si>
  <si>
    <t>CTG Maintenance (Vendor)</t>
  </si>
  <si>
    <t xml:space="preserve">Electrical/Controls Maintenance Training </t>
  </si>
  <si>
    <t>Excitation/Generator Maintenance (vendor)</t>
  </si>
  <si>
    <t xml:space="preserve">ST Controls Maintenance (vendor) </t>
  </si>
  <si>
    <t>Electrical System Maintenance (vendor)</t>
  </si>
  <si>
    <t>DCS Maintenance (vendor)</t>
  </si>
  <si>
    <t>CT Controls</t>
  </si>
  <si>
    <t>Total Class Training Duration (weeks)</t>
  </si>
  <si>
    <t>Training Plan</t>
  </si>
  <si>
    <t>Fundamentals Training Material</t>
  </si>
  <si>
    <t>Develop Site Specific Technical Systems Training Material</t>
  </si>
  <si>
    <t>Instruction for Fundamentals Training Material</t>
  </si>
  <si>
    <t>Instruction for Technical Systems Training Material</t>
  </si>
  <si>
    <t>DCS/Speedtronics Training</t>
  </si>
  <si>
    <t>Facilities &amp; Catering</t>
  </si>
  <si>
    <t xml:space="preserve">Grand Total Training Cost </t>
  </si>
  <si>
    <t>Training Time Required by Position:</t>
  </si>
  <si>
    <t xml:space="preserve">Weeks of </t>
  </si>
  <si>
    <t xml:space="preserve">Months of </t>
  </si>
  <si>
    <t>Hired</t>
  </si>
  <si>
    <t># People</t>
  </si>
  <si>
    <t>Group A</t>
  </si>
  <si>
    <t>Plant Manager</t>
  </si>
  <si>
    <t>Group B</t>
  </si>
  <si>
    <t>Plant Supervisors, Maintenance Manager</t>
  </si>
  <si>
    <t>Group C</t>
  </si>
  <si>
    <t>Technicians IV - V</t>
  </si>
  <si>
    <t>Group D</t>
  </si>
  <si>
    <t xml:space="preserve">Purchasing / Warehouse </t>
  </si>
  <si>
    <t xml:space="preserve">CT Controls </t>
  </si>
  <si>
    <t>Radio Parts and repairs</t>
  </si>
  <si>
    <t>O&amp;M Annual Fee</t>
  </si>
  <si>
    <t>Raiwind (BC Hydro) (120MW)      $3.67/MW</t>
  </si>
  <si>
    <t>$440M/yr</t>
  </si>
  <si>
    <t>Dabhol (2150 MW)                          $1.72/MW</t>
  </si>
  <si>
    <t>$3700M/yr</t>
  </si>
  <si>
    <t>Use 10% of O&amp;M costs managed</t>
  </si>
  <si>
    <t>East Java (500 MW)(GE quote)     $2.00/MW</t>
  </si>
  <si>
    <t>$1000M/yr</t>
  </si>
  <si>
    <t>including Comm. Office and GT</t>
  </si>
  <si>
    <t>Multan (800 MW)                           $2.50/MW</t>
  </si>
  <si>
    <t>$2000M/yr</t>
  </si>
  <si>
    <t>Hainan (150 MW)                           $4.40/MW</t>
  </si>
  <si>
    <t>$660M/yr</t>
  </si>
  <si>
    <t xml:space="preserve">Guam (88 MW)                               $6.81/MW   </t>
  </si>
  <si>
    <t>$600M/yr</t>
  </si>
  <si>
    <t>Tapal (Wartsila) (126 MW)   $1.90/MW (18 mo.)</t>
  </si>
  <si>
    <t>$240M/yr</t>
  </si>
  <si>
    <t>Major Equipment Maintenance Program (20 year total)</t>
  </si>
  <si>
    <t xml:space="preserve">See detailed Schedule </t>
  </si>
  <si>
    <t>Administrative/Technical</t>
  </si>
  <si>
    <t>10% of procurement items</t>
  </si>
  <si>
    <t>Vehicular Fuel Usage</t>
  </si>
  <si>
    <t>3 Trucks:</t>
  </si>
  <si>
    <t>3 x gal/15 miles x $1.5/gal x 20000 miles/yr</t>
  </si>
  <si>
    <t>1 Van &amp; 1 Flat-bed Truck:</t>
  </si>
  <si>
    <t>2 x gal/ 10 miles x $1.5/gal x 20 miles/day x 365 days/year</t>
  </si>
  <si>
    <t>2 Forklifts:</t>
  </si>
  <si>
    <t>2 x 2 gal/hr x $1.5/gal x 2 hr/day x 365 days/yr</t>
  </si>
  <si>
    <t>1 Crane:</t>
  </si>
  <si>
    <t>5 gal/hr x $1.5/gal x 40 days/yr x 8 hours/day</t>
  </si>
  <si>
    <t>1 Crew Boats:</t>
  </si>
  <si>
    <t>20 gal/hr x 1hr/30 miles x 30 miles x 2rd trips/d x365 days/yr x $1.5/gal x 2.0 (idle factor)</t>
  </si>
  <si>
    <t>THESE COSTS ARE ALREADY INCLUDED ABOVE IN "OFFICE SUPPLIES/EXPENSES"</t>
  </si>
  <si>
    <t xml:space="preserve">Basis: </t>
  </si>
  <si>
    <t>YEAR</t>
  </si>
  <si>
    <t>C</t>
  </si>
  <si>
    <t>H</t>
  </si>
  <si>
    <t>NEW PARTS</t>
  </si>
  <si>
    <t>REPAIR COSTS</t>
  </si>
  <si>
    <t>Transition Pieces</t>
  </si>
  <si>
    <t xml:space="preserve"> </t>
  </si>
  <si>
    <t>DATE</t>
  </si>
  <si>
    <t>UNIT 1 GE7000EA</t>
  </si>
  <si>
    <t>OPERATING HOURS</t>
  </si>
  <si>
    <t>STARTS</t>
  </si>
  <si>
    <t>Liners</t>
  </si>
  <si>
    <t>Transition Seals</t>
  </si>
  <si>
    <t>Fuel Nozzles</t>
  </si>
  <si>
    <t>Row 1 Blades</t>
  </si>
  <si>
    <t>Row 2 Blades</t>
  </si>
  <si>
    <t>Row 3 Blades</t>
  </si>
  <si>
    <t xml:space="preserve">Row 1 Nozzles </t>
  </si>
  <si>
    <t>Row 2 Nozzles</t>
  </si>
  <si>
    <t>Row 3 Nozzles</t>
  </si>
  <si>
    <t>1st Stage Support Ring</t>
  </si>
  <si>
    <t xml:space="preserve">1st Stage Shroud Blocks </t>
  </si>
  <si>
    <t>2nd &amp; 3rd Stage Shroud Blocks</t>
  </si>
  <si>
    <t>IGV Blades</t>
  </si>
  <si>
    <t>Comp Rotor Blades</t>
  </si>
  <si>
    <t>Comp Diaphrams</t>
  </si>
  <si>
    <t>Turb/Gen Bearings</t>
  </si>
  <si>
    <t>Renewables Comb Insp</t>
  </si>
  <si>
    <t>Renewables HGP Insp</t>
  </si>
  <si>
    <t>Renewables Major Insp</t>
  </si>
  <si>
    <t>Generator Field</t>
  </si>
  <si>
    <t>Generator Stator</t>
  </si>
  <si>
    <t>Parts Total</t>
  </si>
  <si>
    <t>Repairs Total</t>
  </si>
  <si>
    <t>Cost per</t>
  </si>
  <si>
    <t>Start</t>
  </si>
  <si>
    <t>Total Maintenance Costs</t>
  </si>
  <si>
    <t>LABOR AND ENGINEERING</t>
  </si>
  <si>
    <t>Row 1 Support Ring</t>
  </si>
  <si>
    <t>REPAIR TOTAL (parts)</t>
  </si>
  <si>
    <t>REPAIR TOTAL (parts &amp;labor)</t>
  </si>
  <si>
    <t>SPARE PARTS ROTATION   GE7000EA</t>
  </si>
  <si>
    <t>INSPECTION</t>
  </si>
  <si>
    <t>HOURS</t>
  </si>
  <si>
    <t>TRANSITIONS   REPAIR 8000hrs, 400 starts REPLACE 48000hrs, 2400 starts</t>
  </si>
  <si>
    <t>REPAIR</t>
  </si>
  <si>
    <t>N</t>
  </si>
  <si>
    <t>Y</t>
  </si>
  <si>
    <t>REPLACE</t>
  </si>
  <si>
    <t>LINERS   REPAIR 8000hrs, 400Starts  REPLACE 40,000hrs, 2000starts</t>
  </si>
  <si>
    <t>FUEL NOZZLES    REPAIR 8000hrs, 400 starts  REPLACE 24000 hrs,  1200 starts</t>
  </si>
  <si>
    <t>1st, 2nd, 3rd STAGE NOZZLES, 1st STAGE SUPPORT RING   REPAIR 24000 hrs, 1200 starts  REPLACE 72000hrs, 3600 starts</t>
  </si>
  <si>
    <t>2nd &amp; 3rd STAGE BLADES, 2ND &amp; 3RD STAGE SHROUD BLOCKS   REPAIR 24000hrs, 1200starts  REPLACE 72000hrs, 4800 starts</t>
  </si>
  <si>
    <t>COMPRESSOR BLADES &amp; DIAPHRAMS   REPAIR 48000hrs, 2400starts  REPLACE 120000 hrs, 6000 starts</t>
  </si>
  <si>
    <t>1ST STAGE SHROUD BLOCKS  REPAIR 24000hrs, 1200starts  REPLACE 48000hrs, 2400starts</t>
  </si>
  <si>
    <t xml:space="preserve">1st STAGE BLADES  REPAIR 24000hrs, 1200starts   REPLACE 48000 hrs, 3600starts   </t>
  </si>
  <si>
    <t>MAINTENANCE LIFE CYCLE COSTS</t>
  </si>
  <si>
    <t>GENERAL ELECTRIC 7000EA (DLN)</t>
  </si>
  <si>
    <t>Part</t>
  </si>
  <si>
    <t>New Cost</t>
  </si>
  <si>
    <t>Replacement Interval</t>
  </si>
  <si>
    <t>Repair Cost</t>
  </si>
  <si>
    <t>Repair Interval</t>
  </si>
  <si>
    <t>($x1000)</t>
  </si>
  <si>
    <t>(hours)</t>
  </si>
  <si>
    <t>(starts)</t>
  </si>
  <si>
    <t>Row 1 Nozzles</t>
  </si>
  <si>
    <t>LABOR/ENGINEERING</t>
  </si>
  <si>
    <t>Combustion inspection</t>
  </si>
  <si>
    <t>Hot gas path inspection</t>
  </si>
  <si>
    <t>Major inspection</t>
  </si>
  <si>
    <t>Assumes all inspection labor will be by plant staff except for OEM TD</t>
  </si>
  <si>
    <t>Typical Dispatch Day (Mon.-Fri) in Peak Season</t>
  </si>
  <si>
    <t>Shift Technicians</t>
  </si>
  <si>
    <t>Engine Status</t>
  </si>
  <si>
    <t>Hour</t>
  </si>
  <si>
    <t>B</t>
  </si>
  <si>
    <t>D</t>
  </si>
  <si>
    <t>E</t>
  </si>
  <si>
    <t>Run</t>
  </si>
  <si>
    <t>Cool Down</t>
  </si>
  <si>
    <t>Headcount</t>
  </si>
  <si>
    <t>Burdened</t>
  </si>
  <si>
    <t>0000</t>
  </si>
  <si>
    <t>X</t>
  </si>
  <si>
    <t>Hours</t>
  </si>
  <si>
    <t>Annual Labor</t>
  </si>
  <si>
    <t>0100</t>
  </si>
  <si>
    <t>Hourly Wage</t>
  </si>
  <si>
    <t>Worked</t>
  </si>
  <si>
    <t>Cost</t>
  </si>
  <si>
    <t>Cost by Site</t>
  </si>
  <si>
    <t>0200</t>
  </si>
  <si>
    <t>Shift Change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</si>
  <si>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</si>
  <si>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</si>
  <si>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</si>
  <si>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</si>
  <si>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</si>
  <si>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</si>
  <si>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</si>
  <si>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</si>
  <si>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</si>
  <si>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</si>
  <si>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</si>
  <si>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</si>
  <si>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</si>
  <si>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</si>
  <si>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</si>
  <si>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</si>
  <si>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</si>
  <si>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</si>
  <si>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</si>
  <si>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</si>
  <si>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</si>
  <si>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Typical Day</t>
  </si>
  <si>
    <t>ST Hours</t>
  </si>
  <si>
    <t>OT Hours</t>
  </si>
  <si>
    <t xml:space="preserve">Week </t>
  </si>
  <si>
    <t>Total Headcount</t>
  </si>
  <si>
    <t>Grand Total Annual Labor Cost</t>
  </si>
  <si>
    <t>Straight Time Domestic Rates</t>
  </si>
  <si>
    <t>Employee Cost Breakdown</t>
  </si>
  <si>
    <t xml:space="preserve">Base Rate </t>
  </si>
  <si>
    <t>Base</t>
  </si>
  <si>
    <t>Payroll</t>
  </si>
  <si>
    <t>Workers</t>
  </si>
  <si>
    <t>Group</t>
  </si>
  <si>
    <t>General</t>
  </si>
  <si>
    <t>Multiplier</t>
  </si>
  <si>
    <t>Position or</t>
  </si>
  <si>
    <t>Hourly</t>
  </si>
  <si>
    <t>Comp.</t>
  </si>
  <si>
    <t>O/H</t>
  </si>
  <si>
    <t>Ins.</t>
  </si>
  <si>
    <t>Liability</t>
  </si>
  <si>
    <t>Pension</t>
  </si>
  <si>
    <t xml:space="preserve">Unburdened </t>
  </si>
  <si>
    <t>for</t>
  </si>
  <si>
    <t>Employee Name</t>
  </si>
  <si>
    <t>Rate</t>
  </si>
  <si>
    <t>Burdens</t>
  </si>
  <si>
    <t>Alloc.</t>
  </si>
  <si>
    <t>Prem.</t>
  </si>
  <si>
    <t xml:space="preserve">Benefit </t>
  </si>
  <si>
    <t>5 Week</t>
  </si>
  <si>
    <t>Totals</t>
  </si>
  <si>
    <t>15 Week</t>
  </si>
  <si>
    <t>Balance of Year</t>
  </si>
  <si>
    <t>Totals (37 Wks)</t>
  </si>
  <si>
    <t>Over Time Domestic Rates</t>
  </si>
  <si>
    <t>n/a</t>
  </si>
  <si>
    <t>Lakefield Staff</t>
  </si>
  <si>
    <t>Mobilization Before CommercialOperation</t>
  </si>
  <si>
    <t>No.</t>
  </si>
  <si>
    <t>MAINTENANCE MANAGER</t>
  </si>
  <si>
    <t xml:space="preserve">PURCHASING / WAREHOUSE </t>
  </si>
  <si>
    <t>CLERK</t>
  </si>
  <si>
    <t>O,M</t>
  </si>
  <si>
    <t>PLANT SUPERVISOR</t>
  </si>
  <si>
    <t>TECHNICIAN III</t>
  </si>
  <si>
    <t>Overtime (15%) for last 2 months of Mobilization added to Techs by way of increasing months by .33</t>
  </si>
  <si>
    <t>ASSUMPTIONS FOR PRE-OPERATIONS STAFF MOBILIZATION</t>
  </si>
  <si>
    <t>POSITIONS</t>
  </si>
  <si>
    <t>ANNUAL*</t>
  </si>
  <si>
    <t>IN US $</t>
  </si>
  <si>
    <t>Operations &amp; Maint.</t>
  </si>
  <si>
    <t xml:space="preserve">  (See detailed MobStaff schedule)</t>
  </si>
  <si>
    <t>O&amp;M Mobilization Staffing Plan</t>
  </si>
  <si>
    <t xml:space="preserve">    Stationary lab items (vent hoods, lab benches, etc.) </t>
  </si>
  <si>
    <t xml:space="preserve">    Analytical equipment, glassware, etc.</t>
  </si>
  <si>
    <t>Shop Tools and Equipment</t>
  </si>
  <si>
    <t xml:space="preserve">    Machine shop/Instrument shop tools</t>
  </si>
  <si>
    <t xml:space="preserve">    Maint. (incl I/C&amp;E) test equipment</t>
  </si>
  <si>
    <t xml:space="preserve">    Work benches, storage bins</t>
  </si>
  <si>
    <t xml:space="preserve">    Hand tools for O&amp;M personnel</t>
  </si>
  <si>
    <t xml:space="preserve">    Hand tools for Startup personnel</t>
  </si>
  <si>
    <t>Special Tools</t>
  </si>
  <si>
    <t xml:space="preserve">    Startup, Std Vendor supply</t>
  </si>
  <si>
    <t xml:space="preserve">    Optional vendor supply</t>
  </si>
  <si>
    <t xml:space="preserve">Incl with Vendor PO </t>
  </si>
  <si>
    <t>Chemicals, Lubricants, Fluids</t>
  </si>
  <si>
    <t xml:space="preserve">    Initial equipment/vessel fill</t>
  </si>
  <si>
    <t xml:space="preserve">    Consumption (pre-COD)</t>
  </si>
  <si>
    <t xml:space="preserve">    Consumption (post-COD)</t>
  </si>
  <si>
    <t xml:space="preserve">    Warehouse stock</t>
  </si>
  <si>
    <t>Spare parts*</t>
  </si>
  <si>
    <t xml:space="preserve">    Capital (Overhaul) Spares for major equip.</t>
  </si>
  <si>
    <t>Incl. with Vendor PO</t>
  </si>
  <si>
    <t xml:space="preserve">    Operating (Initial) Spares for major equip.</t>
  </si>
  <si>
    <t xml:space="preserve">    Warehouse stock &amp; BOP spare parts</t>
  </si>
  <si>
    <t>Installed Cranes</t>
  </si>
  <si>
    <t>Summer Peaking Staff</t>
  </si>
  <si>
    <t xml:space="preserve">All In </t>
  </si>
  <si>
    <t>Hrs/wk</t>
  </si>
  <si>
    <t>Expenses</t>
  </si>
  <si>
    <t>SUMMER PEAKING STAFF</t>
  </si>
  <si>
    <t>Training ($ 2,700 /tech x 2 tech)</t>
  </si>
  <si>
    <t>CEMS Testing Consultant</t>
  </si>
  <si>
    <t>$ 16,000/site/yr</t>
  </si>
  <si>
    <t>Special Gases CEMS testing</t>
  </si>
  <si>
    <t>$ 2,000/site/yr</t>
  </si>
  <si>
    <t>CEMS Maintenance</t>
  </si>
  <si>
    <t>$ 5,000/site/yr</t>
  </si>
  <si>
    <t>Misc Environmental Costs</t>
  </si>
  <si>
    <t>$ 3,000/site/yr</t>
  </si>
  <si>
    <t>Basis: Based on Caledonia estimate</t>
  </si>
  <si>
    <t>Safety Training</t>
  </si>
  <si>
    <t>$3,000/site/yr</t>
  </si>
  <si>
    <t>$ 4,000/site/yr</t>
  </si>
  <si>
    <t xml:space="preserve">Building Repairs </t>
  </si>
  <si>
    <t>$ 6,000/site/yr</t>
  </si>
  <si>
    <t>Landscaping and Site Maintenance</t>
  </si>
  <si>
    <t>Contract Labor - General</t>
  </si>
  <si>
    <t xml:space="preserve">Weekend/Night Security </t>
  </si>
  <si>
    <t>Fixed</t>
  </si>
  <si>
    <t>52 weeks x 5 days x 12 hours x $20</t>
  </si>
  <si>
    <t>52 weekends x 48 hours x $20</t>
  </si>
  <si>
    <t>Materials, Small Equip &amp; Supplies</t>
  </si>
  <si>
    <t xml:space="preserve">Outside Services </t>
  </si>
  <si>
    <t>Garbage &amp; Trash, Janitorial, &amp; Pest Control</t>
  </si>
  <si>
    <t>Employee Uniforms</t>
  </si>
  <si>
    <t>PC Hardware/Software</t>
  </si>
  <si>
    <t>Postage &amp; Freight Expenses, FedEx</t>
  </si>
  <si>
    <t>Utilities (office water, garbage removal)</t>
  </si>
  <si>
    <t xml:space="preserve">Phone service </t>
  </si>
  <si>
    <t>Admin-$18,000/yr + $1200/site/yr</t>
  </si>
  <si>
    <t xml:space="preserve">Pagers </t>
  </si>
  <si>
    <t>9 x $15/mo x 12 mo.</t>
  </si>
  <si>
    <t xml:space="preserve">Cellular phone service </t>
  </si>
  <si>
    <t>1 x $150/mo x 12 mo.</t>
  </si>
  <si>
    <t>Oil Analysis</t>
  </si>
  <si>
    <t xml:space="preserve">8) </t>
  </si>
  <si>
    <t xml:space="preserve">9)  </t>
  </si>
  <si>
    <t xml:space="preserve">10) </t>
  </si>
  <si>
    <t xml:space="preserve">11)   </t>
  </si>
  <si>
    <t xml:space="preserve">13)  </t>
  </si>
  <si>
    <t>14) .</t>
  </si>
  <si>
    <t xml:space="preserve">16) </t>
  </si>
  <si>
    <t>15)</t>
  </si>
  <si>
    <t>Operations Staff arrangement based on the operating hours stated above and the assumption that temperary staff for the peaking season will be available to suppliment permant staff.</t>
  </si>
  <si>
    <t>$500/wash/wk/unit x 15wks x 6 units</t>
  </si>
  <si>
    <t>$8.80/1000 gal*500 gal/wash/wk*15 wks*6 units</t>
  </si>
  <si>
    <t>Controls (DCS)</t>
  </si>
  <si>
    <t>$ 8,000/yr/site</t>
  </si>
  <si>
    <t xml:space="preserve">Meters and Relay work </t>
  </si>
  <si>
    <t>$ 7,000/yr/site</t>
  </si>
  <si>
    <t>Switchgear / Breakers</t>
  </si>
  <si>
    <t>$ 9,000/yr/site</t>
  </si>
  <si>
    <t xml:space="preserve">Instrumention Calibration </t>
  </si>
  <si>
    <t>$ 2,000/yr/site</t>
  </si>
  <si>
    <t xml:space="preserve">Motor Overhauls </t>
  </si>
  <si>
    <t>$ 30k/unit x 6 unit</t>
  </si>
  <si>
    <t>Instruments</t>
  </si>
  <si>
    <t>$ 6k/unit x 6 unit</t>
  </si>
  <si>
    <t>Filters</t>
  </si>
  <si>
    <t>$ 13k/unit x 6 unit</t>
  </si>
  <si>
    <t>Misc.</t>
  </si>
  <si>
    <t>$ 5k/unit x 6 unit</t>
  </si>
  <si>
    <t>6 - 7EA</t>
  </si>
  <si>
    <t>Misc Maint Materials &amp; Consumables</t>
  </si>
  <si>
    <t>$ 7000/site/yr.</t>
  </si>
  <si>
    <t>Vehicle (s)</t>
  </si>
  <si>
    <t xml:space="preserve">     P/U Truck Fuel; Repairs &amp; maintenance; lease (5ea @ $600/mo.)</t>
  </si>
  <si>
    <t xml:space="preserve">      Forklift Fuel, Maint. &amp; Lease</t>
  </si>
  <si>
    <t>(3 ea @ $450/mo.)</t>
  </si>
  <si>
    <t>Lubricants/Turbine Oil/Grease/Compounds/Gear oil  $ 2000/site/yr</t>
  </si>
  <si>
    <t>Tools &amp; Tool Repair/Replacement</t>
  </si>
  <si>
    <t xml:space="preserve">     Mechanical</t>
  </si>
  <si>
    <t>$ 500/site/yr</t>
  </si>
  <si>
    <t xml:space="preserve">     Electrical</t>
  </si>
  <si>
    <t>$ 250/site/yr</t>
  </si>
  <si>
    <t>Equipment Rental</t>
  </si>
  <si>
    <t xml:space="preserve">     Assorted Equipment </t>
  </si>
  <si>
    <t>Professional Specialty Services</t>
  </si>
  <si>
    <t>$ 17,500/yr</t>
  </si>
  <si>
    <t>OM&amp;A Annual Fee</t>
  </si>
  <si>
    <t xml:space="preserve">Total Project Operating Expenses </t>
  </si>
  <si>
    <t xml:space="preserve">            $/Mwh @ 14% PLF</t>
  </si>
  <si>
    <t xml:space="preserve">            $/Mwh @14% PLF</t>
  </si>
  <si>
    <t xml:space="preserve">Chemicals @ 14% Plant Load Factor (PLF) </t>
  </si>
  <si>
    <t>US$</t>
  </si>
  <si>
    <t>* Turbine spare parts will be purchased based on competitive bids as part of and prior to Turbine vendors selection;</t>
  </si>
  <si>
    <t xml:space="preserve">   actual parts purchased will be approved by Owner.</t>
  </si>
  <si>
    <t>TOTAL</t>
  </si>
  <si>
    <t>O&amp;M Mobilization Fee</t>
  </si>
  <si>
    <t>Owners' Engineer Cost Estimate</t>
  </si>
  <si>
    <t>(US $)</t>
  </si>
  <si>
    <t>(Contracted Service)</t>
  </si>
  <si>
    <t>Monthly</t>
  </si>
  <si>
    <t>No. of Mos.</t>
  </si>
  <si>
    <t>Engineer  (Payroll Cost)</t>
  </si>
  <si>
    <t>Engineer (Benefits &amp; Allowances)</t>
  </si>
  <si>
    <t>Home Leave &amp; Vacation (4 X yr.)</t>
  </si>
  <si>
    <t>Vehicle &amp; Fuel</t>
  </si>
  <si>
    <t>Housing and Utilities</t>
  </si>
  <si>
    <t>Misc. Off.  Supplies and Exps.</t>
  </si>
  <si>
    <t>Computer &amp; Other Eqpt.</t>
  </si>
  <si>
    <t>Meeting and Repr. Exp. (Local)</t>
  </si>
  <si>
    <t>Off-Island Meeting &amp; Eqpt. Inspection</t>
  </si>
  <si>
    <t>Specialized Engineering Support (2 X 15 Mos.)</t>
  </si>
  <si>
    <t>Contingency/Other</t>
  </si>
  <si>
    <t xml:space="preserve">                               Sub- Total</t>
  </si>
  <si>
    <t>10% Owner's Engineer Fee</t>
  </si>
  <si>
    <t>Total Owner's Engineer Expense</t>
  </si>
  <si>
    <t>Assumptions:</t>
  </si>
  <si>
    <t>* Owner's Engineer contracted from the Philippine</t>
  </si>
  <si>
    <t>* Scope of Work is similar to Guam services, act as Owner's QA/QC</t>
  </si>
  <si>
    <t>* Owner's Engineer mobilized 2 mos. before NTP date to famliarize with construction contract</t>
  </si>
  <si>
    <t xml:space="preserve">      and Owner's QA/QC requirement and 1 months after COD for winddown</t>
  </si>
  <si>
    <t>EstimateSummary</t>
  </si>
  <si>
    <t>Group Item</t>
  </si>
  <si>
    <t>Budget Item</t>
  </si>
  <si>
    <t>Line Item</t>
  </si>
  <si>
    <t>Detail/Basis</t>
  </si>
  <si>
    <t>Total (US $)</t>
  </si>
  <si>
    <t>LOCAL</t>
  </si>
  <si>
    <t>FOREIGN</t>
  </si>
  <si>
    <t>Calculation and Note Area</t>
  </si>
  <si>
    <t>O&amp;M Pre-Mobilization / Mobilization Estimate Backup/Detail</t>
  </si>
  <si>
    <t>O&amp;M Mobilization BudgetOperating ExpensesPublic Relations Title</t>
  </si>
  <si>
    <t>O&amp;M Mobilization Budget</t>
  </si>
  <si>
    <t>Operating Expenses</t>
  </si>
  <si>
    <t>Public Relations</t>
  </si>
  <si>
    <t>Payroll and Benefits (US)</t>
  </si>
  <si>
    <t>Travel Expenses in Region</t>
  </si>
  <si>
    <t>6 overseas tripsx$6000/trip + $150/dayperdiem x 90 days</t>
  </si>
  <si>
    <t>Travel for Expat To/From Home (UK)</t>
  </si>
  <si>
    <t>1 trip/quarter x 3 quarters x $6M/trip</t>
  </si>
  <si>
    <t>Temporary Living (Expat) in Houston</t>
  </si>
  <si>
    <t>$3000/month x 9 months</t>
  </si>
  <si>
    <t>Tech Services/Studies</t>
  </si>
  <si>
    <t>15 mandaysx$75/hrx8hrs/d</t>
  </si>
  <si>
    <t>Miscellaneous (comms, etc.)</t>
  </si>
  <si>
    <t>$1000/month x 12 months</t>
  </si>
  <si>
    <t>HAZOP Study (3rd party consultant)</t>
  </si>
  <si>
    <t>RAM Study (3rd party consultant)</t>
  </si>
  <si>
    <t>Expat Recruiting</t>
  </si>
  <si>
    <t>40% x Base</t>
  </si>
  <si>
    <t>O&amp;M Mobilization BudgetOperating ExpensesPublic Relations Total</t>
  </si>
  <si>
    <t>(Assumes Mob period begins 5/99)</t>
  </si>
  <si>
    <t>Sub-Total</t>
  </si>
  <si>
    <t>O&amp;M Mobilization BudgetOperating ExpensesPayroll with burden Title</t>
  </si>
  <si>
    <t>Payroll with burden</t>
  </si>
  <si>
    <t>O&amp;M Mobilization BudgetOperating ExpensesPayroll with burden Total</t>
  </si>
  <si>
    <t>Basis: Project Schedule</t>
  </si>
  <si>
    <t>O&amp;M Mobilization BudgetOperating ExpensesEmployee Expenses Title</t>
  </si>
  <si>
    <t>Trips to US</t>
  </si>
  <si>
    <t>5 trips to US x $6M + $150/dayperdiem x 50 days</t>
  </si>
  <si>
    <t>Misc. (OT meals, Conferences,etc.)</t>
  </si>
  <si>
    <t>Travel Exp./O.T. Meals (33% of Travel)</t>
  </si>
  <si>
    <t>Meal Allowance</t>
  </si>
  <si>
    <t>$2/day/employee x 200 days x # staff</t>
  </si>
  <si>
    <t>O&amp;M Mobilization BudgetOperating ExpensesEmployee Expenses Total</t>
  </si>
  <si>
    <t>Basis: HR recommends 1 meal/day subsidized by the company</t>
  </si>
  <si>
    <t>O&amp;M Mobilization BudgetOperating ExpensesRecruiting Expenses Title</t>
  </si>
  <si>
    <t>HR Support (Regional)</t>
  </si>
  <si>
    <t>120 manhrs x $75/hr</t>
  </si>
  <si>
    <t>HR Travel (within Region)</t>
  </si>
  <si>
    <t>5 trips x $2M/trip + $150/dayperdiem x 25 days</t>
  </si>
  <si>
    <t>O&amp;M Mobilization BudgetOperating ExpensesRecruiting Expenses Total</t>
  </si>
  <si>
    <t>O&amp;M Mobilization BudgetOperating ExpensesRelocation Expenses Title</t>
  </si>
  <si>
    <t>Locals</t>
  </si>
  <si>
    <t>25% of Base Salaries + $200/person for examination</t>
  </si>
  <si>
    <t>O&amp;M Mobilization BudgetOperating ExpensesRelocation Expenses Total</t>
  </si>
  <si>
    <t>O&amp;M Mobilization BudgetOperating ExpensesOutside Services Title</t>
  </si>
  <si>
    <t>Opns support (1 Opns pers)</t>
  </si>
  <si>
    <t>Startup Coord: See Operations Support section</t>
  </si>
  <si>
    <t xml:space="preserve">   per diem(lodging, meals, travel)</t>
  </si>
  <si>
    <t>Guards</t>
  </si>
  <si>
    <t>Turnkey responsibility</t>
  </si>
  <si>
    <t>Groundskeepers</t>
  </si>
  <si>
    <t>Translator</t>
  </si>
  <si>
    <t>N/A</t>
  </si>
  <si>
    <t>Janitors</t>
  </si>
  <si>
    <t>2 x grade 10 pay x 12 months</t>
  </si>
  <si>
    <t>Drivers</t>
  </si>
  <si>
    <t>Have 3 in Housing colony count</t>
  </si>
  <si>
    <t>Clerks/Receptionist</t>
  </si>
  <si>
    <t>Maintenance helpers</t>
  </si>
  <si>
    <t>hired after COD</t>
  </si>
  <si>
    <t>Warehousemen</t>
  </si>
  <si>
    <t>Legal</t>
  </si>
  <si>
    <t>80 manhrs X $125/hr</t>
  </si>
  <si>
    <t>Tax</t>
  </si>
  <si>
    <t>80 manhrs X $75/hr</t>
  </si>
  <si>
    <t>Accounting</t>
  </si>
  <si>
    <t>Safety</t>
  </si>
  <si>
    <t>80 manhrs X $75/hr + 2 trip x $3M + 15 days perdiem x$150/day</t>
  </si>
  <si>
    <t>Environmental</t>
  </si>
  <si>
    <t>80 manhrs X $75/hr + 1 trip x $3M + 7 days perdiem x$150/day</t>
  </si>
  <si>
    <t>Regional Technical Support</t>
  </si>
  <si>
    <t>120 manhrs X $75/hr + 2 trip x $3M + 14 days perdiem x$150/day</t>
  </si>
  <si>
    <t>ISO 9002 Certification</t>
  </si>
  <si>
    <t>Certifying consultant</t>
  </si>
  <si>
    <t>Customs</t>
  </si>
  <si>
    <t>Misc. agent fees</t>
  </si>
  <si>
    <t>Trash/Waste Disposal</t>
  </si>
  <si>
    <t>Electrical Testing/Calibration</t>
  </si>
  <si>
    <t>Technical/Professional</t>
  </si>
  <si>
    <t>Office Equipment Maintenance</t>
  </si>
  <si>
    <t>O&amp;M Mobilization BudgetOperating ExpensesOutside Services Total</t>
  </si>
  <si>
    <t>Basis: HR Salary &amp; Benefits Survey</t>
  </si>
  <si>
    <t>Location:</t>
  </si>
  <si>
    <t>Capacity:</t>
  </si>
  <si>
    <t>Primary Fuel to be Pipeline Quality Natural Gas</t>
  </si>
  <si>
    <t>No backup fuel</t>
  </si>
  <si>
    <t>.5 x Annual Salary covers relocation policy benefits</t>
  </si>
  <si>
    <t>Plant manager</t>
  </si>
  <si>
    <t>Rest of Staff</t>
  </si>
  <si>
    <t>Hire from local area</t>
  </si>
  <si>
    <t>3ea @ $800/set</t>
  </si>
  <si>
    <t>6ea @ $100</t>
  </si>
  <si>
    <t>5ea @ $75</t>
  </si>
  <si>
    <t>5ea @ $200</t>
  </si>
  <si>
    <t>5ea @ $50</t>
  </si>
  <si>
    <t>6ea @ $150 + $1500</t>
  </si>
  <si>
    <t>1ea @ $150</t>
  </si>
  <si>
    <t>6ea @ $75</t>
  </si>
  <si>
    <t>1 ea @ $300</t>
  </si>
  <si>
    <t>O&amp;M Mobilization BudgetOperating ExpensesOther Supplies &amp; Expenses Title</t>
  </si>
  <si>
    <t xml:space="preserve"> Postage &amp; Freight</t>
  </si>
  <si>
    <t>Office &amp; Misc. Supplies (usage)</t>
  </si>
  <si>
    <t>Equipment rental/leasing</t>
  </si>
  <si>
    <t>Vehicle Lease,fuel, maint. (temp.)</t>
  </si>
  <si>
    <t>2vehx$40/dayx60days</t>
  </si>
  <si>
    <t>Janitorial Supplies (usage)</t>
  </si>
  <si>
    <t>Bldg. Utilities (water, power, gas)</t>
  </si>
  <si>
    <t>Vehicle fuel usage</t>
  </si>
  <si>
    <t>assume 1/2 of avg annual usage</t>
  </si>
  <si>
    <t>Vehicle maintenance</t>
  </si>
  <si>
    <t>$500/vehicle/yr</t>
  </si>
  <si>
    <t>O&amp;M Mobilization BudgetOperating ExpensesOther Supplies &amp; Expenses Total</t>
  </si>
  <si>
    <t>O&amp;M Mobilization BudgetOperating ExpensesCommunications Title</t>
  </si>
  <si>
    <t>Cellular Phones</t>
  </si>
  <si>
    <t>O&amp;M Mobilization BudgetOperating ExpensesCommunications Total</t>
  </si>
  <si>
    <t>O&amp;M Mobilization BudgetOperating ExpensesMiscellaneous Office Expenses Title</t>
  </si>
  <si>
    <t>Miscellaneous Office Expenses</t>
  </si>
  <si>
    <t>Office Bldgs.</t>
  </si>
  <si>
    <t>1000 sq ft x $20/sq ft x 6 months</t>
  </si>
  <si>
    <t>Trailers (admin only, ex training)</t>
  </si>
  <si>
    <t>3x6monthsx$600/month (if available)</t>
  </si>
  <si>
    <t>Sanitary facilities</t>
  </si>
  <si>
    <t>5x6monthsx$100/month</t>
  </si>
  <si>
    <t>Misc. Furnishings</t>
  </si>
  <si>
    <t>Temporary Living Quarters</t>
  </si>
  <si>
    <t>Expat covered in "Relocation" expenses</t>
  </si>
  <si>
    <t>Assume admin facilties complete COD minus 12 months</t>
  </si>
  <si>
    <t>O&amp;M Mobilization BudgetOperating ExpensesMiscellaneous Office Expenses Total</t>
  </si>
  <si>
    <t>O&amp;M Mobilization BudgetOperating ExpensesTraining Title</t>
  </si>
  <si>
    <t>Basic Plant Training</t>
  </si>
  <si>
    <t>See Training sheet</t>
  </si>
  <si>
    <t>Major Systems Training</t>
  </si>
  <si>
    <t>Plant Chemistry</t>
  </si>
  <si>
    <t>Control Room Training</t>
  </si>
  <si>
    <t>Basic Maintenance</t>
  </si>
  <si>
    <t>Electrical/Controls Maintenance</t>
  </si>
  <si>
    <t>Additional Vendor Training</t>
  </si>
  <si>
    <t>Per diem for instructors</t>
  </si>
  <si>
    <t>Facilities (trailer rental, hall)</t>
  </si>
  <si>
    <t xml:space="preserve">Travel </t>
  </si>
  <si>
    <t>Training Coordinator</t>
  </si>
  <si>
    <t>Additional Manuals/Documents</t>
  </si>
  <si>
    <t>Miscellaneous</t>
  </si>
  <si>
    <t>Translation</t>
  </si>
  <si>
    <t>O&amp;M Mobilization BudgetOperating ExpensesTraining Total</t>
  </si>
  <si>
    <t>Basis: Eval TM consensus</t>
  </si>
  <si>
    <t>O&amp;M Mobilization BudgetOperating ExpensesManuals/Operating Procedures Title</t>
  </si>
  <si>
    <t>Manuals/Operating Procedures</t>
  </si>
  <si>
    <t>Administration</t>
  </si>
  <si>
    <t>5 mandays x $400/day</t>
  </si>
  <si>
    <t>Operations check lists</t>
  </si>
  <si>
    <t xml:space="preserve">Maintenance </t>
  </si>
  <si>
    <t>1/2 of Operating procedures</t>
  </si>
  <si>
    <t>Overtime</t>
  </si>
  <si>
    <t>NA</t>
  </si>
  <si>
    <t>Capital, Operating and BOP Spares</t>
  </si>
  <si>
    <t xml:space="preserve"> (See Capital/Operating Spares)</t>
  </si>
  <si>
    <t xml:space="preserve">3% of cost </t>
  </si>
  <si>
    <t>0.25% of cost</t>
  </si>
  <si>
    <t>Payroll &amp; Burden</t>
  </si>
  <si>
    <t>Administration and Operations Expenses</t>
  </si>
  <si>
    <t>Total Administration &amp; Operations Expenses</t>
  </si>
  <si>
    <t>Maintenance Expenses (excl. GT ScheduIed Maint. Program)</t>
  </si>
  <si>
    <t>Total Maintenance</t>
  </si>
  <si>
    <t>Total O&amp;M Expenses (excl GT Scheduled Maint. Program)</t>
  </si>
  <si>
    <t>GT Scheduled Maintenance Program</t>
  </si>
  <si>
    <t>20 yr total</t>
  </si>
  <si>
    <t>Annual Avg.</t>
  </si>
  <si>
    <t xml:space="preserve">Total Plant O&amp;M Expenses </t>
  </si>
  <si>
    <t>(US$)</t>
  </si>
  <si>
    <t>INDIVIDUAL</t>
  </si>
  <si>
    <t>TOTAL ANNUAL</t>
  </si>
  <si>
    <t>STAFFING</t>
  </si>
  <si>
    <t>GRADE</t>
  </si>
  <si>
    <t>SALARY</t>
  </si>
  <si>
    <t>SALARIES</t>
  </si>
  <si>
    <t>BENEFITS</t>
  </si>
  <si>
    <t>PLANT MANAGER</t>
  </si>
  <si>
    <t>PERMANENT CONTRACT LABOR:</t>
  </si>
  <si>
    <t>SECURITY GUARDS</t>
  </si>
  <si>
    <t>JANITORS</t>
  </si>
  <si>
    <t>GROUNDS/GENERAL WORKS</t>
  </si>
  <si>
    <t>WAREHOUSE HELPER</t>
  </si>
  <si>
    <t>O&amp;M TRAINEES/HELPERS</t>
  </si>
  <si>
    <t>CHEMIST HELPER</t>
  </si>
  <si>
    <t xml:space="preserve">TOTAL CONTRACT STAFF </t>
  </si>
  <si>
    <t>OPERATIONS SUPPORT (duration of 6 months after COD):</t>
  </si>
  <si>
    <t>PAYROLL,</t>
  </si>
  <si>
    <t>HOME LEAVE</t>
  </si>
  <si>
    <t>TAX PROT.</t>
  </si>
  <si>
    <t>PER DIEM</t>
  </si>
  <si>
    <t>TRAVEL</t>
  </si>
  <si>
    <t>OPNS SUPPORT PERSONNEL (EXPATS)</t>
  </si>
  <si>
    <t>TOTAL OPNS SUPPORT STAFF</t>
  </si>
  <si>
    <t>Sustaining Project Expenses</t>
  </si>
  <si>
    <t>Bonus</t>
  </si>
  <si>
    <r>
      <t>Retirement</t>
    </r>
    <r>
      <rPr>
        <b/>
        <vertAlign val="superscript"/>
        <sz val="10"/>
        <rFont val="Arial"/>
        <family val="2"/>
      </rPr>
      <t>1</t>
    </r>
  </si>
  <si>
    <t>of Base Salary</t>
  </si>
  <si>
    <r>
      <t>Allowances</t>
    </r>
    <r>
      <rPr>
        <b/>
        <vertAlign val="superscript"/>
        <sz val="10"/>
        <rFont val="Arial"/>
        <family val="2"/>
      </rPr>
      <t>3</t>
    </r>
  </si>
  <si>
    <t>note 2</t>
  </si>
  <si>
    <r>
      <t>Benefits in Kind</t>
    </r>
    <r>
      <rPr>
        <b/>
        <vertAlign val="superscript"/>
        <sz val="10"/>
        <rFont val="Arial"/>
        <family val="2"/>
      </rPr>
      <t>4</t>
    </r>
  </si>
  <si>
    <t xml:space="preserve">note 2 </t>
  </si>
  <si>
    <t>NOTES:</t>
  </si>
  <si>
    <t xml:space="preserve">1/ Includes PF (FICA) -12%; Gratuity (severence) - 4.3%; and Superannuation - 15%. </t>
  </si>
  <si>
    <t>2/ These vary based on annual salary. See Salary &amp; Benefits table for each pay grade.</t>
  </si>
  <si>
    <t>3/ Allowances include:</t>
  </si>
  <si>
    <t xml:space="preserve">    - Disturbance and House Rent (one year only)</t>
  </si>
  <si>
    <t xml:space="preserve">    - Housing Maintenance</t>
  </si>
  <si>
    <t xml:space="preserve">    - Conveyance (Transportation allowance for grade 4 and lower)</t>
  </si>
  <si>
    <t xml:space="preserve">    - Leave Travel Assistance</t>
  </si>
  <si>
    <t xml:space="preserve">    - Education</t>
  </si>
  <si>
    <t xml:space="preserve">    - Driver (grade 2 and higher)</t>
  </si>
  <si>
    <t>4/ Benefits in Kind include:</t>
  </si>
  <si>
    <t xml:space="preserve">    - Furniture</t>
  </si>
  <si>
    <t xml:space="preserve">    - Car lease, maintenance and fuel (grade 3 and higher)</t>
  </si>
  <si>
    <t xml:space="preserve">    - Interest free transportation loans (grades 4-6)</t>
  </si>
  <si>
    <t xml:space="preserve">    - Medical insurance premium</t>
  </si>
  <si>
    <t>5/ Housing &amp; Utilities Allowance not provided since a Housing Colony is assumed.</t>
  </si>
  <si>
    <t>6/ Source:  Salaries and benefits from Enron HR and DPC (late 1997).</t>
  </si>
  <si>
    <t>Payroll &amp; Burden (Total over project life)</t>
  </si>
  <si>
    <t>Basis: HR data</t>
  </si>
  <si>
    <t>Permanent Contract Labor</t>
  </si>
  <si>
    <t>Basis:</t>
  </si>
  <si>
    <t>Environmental Expense (including permit fees)</t>
  </si>
  <si>
    <t>Technical/Professional Services</t>
  </si>
  <si>
    <t>Safety Expense</t>
  </si>
  <si>
    <t>Routine Safety Supplies</t>
  </si>
  <si>
    <t>Buildings &amp; Grounds</t>
  </si>
  <si>
    <t>Other Rents</t>
  </si>
  <si>
    <t>Office Supplies &amp; Expenses</t>
  </si>
  <si>
    <t>Office Equipment Rental</t>
  </si>
  <si>
    <t>PC Maintenance</t>
  </si>
  <si>
    <t>Public relations/Contributions</t>
  </si>
  <si>
    <t>Operating Insurance</t>
  </si>
  <si>
    <t>Estimated by Risk Management</t>
  </si>
  <si>
    <t>It will add incrementally to the Enron Pool of insured assets</t>
  </si>
  <si>
    <t>Control Room/Laboratory Expenses</t>
  </si>
  <si>
    <t>5% of 75% of total</t>
  </si>
  <si>
    <t>Operations Support (Year 1 Only)</t>
  </si>
  <si>
    <t>2ea.x$350/dayx180days (includes benefits)</t>
  </si>
  <si>
    <t>2ea.x$3000 trip x 2trips (coach class)</t>
  </si>
  <si>
    <t>2 US Expats for 6 months to aid in Initial Operating Period</t>
  </si>
  <si>
    <t>Chemicals (including Water treatment &amp; Lubricity Agent)</t>
  </si>
  <si>
    <t>1 trip x $3M</t>
  </si>
  <si>
    <t>Pretreatment chemicals</t>
  </si>
  <si>
    <t>Chlorine/Clarifier/filter</t>
  </si>
  <si>
    <t>Resin Replacement</t>
  </si>
  <si>
    <t>Boiler/Steam Cycle Treatment</t>
  </si>
  <si>
    <t>Boiler Chemicals</t>
  </si>
  <si>
    <t>Desal RO Chemicals &amp; Membrane replacement</t>
  </si>
  <si>
    <t>Potable Water Chemicals</t>
  </si>
  <si>
    <t>Hydrogen (generators)</t>
  </si>
  <si>
    <t>Assume air cooled</t>
  </si>
  <si>
    <t>Waste Water Treatment</t>
  </si>
  <si>
    <t>Lubricity Agent</t>
  </si>
  <si>
    <t>n/a with PCFD installed on GTs (GTs will have PCFD per Dev. Eng.)</t>
  </si>
  <si>
    <t>taxes/freight</t>
  </si>
  <si>
    <t>10% of total</t>
  </si>
  <si>
    <t>Painting</t>
  </si>
  <si>
    <t>Paint &amp; Materials</t>
  </si>
  <si>
    <t>Scaled on MW</t>
  </si>
  <si>
    <t>75% factor for lower local labor</t>
  </si>
  <si>
    <t>Equipment rental</t>
  </si>
  <si>
    <t>Basis: 13 years of Actuals from Tx City/Clear Lake Plants</t>
  </si>
  <si>
    <t>Electrical &amp; Controls</t>
  </si>
  <si>
    <t>Repair Parts</t>
  </si>
  <si>
    <t>Outside Repair Services</t>
  </si>
  <si>
    <t>Water Treatment System</t>
  </si>
  <si>
    <t>Scaled on Steam Turbine MW</t>
  </si>
  <si>
    <t>$140,000 x (1ST/1ST) x (178MW/140MW)^0.6 x 75%</t>
  </si>
  <si>
    <t>Permanent Employee Cost Breakdown</t>
  </si>
  <si>
    <t>Summer Peaking Staff Cost Breakdown</t>
  </si>
  <si>
    <t>PEAKING OPERATOR</t>
  </si>
  <si>
    <t>Per</t>
  </si>
  <si>
    <t>Diem</t>
  </si>
  <si>
    <t>Move out</t>
  </si>
  <si>
    <t>Move in/</t>
  </si>
  <si>
    <t>Flat</t>
  </si>
  <si>
    <t>$/yr/man</t>
  </si>
  <si>
    <t>$/wk/man</t>
  </si>
  <si>
    <t>wks/yr</t>
  </si>
  <si>
    <t>Outside Contract Labor</t>
  </si>
  <si>
    <t>Basis: 7 years of Actuals from Tx City Plant</t>
  </si>
  <si>
    <t>Cooling System</t>
  </si>
  <si>
    <t>scaled: $179,000 x (500MW/414MW)^0.6*75%labor</t>
  </si>
  <si>
    <t>Substation/Interconnects</t>
  </si>
  <si>
    <t>Scaled on genrator MW and # generators</t>
  </si>
  <si>
    <t>Electric Meter Calibration &amp; Testing</t>
  </si>
  <si>
    <t>Scaled cost = Labor Cost + Materials Cost</t>
  </si>
  <si>
    <t xml:space="preserve">Labor cost (50% of total) = 50% x $94,000 x 50% </t>
  </si>
  <si>
    <t xml:space="preserve">Material Cost (50% of total) = 50% x $94,000 x (4gens/4.5gens) </t>
  </si>
  <si>
    <t xml:space="preserve">                                           x (112MW/104MW)^0.6  </t>
  </si>
  <si>
    <t>5% of 11% of total</t>
  </si>
  <si>
    <t>Basis: 12 years of Actuals from Tx City/Clear Lake Plants</t>
  </si>
  <si>
    <t>Gas Turbines (excluding scheduled maint.)</t>
  </si>
  <si>
    <t>Scaled on # turbines and turbine MW</t>
  </si>
  <si>
    <t>Boilers</t>
  </si>
  <si>
    <t>Scaled on Gas Turbine MW.</t>
  </si>
  <si>
    <t>$337,000 x (3GTs/3GTs) x (112MW/104MW)^0.6 x 75% x 75%</t>
  </si>
  <si>
    <t>75% factor due to Tx City/Clear Lk were cogen plants &amp; suppl. fired</t>
  </si>
  <si>
    <t>Triple pressure boilers</t>
  </si>
  <si>
    <t>Assume non-local manufacturer</t>
  </si>
  <si>
    <t>Steam Turbine (including Scheduled Maint.)</t>
  </si>
  <si>
    <t>Non-scheduled maint. parts/repairs</t>
  </si>
  <si>
    <t>$460,000x(178MW/140MW)^.6x75% labor factor</t>
  </si>
  <si>
    <t>Scheduled Maint.</t>
  </si>
  <si>
    <t>this includes annualized cost for Major Maint Program</t>
  </si>
  <si>
    <t>This is an ANNUALIZED FIGURE for ST MMR planning</t>
  </si>
  <si>
    <t>Auxiliary Parts</t>
  </si>
  <si>
    <t>1% of 75% of total</t>
  </si>
  <si>
    <t>Basis: 7 yrs of TX City Plant actuals on 140MW steam turbine including Schedule Maint.</t>
  </si>
  <si>
    <t>Water Supply Pipeline and Booster Station</t>
  </si>
  <si>
    <t>1.5% of TIC ($6,000,000)</t>
  </si>
  <si>
    <t>ROW maint., pigging, pump repair, cathodic protection</t>
  </si>
  <si>
    <t>61 kms of 16" cast iron pipe</t>
  </si>
  <si>
    <t>Deleted from scope</t>
  </si>
  <si>
    <t>Fuel Facility</t>
  </si>
  <si>
    <t>Misc. repairs (yearly average)</t>
  </si>
  <si>
    <t>plus Dredging cost ($200M every 2 years)</t>
  </si>
  <si>
    <t>Deleted from Scope</t>
  </si>
  <si>
    <t>Miscellaneous Maintenance Expense</t>
  </si>
  <si>
    <t>Maintenance/CMMS (excluding data)</t>
  </si>
  <si>
    <t>5 mandays @$400/manday</t>
  </si>
  <si>
    <t>Warehouse/Inventory</t>
  </si>
  <si>
    <t>Emergency Plans</t>
  </si>
  <si>
    <t>40 mandays @$400/manday</t>
  </si>
  <si>
    <t>Safety and Health</t>
  </si>
  <si>
    <t>Environmental Compliance</t>
  </si>
  <si>
    <t>20 mandays @$400/manday</t>
  </si>
  <si>
    <t>Utility dispatch</t>
  </si>
  <si>
    <t>10 mandays @$400/manday</t>
  </si>
  <si>
    <t>Government Reporting</t>
  </si>
  <si>
    <t>Owner Reports</t>
  </si>
  <si>
    <t>Houston Reports</t>
  </si>
  <si>
    <t>Document Translation</t>
  </si>
  <si>
    <t>50% of sum of mandays x $200/day</t>
  </si>
  <si>
    <t>Reproduction/Printing</t>
  </si>
  <si>
    <t>Freight</t>
  </si>
  <si>
    <t>5% of Reproduction cost</t>
  </si>
  <si>
    <t>O&amp;M Mobilization BudgetOperating ExpensesManuals/Operating Procedures Total</t>
  </si>
  <si>
    <t>O&amp;M Mobilization BudgetOperating ExpensesPermits Title</t>
  </si>
  <si>
    <t>O&amp;M Mobilization BudgetOperating ExpensesPermits Total</t>
  </si>
  <si>
    <t>O&amp;M Mobilization BudgetOperating ExpensesInsurance Title</t>
  </si>
  <si>
    <t>Operator's Insurance</t>
  </si>
  <si>
    <t>O&amp;M Mobilization BudgetOperating ExpensesInsurance Total</t>
  </si>
  <si>
    <t>2ea.x$350/dayx180 days (includes benefits)</t>
  </si>
  <si>
    <t xml:space="preserve">    Per diem </t>
  </si>
  <si>
    <t>2ea.x$25/dayx180days (stay in Guest House)</t>
  </si>
  <si>
    <t xml:space="preserve">    Home leave, travel</t>
  </si>
  <si>
    <t>2ea.x$3000 tripx2trips (coach class)</t>
  </si>
  <si>
    <t xml:space="preserve">   Tax Protection (over 6 months)</t>
  </si>
  <si>
    <t>66% of wages</t>
  </si>
  <si>
    <t>O&amp;M Mobilization BudgetProcurement ExpensesOffice Furnishings, Equipment, Supplies Title</t>
  </si>
  <si>
    <t>Procurement Expenses</t>
  </si>
  <si>
    <t>Office Furnishings, Equipment, Supplies</t>
  </si>
  <si>
    <t>Offices (desk, chair, table, misc)</t>
  </si>
  <si>
    <t>Chairs - misc.</t>
  </si>
  <si>
    <t>Bookshelves</t>
  </si>
  <si>
    <t>File Cabinets</t>
  </si>
  <si>
    <t>Storage Shelves/Cabinets</t>
  </si>
  <si>
    <t>Conference Room (table &amp; chairs)</t>
  </si>
  <si>
    <t>Lunch Room - Tables</t>
  </si>
  <si>
    <t>Lunch Room - Chairs</t>
  </si>
  <si>
    <t>Lunch Room - Microwave</t>
  </si>
  <si>
    <t>Lunch Room - Coffee Pot</t>
  </si>
  <si>
    <t>BASE SALARY</t>
  </si>
  <si>
    <t>MONTHLY</t>
  </si>
  <si>
    <t>ANNUAL</t>
  </si>
  <si>
    <t>REIMBURSABLE</t>
  </si>
  <si>
    <t>NON-REIM</t>
  </si>
  <si>
    <t>20% ON BASE</t>
  </si>
  <si>
    <t>30% HOUSING</t>
  </si>
  <si>
    <t>SALARY &amp;</t>
  </si>
  <si>
    <t>MIN</t>
  </si>
  <si>
    <t>MAX</t>
  </si>
  <si>
    <t>AVG</t>
  </si>
  <si>
    <t>ALLOWANCES</t>
  </si>
  <si>
    <t>BONUS</t>
  </si>
  <si>
    <t>RETIREMENT</t>
  </si>
  <si>
    <t>ALLOWANCE</t>
  </si>
  <si>
    <t>IN KIND</t>
  </si>
  <si>
    <t>Vice President</t>
  </si>
  <si>
    <t>General Manager</t>
  </si>
  <si>
    <t>Sr. Mgr/Perf.Mgr/Purch.Mgr/Ctrl</t>
  </si>
  <si>
    <t>HR Manager/Shift Mgr.</t>
  </si>
  <si>
    <t>Asst. Mgr/Ctrl Rm Optr/Chemist</t>
  </si>
  <si>
    <t>Sr. Operator/Accountant</t>
  </si>
  <si>
    <t>Operator/Mechanic/Jr. Acct.</t>
  </si>
  <si>
    <t>Jr Operator/Jr. Mechanic/Secr.</t>
  </si>
  <si>
    <t>Assistant/Grounds Supvr.</t>
  </si>
  <si>
    <t>Jr. Asst./Driver/Janitor</t>
  </si>
  <si>
    <t>CUMULATIVE INFLATION MULTIPLIER:</t>
  </si>
  <si>
    <t>YEAR THAT DATA IS BEING USED:</t>
  </si>
  <si>
    <t>Enter here the year that the above data is being used.</t>
  </si>
  <si>
    <t>YEAR THAT DATA WAS SUPPLIED:</t>
  </si>
  <si>
    <t>DIFFERENCE IN YEARS:</t>
  </si>
  <si>
    <t>AVG ANNUAL US INFLATION RATE:</t>
  </si>
  <si>
    <t>Enter here the desired annual Indian inflation rate used to convert 1999 Rupees to present terms.</t>
  </si>
  <si>
    <t>Source: Salary and benefits information provided by HR (Ranen Sengupta) Sept. 1999.</t>
  </si>
  <si>
    <t>1/ Annual 30% Housing &amp; Utilities allowance provided</t>
  </si>
  <si>
    <t>US DOLLAR:</t>
  </si>
  <si>
    <t>Salary-Benefits Lookup Table</t>
  </si>
  <si>
    <t>Lunch Room - Refrig.</t>
  </si>
  <si>
    <t>Lunch Room - Stove</t>
  </si>
  <si>
    <t>Computer Tables</t>
  </si>
  <si>
    <t>Computers w printers</t>
  </si>
  <si>
    <t>Systems Software</t>
  </si>
  <si>
    <t>CMMS software/installation</t>
  </si>
  <si>
    <t>CMMS hardware, equipment</t>
  </si>
  <si>
    <t>SUN Acctg System</t>
  </si>
  <si>
    <t>Software &amp; License</t>
  </si>
  <si>
    <t>Training &amp; Implementation</t>
  </si>
  <si>
    <t>Copiers</t>
  </si>
  <si>
    <t>1ea @ $8000</t>
  </si>
  <si>
    <t>Typewriters</t>
  </si>
  <si>
    <t>1ea @ $750</t>
  </si>
  <si>
    <t>Local Area Network</t>
  </si>
  <si>
    <t>Calculators</t>
  </si>
  <si>
    <t>Projectors (overhead, slide, screen)</t>
  </si>
  <si>
    <t>1ea @ $400,$500, $200</t>
  </si>
  <si>
    <t>TV/VCR/Camcorders</t>
  </si>
  <si>
    <t>1ea @ $750/$500/$750</t>
  </si>
  <si>
    <t>Microfilm Reader</t>
  </si>
  <si>
    <t>1ea @ $800</t>
  </si>
  <si>
    <t>White Boards</t>
  </si>
  <si>
    <t>FAX machine</t>
  </si>
  <si>
    <t>Misc Supplies</t>
  </si>
  <si>
    <t>pens, paper, staplers, envelopes, etc.</t>
  </si>
  <si>
    <t>Phones</t>
  </si>
  <si>
    <t>CAD Drawing Control System (PC)</t>
  </si>
  <si>
    <t>1ea @ $25M (will contract when necessary)</t>
  </si>
  <si>
    <t>Janitorial supplies</t>
  </si>
  <si>
    <t>5% of cost</t>
  </si>
  <si>
    <t>O&amp;M Mobilization BudgetProcurement ExpensesOffice Furnishings, Equipment, Supplies Total</t>
  </si>
  <si>
    <t>O&amp;M Mobilization BudgetProcurement ExpensesSafety Equipment &amp; Supplies Title</t>
  </si>
  <si>
    <t>Safety Equipment &amp; Supplies</t>
  </si>
  <si>
    <t>Safety &amp; Environmental Equipment &amp; Supplies</t>
  </si>
  <si>
    <t>Personnel Safety equipment</t>
  </si>
  <si>
    <t>Safety glasses, Hard hats, goggles, face shields, gloves,</t>
  </si>
  <si>
    <t>locks, acid suits, SCBA respirators, safety shoes, etc.</t>
  </si>
  <si>
    <t>Portable Fire Extinguishers</t>
  </si>
  <si>
    <t>30ea. @ $120</t>
  </si>
  <si>
    <t>Firehose Cabinet Accessories</t>
  </si>
  <si>
    <t>First Aid equipment</t>
  </si>
  <si>
    <t>First Aid kit, stretcher, water jell blanket</t>
  </si>
  <si>
    <t>Safety test Equipment</t>
  </si>
  <si>
    <t>Biosystem unit, LEL &amp; O2 meter</t>
  </si>
  <si>
    <t>Environmental Test Equipment</t>
  </si>
  <si>
    <t>Noise level meter</t>
  </si>
  <si>
    <t>6" and 12" containment booms</t>
  </si>
  <si>
    <t xml:space="preserve">30 ton/hr skimmer </t>
  </si>
  <si>
    <t>Misc. anchors, tow bridles, buoys, etc.</t>
  </si>
  <si>
    <t>O&amp;M Mobilization BudgetProcurement ExpensesSafety Equipment &amp; Supplies Total</t>
  </si>
  <si>
    <t>O&amp;M Mobilization BudgetProcurement ExpensesVehicles &amp; Mobile Equipment Title</t>
  </si>
  <si>
    <t>Cars 4 WD w AC</t>
  </si>
  <si>
    <t>2ea Admin, Security</t>
  </si>
  <si>
    <t>$26M</t>
  </si>
  <si>
    <t>1/2 ton Pickup Trucks</t>
  </si>
  <si>
    <t>1ea</t>
  </si>
  <si>
    <t>2 1/2 ton flat bed truck w winch</t>
  </si>
  <si>
    <t>$32M</t>
  </si>
  <si>
    <t>6 ton Forklift (outside)</t>
  </si>
  <si>
    <t>$38M</t>
  </si>
  <si>
    <t>3 ton Forklift (warehouse)</t>
  </si>
  <si>
    <t>12 passenger Van w/o AC</t>
  </si>
  <si>
    <t>$24M</t>
  </si>
  <si>
    <t>18 passenger Van w/o AC</t>
  </si>
  <si>
    <t>0ea</t>
  </si>
  <si>
    <t>$30M</t>
  </si>
  <si>
    <t>Firefighting equipment</t>
  </si>
  <si>
    <t>$1M per</t>
  </si>
  <si>
    <t>Backhoe/heavy equipment</t>
  </si>
  <si>
    <t>Compressor water wash cart</t>
  </si>
  <si>
    <t>$10M</t>
  </si>
  <si>
    <t>250 cfm Air Compressor (trailer mtd)</t>
  </si>
  <si>
    <t>$16M</t>
  </si>
  <si>
    <t>400 amp welder(diesel drvr, trailer)</t>
  </si>
  <si>
    <t>$11M</t>
  </si>
  <si>
    <t>8 ton Crane</t>
  </si>
  <si>
    <t>$30M (used)</t>
  </si>
  <si>
    <t>Crew Boats</t>
  </si>
  <si>
    <t>$60M (used)</t>
  </si>
  <si>
    <t>Switch engine</t>
  </si>
  <si>
    <t>1ea (provided in EPC contract)</t>
  </si>
  <si>
    <t>$300M</t>
  </si>
  <si>
    <t>Technicians II &amp; III</t>
  </si>
  <si>
    <t>TECHNICIAN II</t>
  </si>
  <si>
    <t>Commissioning/Startup</t>
  </si>
  <si>
    <t>Phone Service</t>
  </si>
  <si>
    <t>9 months x $1M/month (excludes cellular service)</t>
  </si>
  <si>
    <t xml:space="preserve">1ea. x 9 months x $150/month </t>
  </si>
  <si>
    <t>cellular activation fee: 1 ea. $50</t>
  </si>
  <si>
    <t>160 manhrs X $75/hr + 2 trip x $1M + 30 days perdiem x$150/day</t>
  </si>
  <si>
    <t>Employee Class Training</t>
  </si>
  <si>
    <t>Days</t>
  </si>
  <si>
    <t>Attending</t>
  </si>
  <si>
    <t xml:space="preserve">New Employee Orientation </t>
  </si>
  <si>
    <t>All</t>
  </si>
  <si>
    <t>O&amp;M Contractor</t>
  </si>
  <si>
    <t xml:space="preserve">Plant Safety/Environmental/Firefighting </t>
  </si>
  <si>
    <t>O&amp;M Practices/Admin Procedures</t>
  </si>
  <si>
    <t xml:space="preserve">Simple Cycle Training Program </t>
  </si>
  <si>
    <t>Power Plant Fundamentals</t>
  </si>
  <si>
    <t>TriTech</t>
  </si>
  <si>
    <t>BOP Familiarization *</t>
  </si>
  <si>
    <t>Combustion Turbine Familiarization</t>
  </si>
  <si>
    <t>Combustion Turbine Operation</t>
  </si>
  <si>
    <t>General Electric</t>
  </si>
  <si>
    <t>BOP Operation *</t>
  </si>
  <si>
    <t>Combustion Turbine Preventive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</si>
</sst>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0.0"/>
    <numFmt numFmtId="174" formatCode="0.000"/>
    <numFmt numFmtId="182" formatCode="_(&quot;$&quot;* #,##0.000_);_(&quot;$&quot;* \(#,##0.000\);_(&quot;$&quot;* &quot;-&quot;??_);_(@_)"/>
    <numFmt numFmtId="185" formatCode="_(&quot;$&quot;* #,##0_);_(&quot;$&quot;* \(#,##0\);_(&quot;$&quot;* &quot;-&quot;??_);_(@_)"/>
    <numFmt numFmtId="186" formatCode="0.0%"/>
    <numFmt numFmtId="210" formatCode="_-&quot;£&quot;* #,##0_-;\-&quot;£&quot;* #,##0_-;_-&quot;£&quot;* &quot;-&quot;_-;_-@_-"/>
    <numFmt numFmtId="211" formatCode="_-* #,##0_-;\-* #,##0_-;_-* &quot;-&quot;_-;_-@_-"/>
    <numFmt numFmtId="212" formatCode="_-&quot;£&quot;* #,##0.00_-;\-&quot;£&quot;* #,##0.00_-;_-&quot;£&quot;* &quot;-&quot;??_-;_-@_-"/>
    <numFmt numFmtId="213" formatCode="_-* #,##0.00_-;\-* #,##0.00_-;_-* &quot;-&quot;??_-;_-@_-"/>
    <numFmt numFmtId="230" formatCode="#,##0.000_);\(#,##0.000\)"/>
    <numFmt numFmtId="278" formatCode="&quot;$&quot;#,##0.00"/>
  </numFmts>
  <fonts count="50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4"/>
      <name val="Arial"/>
    </font>
    <font>
      <sz val="12"/>
      <name val="Arial MT"/>
    </font>
    <font>
      <b/>
      <sz val="12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2"/>
      <name val="Helv"/>
    </font>
    <font>
      <b/>
      <sz val="10"/>
      <name val="Times New Roman"/>
    </font>
    <font>
      <sz val="10"/>
      <name val="Times New Roman"/>
      <family val="1"/>
    </font>
    <font>
      <sz val="10"/>
      <name val="Times New Roman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b/>
      <u/>
      <sz val="12"/>
      <name val="Arial"/>
      <family val="2"/>
    </font>
    <font>
      <sz val="8"/>
      <name val="Arial"/>
    </font>
    <font>
      <b/>
      <sz val="10"/>
      <color indexed="38"/>
      <name val="Arial"/>
      <family val="2"/>
    </font>
    <font>
      <sz val="10"/>
      <name val="Arial MT"/>
    </font>
    <font>
      <sz val="10"/>
      <color indexed="38"/>
      <name val="Arial"/>
      <family val="2"/>
    </font>
    <font>
      <b/>
      <sz val="10"/>
      <name val="Arial MT"/>
    </font>
    <font>
      <b/>
      <sz val="12"/>
      <name val="Arial MT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0"/>
      <color indexed="19"/>
      <name val="Arial"/>
      <family val="2"/>
    </font>
    <font>
      <sz val="10"/>
      <color indexed="19"/>
      <name val="Arial"/>
      <family val="2"/>
    </font>
    <font>
      <b/>
      <sz val="10"/>
      <color indexed="19"/>
      <name val="Arial MT"/>
    </font>
    <font>
      <sz val="12"/>
      <color indexed="8"/>
      <name val="Times New Roman"/>
      <family val="1"/>
    </font>
    <font>
      <sz val="10"/>
      <color indexed="8"/>
      <name val="MS Sans Serif"/>
    </font>
    <font>
      <sz val="10"/>
      <color indexed="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lightUp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5" fillId="0" borderId="0"/>
    <xf numFmtId="9" fontId="4" fillId="0" borderId="0" applyFont="0" applyFill="0" applyBorder="0" applyAlignment="0" applyProtection="0"/>
  </cellStyleXfs>
  <cellXfs count="646">
    <xf numFmtId="0" fontId="0" fillId="0" borderId="0" xfId="0"/>
    <xf numFmtId="3" fontId="5" fillId="0" borderId="0" xfId="0" applyNumberFormat="1" applyFont="1" applyAlignment="1" applyProtection="1">
      <alignment horizontal="centerContinuous"/>
    </xf>
    <xf numFmtId="3" fontId="0" fillId="0" borderId="0" xfId="0" applyNumberFormat="1" applyProtection="1"/>
    <xf numFmtId="0" fontId="0" fillId="0" borderId="0" xfId="0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Continuous"/>
      <protection locked="0"/>
    </xf>
    <xf numFmtId="0" fontId="0" fillId="0" borderId="3" xfId="0" applyBorder="1" applyAlignment="1" applyProtection="1">
      <alignment horizontal="centerContinuous"/>
      <protection locked="0"/>
    </xf>
    <xf numFmtId="166" fontId="4" fillId="0" borderId="0" xfId="2" applyNumberFormat="1" applyBorder="1" applyProtection="1">
      <protection locked="0"/>
    </xf>
    <xf numFmtId="166" fontId="4" fillId="0" borderId="3" xfId="2" applyNumberFormat="1" applyBorder="1" applyProtection="1">
      <protection locked="0"/>
    </xf>
    <xf numFmtId="0" fontId="0" fillId="0" borderId="4" xfId="0" applyBorder="1" applyAlignment="1" applyProtection="1">
      <alignment horizontal="centerContinuous"/>
      <protection locked="0"/>
    </xf>
    <xf numFmtId="0" fontId="0" fillId="0" borderId="0" xfId="0" applyBorder="1" applyAlignment="1" applyProtection="1">
      <alignment horizontal="centerContinuous"/>
      <protection locked="0"/>
    </xf>
    <xf numFmtId="166" fontId="4" fillId="0" borderId="4" xfId="2" applyNumberFormat="1" applyBorder="1" applyProtection="1">
      <protection locked="0"/>
    </xf>
    <xf numFmtId="0" fontId="0" fillId="0" borderId="5" xfId="0" applyBorder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/>
      <protection locked="0"/>
    </xf>
    <xf numFmtId="0" fontId="3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3" fontId="0" fillId="2" borderId="1" xfId="0" applyNumberFormat="1" applyFill="1" applyBorder="1" applyProtection="1">
      <protection locked="0"/>
    </xf>
    <xf numFmtId="0" fontId="2" fillId="0" borderId="0" xfId="1" applyProtection="1">
      <protection locked="0"/>
    </xf>
    <xf numFmtId="0" fontId="2" fillId="0" borderId="0" xfId="0" applyFont="1" applyProtection="1">
      <protection locked="0"/>
    </xf>
    <xf numFmtId="3" fontId="0" fillId="0" borderId="4" xfId="0" applyNumberFormat="1" applyBorder="1" applyProtection="1">
      <protection locked="0"/>
    </xf>
    <xf numFmtId="0" fontId="0" fillId="0" borderId="0" xfId="0" applyBorder="1" applyProtection="1">
      <protection locked="0"/>
    </xf>
    <xf numFmtId="166" fontId="4" fillId="0" borderId="5" xfId="2" applyNumberFormat="1" applyBorder="1" applyProtection="1">
      <protection locked="0"/>
    </xf>
    <xf numFmtId="166" fontId="4" fillId="0" borderId="2" xfId="2" applyNumberFormat="1" applyBorder="1" applyProtection="1">
      <protection locked="0"/>
    </xf>
    <xf numFmtId="0" fontId="0" fillId="0" borderId="1" xfId="0" applyBorder="1" applyAlignment="1" applyProtection="1">
      <alignment horizontal="centerContinuous"/>
      <protection locked="0"/>
    </xf>
    <xf numFmtId="166" fontId="4" fillId="0" borderId="6" xfId="2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7" xfId="0" applyBorder="1" applyAlignment="1" applyProtection="1">
      <alignment horizontal="centerContinuous"/>
      <protection locked="0"/>
    </xf>
    <xf numFmtId="0" fontId="0" fillId="0" borderId="8" xfId="0" applyBorder="1" applyAlignment="1" applyProtection="1">
      <protection locked="0"/>
    </xf>
    <xf numFmtId="3" fontId="0" fillId="0" borderId="0" xfId="0" applyNumberFormat="1"/>
    <xf numFmtId="3" fontId="0" fillId="0" borderId="0" xfId="0" applyNumberFormat="1" applyBorder="1" applyProtection="1">
      <protection locked="0"/>
    </xf>
    <xf numFmtId="3" fontId="5" fillId="0" borderId="0" xfId="0" applyNumberFormat="1" applyFont="1" applyAlignment="1" applyProtection="1">
      <alignment horizontal="centerContinuous"/>
      <protection locked="0"/>
    </xf>
    <xf numFmtId="3" fontId="0" fillId="0" borderId="0" xfId="0" applyNumberForma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Continuous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0" xfId="0" applyFont="1" applyBorder="1" applyProtection="1">
      <protection locked="0"/>
    </xf>
    <xf numFmtId="3" fontId="0" fillId="0" borderId="2" xfId="0" applyNumberFormat="1" applyBorder="1" applyProtection="1">
      <protection locked="0"/>
    </xf>
    <xf numFmtId="0" fontId="4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protection locked="0"/>
    </xf>
    <xf numFmtId="0" fontId="5" fillId="0" borderId="0" xfId="0" applyFont="1" applyAlignment="1" applyProtection="1">
      <alignment horizontal="centerContinuous"/>
      <protection locked="0"/>
    </xf>
    <xf numFmtId="0" fontId="5" fillId="0" borderId="0" xfId="0" applyFont="1" applyProtection="1">
      <protection locked="0"/>
    </xf>
    <xf numFmtId="166" fontId="0" fillId="0" borderId="4" xfId="0" applyNumberFormat="1" applyBorder="1" applyProtection="1">
      <protection locked="0"/>
    </xf>
    <xf numFmtId="0" fontId="4" fillId="0" borderId="4" xfId="0" applyFont="1" applyBorder="1" applyAlignment="1" applyProtection="1">
      <alignment horizontal="centerContinuous"/>
      <protection locked="0"/>
    </xf>
    <xf numFmtId="0" fontId="1" fillId="0" borderId="1" xfId="0" applyFont="1" applyBorder="1" applyAlignment="1" applyProtection="1">
      <alignment horizontal="centerContinuous"/>
      <protection locked="0"/>
    </xf>
    <xf numFmtId="166" fontId="1" fillId="0" borderId="1" xfId="2" applyNumberFormat="1" applyFont="1" applyBorder="1" applyProtection="1">
      <protection locked="0"/>
    </xf>
    <xf numFmtId="0" fontId="0" fillId="0" borderId="1" xfId="0" applyBorder="1" applyAlignment="1" applyProtection="1">
      <protection locked="0"/>
    </xf>
    <xf numFmtId="3" fontId="6" fillId="0" borderId="4" xfId="0" applyNumberFormat="1" applyFont="1" applyBorder="1" applyAlignment="1" applyProtection="1">
      <alignment horizontal="centerContinuous"/>
      <protection locked="0"/>
    </xf>
    <xf numFmtId="166" fontId="4" fillId="0" borderId="9" xfId="2" applyNumberFormat="1" applyFont="1" applyBorder="1" applyAlignment="1" applyProtection="1">
      <alignment horizontal="centerContinuous"/>
      <protection locked="0"/>
    </xf>
    <xf numFmtId="166" fontId="4" fillId="0" borderId="10" xfId="2" applyNumberFormat="1" applyBorder="1" applyAlignment="1" applyProtection="1">
      <alignment horizontal="centerContinuous"/>
      <protection locked="0"/>
    </xf>
    <xf numFmtId="166" fontId="4" fillId="0" borderId="7" xfId="2" applyNumberFormat="1" applyFont="1" applyBorder="1" applyAlignment="1" applyProtection="1">
      <protection locked="0"/>
    </xf>
    <xf numFmtId="166" fontId="4" fillId="0" borderId="5" xfId="2" applyNumberFormat="1" applyFont="1" applyBorder="1" applyAlignment="1" applyProtection="1">
      <alignment horizontal="centerContinuous"/>
      <protection locked="0"/>
    </xf>
    <xf numFmtId="166" fontId="4" fillId="0" borderId="2" xfId="2" applyNumberFormat="1" applyFont="1" applyBorder="1" applyAlignment="1" applyProtection="1">
      <alignment horizontal="centerContinuous"/>
      <protection locked="0"/>
    </xf>
    <xf numFmtId="166" fontId="4" fillId="0" borderId="11" xfId="2" applyNumberFormat="1" applyBorder="1" applyAlignment="1" applyProtection="1">
      <alignment horizontal="centerContinuous"/>
      <protection locked="0"/>
    </xf>
    <xf numFmtId="166" fontId="4" fillId="0" borderId="12" xfId="2" applyNumberFormat="1" applyBorder="1" applyAlignment="1" applyProtection="1">
      <alignment horizontal="centerContinuous"/>
      <protection locked="0"/>
    </xf>
    <xf numFmtId="166" fontId="4" fillId="0" borderId="4" xfId="2" applyNumberFormat="1" applyBorder="1" applyAlignment="1" applyProtection="1">
      <alignment horizontal="centerContinuous"/>
      <protection locked="0"/>
    </xf>
    <xf numFmtId="166" fontId="4" fillId="0" borderId="0" xfId="2" applyNumberFormat="1" applyFont="1" applyBorder="1" applyAlignment="1" applyProtection="1">
      <alignment horizontal="centerContinuous"/>
      <protection locked="0"/>
    </xf>
    <xf numFmtId="166" fontId="4" fillId="0" borderId="4" xfId="2" applyNumberFormat="1" applyFont="1" applyBorder="1" applyAlignment="1" applyProtection="1">
      <alignment horizontal="centerContinuous"/>
      <protection locked="0"/>
    </xf>
    <xf numFmtId="166" fontId="4" fillId="0" borderId="13" xfId="2" applyNumberFormat="1" applyBorder="1" applyAlignment="1" applyProtection="1">
      <alignment horizontal="centerContinuous"/>
      <protection locked="0"/>
    </xf>
    <xf numFmtId="166" fontId="4" fillId="0" borderId="0" xfId="2" applyNumberFormat="1" applyBorder="1" applyAlignment="1" applyProtection="1">
      <alignment horizontal="centerContinuous"/>
      <protection locked="0"/>
    </xf>
    <xf numFmtId="0" fontId="0" fillId="0" borderId="12" xfId="0" applyBorder="1" applyAlignment="1" applyProtection="1">
      <alignment horizontal="centerContinuous"/>
      <protection locked="0"/>
    </xf>
    <xf numFmtId="0" fontId="0" fillId="0" borderId="1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11" xfId="0" applyBorder="1" applyProtection="1">
      <protection locked="0"/>
    </xf>
    <xf numFmtId="3" fontId="0" fillId="0" borderId="0" xfId="0" applyNumberFormat="1" applyAlignment="1" applyProtection="1">
      <alignment horizontal="centerContinuous"/>
      <protection locked="0"/>
    </xf>
    <xf numFmtId="3" fontId="3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6" fontId="0" fillId="0" borderId="0" xfId="2" applyNumberFormat="1" applyFont="1" applyProtection="1">
      <protection locked="0"/>
    </xf>
    <xf numFmtId="0" fontId="7" fillId="3" borderId="14" xfId="0" applyFont="1" applyFill="1" applyBorder="1" applyProtection="1">
      <protection locked="0"/>
    </xf>
    <xf numFmtId="0" fontId="7" fillId="3" borderId="15" xfId="0" applyFont="1" applyFill="1" applyBorder="1" applyProtection="1">
      <protection locked="0"/>
    </xf>
    <xf numFmtId="0" fontId="7" fillId="3" borderId="16" xfId="0" applyFont="1" applyFill="1" applyBorder="1" applyProtection="1">
      <protection locked="0"/>
    </xf>
    <xf numFmtId="0" fontId="7" fillId="4" borderId="6" xfId="0" applyFont="1" applyFill="1" applyBorder="1" applyAlignment="1" applyProtection="1">
      <alignment horizontal="centerContinuous"/>
      <protection locked="0"/>
    </xf>
    <xf numFmtId="0" fontId="8" fillId="4" borderId="10" xfId="0" applyFont="1" applyFill="1" applyBorder="1" applyAlignment="1" applyProtection="1">
      <alignment horizontal="centerContinuous" vertical="center"/>
      <protection locked="0"/>
    </xf>
    <xf numFmtId="0" fontId="12" fillId="4" borderId="7" xfId="0" applyFont="1" applyFill="1" applyBorder="1" applyProtection="1">
      <protection locked="0"/>
    </xf>
    <xf numFmtId="0" fontId="7" fillId="4" borderId="5" xfId="0" applyFont="1" applyFill="1" applyBorder="1" applyProtection="1">
      <protection locked="0"/>
    </xf>
    <xf numFmtId="0" fontId="8" fillId="4" borderId="11" xfId="0" applyFont="1" applyFill="1" applyBorder="1" applyAlignment="1" applyProtection="1">
      <alignment horizontal="centerContinuous" vertical="center"/>
      <protection locked="0"/>
    </xf>
    <xf numFmtId="0" fontId="2" fillId="4" borderId="13" xfId="0" applyFont="1" applyFill="1" applyBorder="1" applyProtection="1">
      <protection locked="0"/>
    </xf>
    <xf numFmtId="0" fontId="0" fillId="0" borderId="12" xfId="0" applyBorder="1" applyProtection="1">
      <protection locked="0"/>
    </xf>
    <xf numFmtId="0" fontId="2" fillId="0" borderId="0" xfId="1" applyNumberFormat="1" applyProtection="1">
      <protection locked="0"/>
    </xf>
    <xf numFmtId="0" fontId="3" fillId="3" borderId="17" xfId="1" applyFont="1" applyFill="1" applyBorder="1" applyAlignment="1" applyProtection="1">
      <alignment horizontal="right"/>
      <protection locked="0"/>
    </xf>
    <xf numFmtId="3" fontId="3" fillId="2" borderId="1" xfId="1" applyNumberFormat="1" applyFont="1" applyFill="1" applyBorder="1" applyProtection="1">
      <protection locked="0"/>
    </xf>
    <xf numFmtId="3" fontId="3" fillId="4" borderId="1" xfId="1" applyNumberFormat="1" applyFont="1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0" fillId="0" borderId="0" xfId="0" applyAlignment="1">
      <alignment horizontal="centerContinuous"/>
    </xf>
    <xf numFmtId="0" fontId="1" fillId="0" borderId="0" xfId="0" applyFont="1"/>
    <xf numFmtId="0" fontId="0" fillId="0" borderId="0" xfId="0" quotePrefix="1"/>
    <xf numFmtId="0" fontId="0" fillId="0" borderId="0" xfId="0" applyAlignment="1"/>
    <xf numFmtId="0" fontId="16" fillId="0" borderId="0" xfId="0" applyFont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16" fillId="0" borderId="0" xfId="0" applyFont="1" applyAlignment="1">
      <alignment horizontal="left"/>
    </xf>
    <xf numFmtId="0" fontId="16" fillId="0" borderId="18" xfId="0" applyFont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0" xfId="0" applyFont="1"/>
    <xf numFmtId="0" fontId="16" fillId="0" borderId="18" xfId="0" applyFont="1" applyBorder="1"/>
    <xf numFmtId="0" fontId="16" fillId="0" borderId="19" xfId="0" applyFont="1" applyBorder="1"/>
    <xf numFmtId="0" fontId="16" fillId="0" borderId="19" xfId="0" applyFont="1" applyFill="1" applyBorder="1"/>
    <xf numFmtId="3" fontId="17" fillId="0" borderId="0" xfId="0" applyNumberFormat="1" applyFont="1" applyAlignment="1" applyProtection="1">
      <alignment horizontal="centerContinuous"/>
    </xf>
    <xf numFmtId="14" fontId="15" fillId="0" borderId="0" xfId="0" applyNumberFormat="1" applyFont="1" applyProtection="1">
      <protection locked="0"/>
    </xf>
    <xf numFmtId="0" fontId="15" fillId="0" borderId="0" xfId="0" applyFont="1" applyProtection="1">
      <protection locked="0"/>
    </xf>
    <xf numFmtId="0" fontId="18" fillId="3" borderId="14" xfId="0" applyFont="1" applyFill="1" applyBorder="1" applyProtection="1">
      <protection locked="0"/>
    </xf>
    <xf numFmtId="0" fontId="18" fillId="3" borderId="15" xfId="0" applyFont="1" applyFill="1" applyBorder="1" applyProtection="1">
      <protection locked="0"/>
    </xf>
    <xf numFmtId="0" fontId="18" fillId="3" borderId="16" xfId="0" applyFont="1" applyFill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4" borderId="6" xfId="0" applyFont="1" applyFill="1" applyBorder="1" applyAlignment="1" applyProtection="1">
      <alignment horizontal="centerContinuous"/>
      <protection locked="0"/>
    </xf>
    <xf numFmtId="0" fontId="19" fillId="4" borderId="6" xfId="1" applyFont="1" applyFill="1" applyBorder="1" applyAlignment="1" applyProtection="1">
      <alignment horizontal="centerContinuous"/>
      <protection locked="0"/>
    </xf>
    <xf numFmtId="3" fontId="19" fillId="2" borderId="1" xfId="1" applyNumberFormat="1" applyFont="1" applyFill="1" applyBorder="1" applyProtection="1">
      <protection locked="0"/>
    </xf>
    <xf numFmtId="0" fontId="21" fillId="0" borderId="0" xfId="1" applyFont="1" applyProtection="1">
      <protection locked="0"/>
    </xf>
    <xf numFmtId="0" fontId="22" fillId="4" borderId="7" xfId="0" applyFont="1" applyFill="1" applyBorder="1" applyProtection="1">
      <protection locked="0"/>
    </xf>
    <xf numFmtId="0" fontId="15" fillId="4" borderId="5" xfId="0" applyFont="1" applyFill="1" applyBorder="1" applyProtection="1">
      <protection locked="0"/>
    </xf>
    <xf numFmtId="0" fontId="19" fillId="4" borderId="5" xfId="1" applyFont="1" applyFill="1" applyBorder="1" applyAlignment="1" applyProtection="1">
      <alignment horizontal="right"/>
      <protection locked="0"/>
    </xf>
    <xf numFmtId="0" fontId="19" fillId="4" borderId="20" xfId="1" applyFont="1" applyFill="1" applyBorder="1" applyAlignment="1" applyProtection="1">
      <alignment horizontal="left"/>
      <protection locked="0"/>
    </xf>
    <xf numFmtId="0" fontId="21" fillId="4" borderId="21" xfId="1" applyFont="1" applyFill="1" applyBorder="1" applyProtection="1">
      <protection locked="0"/>
    </xf>
    <xf numFmtId="0" fontId="19" fillId="4" borderId="17" xfId="1" applyFont="1" applyFill="1" applyBorder="1" applyAlignment="1" applyProtection="1">
      <alignment horizontal="right"/>
      <protection locked="0"/>
    </xf>
    <xf numFmtId="3" fontId="19" fillId="4" borderId="1" xfId="1" applyNumberFormat="1" applyFont="1" applyFill="1" applyBorder="1" applyProtection="1">
      <protection locked="0"/>
    </xf>
    <xf numFmtId="0" fontId="15" fillId="0" borderId="12" xfId="0" applyFont="1" applyBorder="1" applyProtection="1">
      <protection locked="0"/>
    </xf>
    <xf numFmtId="0" fontId="15" fillId="0" borderId="13" xfId="0" applyFont="1" applyBorder="1" applyProtection="1">
      <protection locked="0"/>
    </xf>
    <xf numFmtId="3" fontId="15" fillId="2" borderId="1" xfId="0" applyNumberFormat="1" applyFont="1" applyFill="1" applyBorder="1" applyProtection="1">
      <protection locked="0"/>
    </xf>
    <xf numFmtId="0" fontId="19" fillId="3" borderId="17" xfId="1" applyFont="1" applyFill="1" applyBorder="1" applyAlignment="1" applyProtection="1">
      <alignment horizontal="right"/>
      <protection locked="0"/>
    </xf>
    <xf numFmtId="0" fontId="21" fillId="4" borderId="22" xfId="1" applyFont="1" applyFill="1" applyBorder="1" applyProtection="1">
      <protection locked="0"/>
    </xf>
    <xf numFmtId="0" fontId="21" fillId="0" borderId="0" xfId="0" applyFont="1" applyProtection="1">
      <protection locked="0"/>
    </xf>
    <xf numFmtId="0" fontId="6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41" fontId="15" fillId="0" borderId="0" xfId="0" applyNumberFormat="1" applyFont="1" applyAlignment="1" applyProtection="1">
      <alignment horizontal="right"/>
      <protection locked="0"/>
    </xf>
    <xf numFmtId="3" fontId="17" fillId="0" borderId="0" xfId="0" applyNumberFormat="1" applyFont="1" applyAlignment="1" applyProtection="1">
      <alignment horizontal="centerContinuous"/>
      <protection locked="0"/>
    </xf>
    <xf numFmtId="3" fontId="15" fillId="0" borderId="0" xfId="0" applyNumberFormat="1" applyFont="1" applyAlignment="1" applyProtection="1">
      <alignment horizontal="centerContinuous"/>
      <protection locked="0"/>
    </xf>
    <xf numFmtId="3" fontId="15" fillId="0" borderId="0" xfId="0" applyNumberFormat="1" applyFont="1" applyAlignment="1" applyProtection="1">
      <protection locked="0"/>
    </xf>
    <xf numFmtId="3" fontId="15" fillId="0" borderId="0" xfId="0" applyNumberFormat="1" applyFont="1" applyProtection="1"/>
    <xf numFmtId="0" fontId="15" fillId="0" borderId="0" xfId="0" applyFont="1"/>
    <xf numFmtId="0" fontId="5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4" fillId="0" borderId="0" xfId="0" applyFont="1"/>
    <xf numFmtId="0" fontId="1" fillId="0" borderId="0" xfId="0" applyFont="1" applyBorder="1" applyAlignment="1" applyProtection="1">
      <alignment horizontal="center"/>
      <protection locked="0"/>
    </xf>
    <xf numFmtId="0" fontId="24" fillId="0" borderId="0" xfId="0" applyFont="1" applyProtection="1">
      <protection locked="0"/>
    </xf>
    <xf numFmtId="0" fontId="16" fillId="0" borderId="23" xfId="0" applyFont="1" applyBorder="1" applyAlignment="1">
      <alignment horizontal="left"/>
    </xf>
    <xf numFmtId="0" fontId="16" fillId="0" borderId="23" xfId="0" applyFont="1" applyBorder="1"/>
    <xf numFmtId="0" fontId="16" fillId="0" borderId="23" xfId="0" applyFont="1" applyFill="1" applyBorder="1"/>
    <xf numFmtId="0" fontId="0" fillId="0" borderId="0" xfId="0" applyAlignment="1">
      <alignment horizontal="center"/>
    </xf>
    <xf numFmtId="0" fontId="3" fillId="4" borderId="22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2" xfId="1" applyFill="1" applyBorder="1" applyProtection="1">
      <protection locked="0"/>
    </xf>
    <xf numFmtId="0" fontId="3" fillId="4" borderId="24" xfId="1" applyFont="1" applyFill="1" applyBorder="1" applyAlignment="1" applyProtection="1">
      <alignment horizontal="right"/>
      <protection locked="0"/>
    </xf>
    <xf numFmtId="0" fontId="19" fillId="4" borderId="24" xfId="1" applyFont="1" applyFill="1" applyBorder="1" applyAlignment="1" applyProtection="1">
      <alignment horizontal="right"/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3" fontId="10" fillId="0" borderId="0" xfId="0" applyNumberFormat="1" applyFont="1" applyBorder="1" applyAlignment="1" applyProtection="1">
      <alignment horizontal="center"/>
      <protection locked="0"/>
    </xf>
    <xf numFmtId="0" fontId="8" fillId="4" borderId="27" xfId="1" applyFont="1" applyFill="1" applyBorder="1" applyAlignment="1" applyProtection="1">
      <alignment horizontal="left"/>
      <protection locked="0"/>
    </xf>
    <xf numFmtId="0" fontId="3" fillId="4" borderId="28" xfId="0" applyFont="1" applyFill="1" applyBorder="1" applyProtection="1">
      <protection locked="0"/>
    </xf>
    <xf numFmtId="0" fontId="2" fillId="4" borderId="29" xfId="0" applyFont="1" applyFill="1" applyBorder="1" applyProtection="1">
      <protection locked="0"/>
    </xf>
    <xf numFmtId="0" fontId="8" fillId="4" borderId="30" xfId="1" applyFont="1" applyFill="1" applyBorder="1" applyAlignment="1" applyProtection="1">
      <alignment horizontal="left"/>
      <protection locked="0"/>
    </xf>
    <xf numFmtId="0" fontId="3" fillId="4" borderId="30" xfId="1" applyFont="1" applyFill="1" applyBorder="1" applyAlignment="1" applyProtection="1">
      <alignment horizontal="left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26" fillId="0" borderId="0" xfId="0" applyFont="1" applyProtection="1">
      <protection locked="0"/>
    </xf>
    <xf numFmtId="0" fontId="19" fillId="4" borderId="27" xfId="1" applyFont="1" applyFill="1" applyBorder="1" applyAlignment="1" applyProtection="1">
      <alignment horizontal="left"/>
      <protection locked="0"/>
    </xf>
    <xf numFmtId="0" fontId="21" fillId="4" borderId="28" xfId="1" applyFont="1" applyFill="1" applyBorder="1" applyProtection="1">
      <protection locked="0"/>
    </xf>
    <xf numFmtId="0" fontId="19" fillId="4" borderId="29" xfId="1" applyFont="1" applyFill="1" applyBorder="1" applyAlignment="1" applyProtection="1">
      <alignment horizontal="right"/>
      <protection locked="0"/>
    </xf>
    <xf numFmtId="0" fontId="19" fillId="4" borderId="30" xfId="1" applyFont="1" applyFill="1" applyBorder="1" applyAlignment="1" applyProtection="1">
      <alignment horizontal="left"/>
      <protection locked="0"/>
    </xf>
    <xf numFmtId="0" fontId="0" fillId="0" borderId="0" xfId="0" applyBorder="1"/>
    <xf numFmtId="0" fontId="6" fillId="0" borderId="0" xfId="0" applyFont="1" applyBorder="1" applyAlignment="1" applyProtection="1">
      <alignment horizontal="center"/>
      <protection locked="0"/>
    </xf>
    <xf numFmtId="0" fontId="6" fillId="0" borderId="13" xfId="0" applyFont="1" applyBorder="1" applyAlignment="1" applyProtection="1">
      <alignment horizontal="center"/>
      <protection locked="0"/>
    </xf>
    <xf numFmtId="0" fontId="23" fillId="0" borderId="13" xfId="0" applyFont="1" applyBorder="1" applyAlignment="1" applyProtection="1">
      <alignment horizontal="center"/>
      <protection locked="0"/>
    </xf>
    <xf numFmtId="3" fontId="10" fillId="0" borderId="0" xfId="0" applyNumberFormat="1" applyFont="1" applyAlignment="1" applyProtection="1">
      <alignment horizontal="center"/>
      <protection locked="0"/>
    </xf>
    <xf numFmtId="6" fontId="15" fillId="0" borderId="13" xfId="0" applyNumberFormat="1" applyFont="1" applyBorder="1" applyProtection="1">
      <protection locked="0"/>
    </xf>
    <xf numFmtId="0" fontId="15" fillId="0" borderId="7" xfId="0" applyFont="1" applyBorder="1" applyProtection="1">
      <protection locked="0"/>
    </xf>
    <xf numFmtId="0" fontId="15" fillId="0" borderId="5" xfId="0" applyFont="1" applyBorder="1" applyProtection="1">
      <protection locked="0"/>
    </xf>
    <xf numFmtId="0" fontId="19" fillId="3" borderId="31" xfId="1" applyFont="1" applyFill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0" fillId="0" borderId="5" xfId="0" applyBorder="1" applyProtection="1">
      <protection locked="0"/>
    </xf>
    <xf numFmtId="0" fontId="3" fillId="3" borderId="31" xfId="1" applyFont="1" applyFill="1" applyBorder="1" applyAlignment="1" applyProtection="1">
      <alignment horizontal="right"/>
      <protection locked="0"/>
    </xf>
    <xf numFmtId="0" fontId="6" fillId="0" borderId="0" xfId="0" applyFont="1"/>
    <xf numFmtId="0" fontId="10" fillId="0" borderId="0" xfId="0" applyFont="1"/>
    <xf numFmtId="0" fontId="0" fillId="0" borderId="0" xfId="0" applyBorder="1" applyProtection="1"/>
    <xf numFmtId="3" fontId="5" fillId="0" borderId="0" xfId="0" applyNumberFormat="1" applyFont="1" applyAlignment="1">
      <alignment horizontal="centerContinuous"/>
    </xf>
    <xf numFmtId="3" fontId="1" fillId="0" borderId="2" xfId="0" applyNumberFormat="1" applyFont="1" applyBorder="1" applyAlignment="1" applyProtection="1">
      <alignment horizontal="center"/>
      <protection locked="0"/>
    </xf>
    <xf numFmtId="3" fontId="0" fillId="0" borderId="1" xfId="2" applyNumberFormat="1" applyFont="1" applyBorder="1" applyProtection="1">
      <protection locked="0"/>
    </xf>
    <xf numFmtId="0" fontId="0" fillId="0" borderId="32" xfId="0" applyBorder="1"/>
    <xf numFmtId="0" fontId="6" fillId="0" borderId="0" xfId="0" applyFont="1" applyProtection="1"/>
    <xf numFmtId="0" fontId="6" fillId="0" borderId="0" xfId="0" applyFont="1" applyBorder="1" applyProtection="1"/>
    <xf numFmtId="0" fontId="5" fillId="0" borderId="0" xfId="0" applyFont="1"/>
    <xf numFmtId="3" fontId="0" fillId="0" borderId="4" xfId="0" applyNumberFormat="1" applyBorder="1" applyAlignment="1">
      <alignment horizontal="centerContinuous"/>
    </xf>
    <xf numFmtId="166" fontId="4" fillId="0" borderId="4" xfId="2" applyNumberFormat="1" applyBorder="1"/>
    <xf numFmtId="14" fontId="0" fillId="0" borderId="0" xfId="0" applyNumberFormat="1"/>
    <xf numFmtId="0" fontId="16" fillId="0" borderId="26" xfId="0" applyFont="1" applyBorder="1" applyAlignment="1">
      <alignment horizontal="left"/>
    </xf>
    <xf numFmtId="0" fontId="23" fillId="0" borderId="0" xfId="0" applyFont="1"/>
    <xf numFmtId="0" fontId="23" fillId="0" borderId="26" xfId="0" applyFont="1" applyBorder="1" applyAlignment="1">
      <alignment horizontal="center"/>
    </xf>
    <xf numFmtId="0" fontId="23" fillId="0" borderId="26" xfId="0" applyFont="1" applyBorder="1" applyAlignment="1">
      <alignment horizontal="centerContinuous"/>
    </xf>
    <xf numFmtId="0" fontId="23" fillId="0" borderId="26" xfId="0" applyFont="1" applyBorder="1"/>
    <xf numFmtId="9" fontId="15" fillId="0" borderId="13" xfId="0" applyNumberFormat="1" applyFont="1" applyBorder="1" applyProtection="1">
      <protection locked="0"/>
    </xf>
    <xf numFmtId="0" fontId="16" fillId="0" borderId="21" xfId="0" applyFont="1" applyBorder="1" applyAlignment="1"/>
    <xf numFmtId="0" fontId="16" fillId="0" borderId="33" xfId="0" applyFont="1" applyBorder="1" applyAlignment="1">
      <alignment horizontal="left"/>
    </xf>
    <xf numFmtId="166" fontId="0" fillId="0" borderId="1" xfId="2" applyNumberFormat="1" applyFont="1" applyBorder="1" applyProtection="1">
      <protection locked="0"/>
    </xf>
    <xf numFmtId="166" fontId="4" fillId="0" borderId="3" xfId="2" applyNumberFormat="1" applyFont="1" applyBorder="1" applyAlignment="1" applyProtection="1">
      <alignment horizontal="centerContinuous"/>
      <protection locked="0"/>
    </xf>
    <xf numFmtId="166" fontId="4" fillId="0" borderId="6" xfId="2" applyNumberFormat="1" applyFont="1" applyBorder="1" applyAlignment="1" applyProtection="1">
      <protection locked="0"/>
    </xf>
    <xf numFmtId="166" fontId="0" fillId="0" borderId="0" xfId="2" applyNumberFormat="1" applyFont="1" applyBorder="1" applyProtection="1">
      <protection locked="0"/>
    </xf>
    <xf numFmtId="0" fontId="1" fillId="0" borderId="0" xfId="0" applyFont="1" applyAlignment="1">
      <alignment horizontal="left"/>
    </xf>
    <xf numFmtId="0" fontId="0" fillId="0" borderId="21" xfId="0" applyBorder="1"/>
    <xf numFmtId="166" fontId="4" fillId="0" borderId="0" xfId="2" applyNumberFormat="1"/>
    <xf numFmtId="9" fontId="15" fillId="0" borderId="13" xfId="5" applyFont="1" applyBorder="1" applyProtection="1">
      <protection locked="0"/>
    </xf>
    <xf numFmtId="6" fontId="15" fillId="0" borderId="0" xfId="0" applyNumberFormat="1" applyFont="1" applyBorder="1" applyProtection="1">
      <protection locked="0"/>
    </xf>
    <xf numFmtId="0" fontId="1" fillId="0" borderId="0" xfId="0" quotePrefix="1" applyFont="1" applyBorder="1" applyProtection="1">
      <protection locked="0"/>
    </xf>
    <xf numFmtId="0" fontId="16" fillId="0" borderId="34" xfId="0" applyFont="1" applyBorder="1"/>
    <xf numFmtId="0" fontId="16" fillId="0" borderId="34" xfId="0" applyFont="1" applyFill="1" applyBorder="1"/>
    <xf numFmtId="0" fontId="0" fillId="0" borderId="35" xfId="0" applyBorder="1" applyAlignment="1" applyProtection="1">
      <protection locked="0"/>
    </xf>
    <xf numFmtId="6" fontId="0" fillId="0" borderId="0" xfId="0" applyNumberFormat="1" applyBorder="1"/>
    <xf numFmtId="3" fontId="0" fillId="0" borderId="4" xfId="0" applyNumberFormat="1" applyBorder="1" applyAlignment="1">
      <alignment horizontal="center"/>
    </xf>
    <xf numFmtId="0" fontId="6" fillId="0" borderId="4" xfId="0" applyFont="1" applyBorder="1" applyAlignment="1" applyProtection="1">
      <alignment horizontal="centerContinuous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7" fillId="0" borderId="0" xfId="0" applyFont="1" applyBorder="1" applyProtection="1">
      <protection locked="0"/>
    </xf>
    <xf numFmtId="0" fontId="23" fillId="0" borderId="0" xfId="0" applyFont="1" applyBorder="1"/>
    <xf numFmtId="0" fontId="23" fillId="0" borderId="0" xfId="0" applyFont="1" applyProtection="1">
      <protection locked="0"/>
    </xf>
    <xf numFmtId="0" fontId="0" fillId="0" borderId="36" xfId="0" applyBorder="1"/>
    <xf numFmtId="0" fontId="16" fillId="0" borderId="0" xfId="0" applyFont="1" applyBorder="1"/>
    <xf numFmtId="174" fontId="0" fillId="0" borderId="0" xfId="0" applyNumberFormat="1"/>
    <xf numFmtId="0" fontId="1" fillId="0" borderId="0" xfId="0" applyFont="1" applyAlignment="1">
      <alignment horizontal="centerContinuous"/>
    </xf>
    <xf numFmtId="0" fontId="23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6" fontId="0" fillId="0" borderId="0" xfId="0" applyNumberFormat="1"/>
    <xf numFmtId="6" fontId="0" fillId="0" borderId="0" xfId="0" applyNumberFormat="1" applyAlignment="1">
      <alignment horizontal="right"/>
    </xf>
    <xf numFmtId="0" fontId="11" fillId="0" borderId="21" xfId="0" applyFont="1" applyBorder="1" applyAlignment="1">
      <alignment horizontal="center"/>
    </xf>
    <xf numFmtId="0" fontId="11" fillId="0" borderId="21" xfId="0" applyFont="1" applyBorder="1" applyAlignment="1"/>
    <xf numFmtId="0" fontId="0" fillId="0" borderId="21" xfId="0" applyBorder="1" applyAlignment="1">
      <alignment horizontal="center"/>
    </xf>
    <xf numFmtId="0" fontId="0" fillId="0" borderId="21" xfId="0" applyBorder="1" applyAlignment="1"/>
    <xf numFmtId="0" fontId="4" fillId="0" borderId="21" xfId="0" applyFont="1" applyBorder="1"/>
    <xf numFmtId="0" fontId="23" fillId="0" borderId="0" xfId="0" applyFont="1" applyAlignment="1">
      <alignment horizontal="centerContinuous"/>
    </xf>
    <xf numFmtId="0" fontId="23" fillId="3" borderId="1" xfId="0" applyFont="1" applyFill="1" applyBorder="1" applyAlignment="1" applyProtection="1">
      <alignment horizontal="centerContinuous" vertical="center"/>
      <protection locked="0"/>
    </xf>
    <xf numFmtId="0" fontId="2" fillId="4" borderId="37" xfId="0" applyFont="1" applyFill="1" applyBorder="1" applyProtection="1">
      <protection locked="0"/>
    </xf>
    <xf numFmtId="9" fontId="6" fillId="4" borderId="1" xfId="5" applyFont="1" applyFill="1" applyBorder="1" applyProtection="1">
      <protection locked="0"/>
    </xf>
    <xf numFmtId="9" fontId="6" fillId="4" borderId="1" xfId="0" applyNumberFormat="1" applyFont="1" applyFill="1" applyBorder="1" applyProtection="1">
      <protection locked="0"/>
    </xf>
    <xf numFmtId="3" fontId="6" fillId="2" borderId="1" xfId="1" applyNumberFormat="1" applyFont="1" applyFill="1" applyBorder="1" applyProtection="1">
      <protection locked="0"/>
    </xf>
    <xf numFmtId="10" fontId="0" fillId="0" borderId="0" xfId="0" applyNumberFormat="1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186" fontId="4" fillId="0" borderId="0" xfId="5" applyNumberFormat="1" applyAlignment="1">
      <alignment horizontal="center"/>
    </xf>
    <xf numFmtId="9" fontId="1" fillId="0" borderId="0" xfId="0" applyNumberFormat="1" applyFont="1" applyAlignment="1">
      <alignment horizontal="left"/>
    </xf>
    <xf numFmtId="9" fontId="4" fillId="0" borderId="0" xfId="5" applyAlignment="1">
      <alignment horizontal="center"/>
    </xf>
    <xf numFmtId="9" fontId="4" fillId="0" borderId="0" xfId="5" applyFont="1" applyAlignment="1">
      <alignment horizontal="center"/>
    </xf>
    <xf numFmtId="9" fontId="1" fillId="0" borderId="0" xfId="0" applyNumberFormat="1" applyFont="1" applyBorder="1" applyAlignment="1">
      <alignment horizontal="left"/>
    </xf>
    <xf numFmtId="9" fontId="4" fillId="0" borderId="0" xfId="5" quotePrefix="1" applyAlignment="1">
      <alignment horizontal="center"/>
    </xf>
    <xf numFmtId="3" fontId="23" fillId="0" borderId="0" xfId="0" applyNumberFormat="1" applyFont="1" applyAlignment="1">
      <alignment horizontal="centerContinuous"/>
    </xf>
    <xf numFmtId="166" fontId="4" fillId="0" borderId="3" xfId="2" applyNumberFormat="1" applyFont="1" applyBorder="1" applyAlignment="1" applyProtection="1">
      <alignment horizontal="center"/>
      <protection locked="0"/>
    </xf>
    <xf numFmtId="0" fontId="27" fillId="0" borderId="12" xfId="0" applyFont="1" applyBorder="1" applyProtection="1">
      <protection locked="0"/>
    </xf>
    <xf numFmtId="14" fontId="0" fillId="0" borderId="0" xfId="0" applyNumberFormat="1" applyAlignment="1">
      <alignment horizontal="left"/>
    </xf>
    <xf numFmtId="3" fontId="6" fillId="2" borderId="1" xfId="0" applyNumberFormat="1" applyFont="1" applyFill="1" applyBorder="1" applyProtection="1">
      <protection locked="0"/>
    </xf>
    <xf numFmtId="43" fontId="0" fillId="0" borderId="0" xfId="0" applyNumberFormat="1" applyProtection="1">
      <protection locked="0"/>
    </xf>
    <xf numFmtId="3" fontId="34" fillId="0" borderId="0" xfId="0" applyNumberFormat="1" applyFont="1" applyProtection="1">
      <protection locked="0"/>
    </xf>
    <xf numFmtId="0" fontId="16" fillId="5" borderId="22" xfId="0" applyFont="1" applyFill="1" applyBorder="1"/>
    <xf numFmtId="0" fontId="16" fillId="0" borderId="38" xfId="0" applyFont="1" applyBorder="1" applyAlignment="1">
      <alignment horizontal="left"/>
    </xf>
    <xf numFmtId="0" fontId="16" fillId="0" borderId="24" xfId="0" applyFont="1" applyBorder="1" applyAlignment="1"/>
    <xf numFmtId="0" fontId="16" fillId="0" borderId="0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9" xfId="0" applyFont="1" applyBorder="1" applyAlignment="1">
      <alignment horizontal="left"/>
    </xf>
    <xf numFmtId="0" fontId="16" fillId="0" borderId="39" xfId="0" applyFont="1" applyBorder="1" applyAlignment="1"/>
    <xf numFmtId="0" fontId="23" fillId="0" borderId="0" xfId="0" applyFont="1" applyBorder="1" applyProtection="1"/>
    <xf numFmtId="0" fontId="14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66" fontId="16" fillId="0" borderId="0" xfId="2" applyNumberFormat="1" applyFont="1"/>
    <xf numFmtId="166" fontId="31" fillId="0" borderId="0" xfId="2" applyNumberFormat="1" applyFont="1"/>
    <xf numFmtId="9" fontId="19" fillId="4" borderId="1" xfId="5" applyFont="1" applyFill="1" applyBorder="1" applyProtection="1">
      <protection locked="0"/>
    </xf>
    <xf numFmtId="166" fontId="15" fillId="0" borderId="13" xfId="2" applyNumberFormat="1" applyFont="1" applyBorder="1" applyProtection="1">
      <protection locked="0"/>
    </xf>
    <xf numFmtId="166" fontId="15" fillId="0" borderId="0" xfId="2" applyNumberFormat="1" applyFont="1" applyProtection="1">
      <protection locked="0"/>
    </xf>
    <xf numFmtId="0" fontId="23" fillId="0" borderId="0" xfId="0" applyFont="1" applyAlignment="1">
      <alignment horizontal="left"/>
    </xf>
    <xf numFmtId="0" fontId="6" fillId="0" borderId="0" xfId="0" applyFont="1" applyBorder="1" applyProtection="1">
      <protection locked="0"/>
    </xf>
    <xf numFmtId="166" fontId="23" fillId="0" borderId="0" xfId="2" applyNumberFormat="1" applyFont="1"/>
    <xf numFmtId="185" fontId="23" fillId="0" borderId="0" xfId="3" applyNumberFormat="1" applyFont="1" applyBorder="1"/>
    <xf numFmtId="0" fontId="23" fillId="0" borderId="0" xfId="0" quotePrefix="1" applyFont="1"/>
    <xf numFmtId="0" fontId="23" fillId="0" borderId="9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12" xfId="0" applyFont="1" applyBorder="1"/>
    <xf numFmtId="0" fontId="23" fillId="0" borderId="13" xfId="0" applyFont="1" applyBorder="1"/>
    <xf numFmtId="166" fontId="6" fillId="0" borderId="12" xfId="2" applyNumberFormat="1" applyFont="1" applyBorder="1"/>
    <xf numFmtId="166" fontId="6" fillId="0" borderId="13" xfId="2" applyNumberFormat="1" applyFont="1" applyBorder="1"/>
    <xf numFmtId="166" fontId="6" fillId="0" borderId="12" xfId="2" applyNumberFormat="1" applyFont="1" applyBorder="1" applyProtection="1">
      <protection locked="0"/>
    </xf>
    <xf numFmtId="0" fontId="23" fillId="0" borderId="3" xfId="0" applyFont="1" applyBorder="1" applyAlignment="1">
      <alignment horizontal="left"/>
    </xf>
    <xf numFmtId="0" fontId="23" fillId="0" borderId="4" xfId="0" applyFont="1" applyBorder="1"/>
    <xf numFmtId="166" fontId="6" fillId="0" borderId="4" xfId="2" applyNumberFormat="1" applyFont="1" applyBorder="1"/>
    <xf numFmtId="166" fontId="6" fillId="0" borderId="4" xfId="2" applyNumberFormat="1" applyFont="1" applyBorder="1" applyProtection="1">
      <protection locked="0"/>
    </xf>
    <xf numFmtId="166" fontId="23" fillId="0" borderId="8" xfId="2" applyNumberFormat="1" applyFont="1" applyBorder="1"/>
    <xf numFmtId="166" fontId="23" fillId="0" borderId="1" xfId="2" applyNumberFormat="1" applyFont="1" applyBorder="1"/>
    <xf numFmtId="185" fontId="23" fillId="0" borderId="37" xfId="3" applyNumberFormat="1" applyFont="1" applyBorder="1"/>
    <xf numFmtId="0" fontId="23" fillId="0" borderId="7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4" fillId="0" borderId="0" xfId="0" applyFont="1" applyAlignment="1">
      <alignment horizontal="centerContinuous"/>
    </xf>
    <xf numFmtId="9" fontId="0" fillId="0" borderId="13" xfId="0" applyNumberFormat="1" applyBorder="1" applyProtection="1">
      <protection locked="0"/>
    </xf>
    <xf numFmtId="9" fontId="0" fillId="2" borderId="1" xfId="5" applyFont="1" applyFill="1" applyBorder="1" applyProtection="1">
      <protection locked="0"/>
    </xf>
    <xf numFmtId="9" fontId="3" fillId="2" borderId="1" xfId="5" applyFont="1" applyFill="1" applyBorder="1" applyProtection="1">
      <protection locked="0"/>
    </xf>
    <xf numFmtId="166" fontId="0" fillId="0" borderId="3" xfId="2" applyNumberFormat="1" applyFont="1" applyBorder="1" applyProtection="1">
      <protection locked="0"/>
    </xf>
    <xf numFmtId="166" fontId="0" fillId="0" borderId="2" xfId="2" applyNumberFormat="1" applyFont="1" applyBorder="1" applyProtection="1">
      <protection locked="0"/>
    </xf>
    <xf numFmtId="3" fontId="0" fillId="0" borderId="3" xfId="0" applyNumberFormat="1" applyBorder="1" applyProtection="1">
      <protection locked="0"/>
    </xf>
    <xf numFmtId="166" fontId="0" fillId="0" borderId="4" xfId="2" applyNumberFormat="1" applyFont="1" applyBorder="1" applyProtection="1">
      <protection locked="0"/>
    </xf>
    <xf numFmtId="3" fontId="0" fillId="0" borderId="0" xfId="2" applyNumberFormat="1" applyFont="1" applyBorder="1" applyProtection="1">
      <protection locked="0"/>
    </xf>
    <xf numFmtId="43" fontId="0" fillId="0" borderId="1" xfId="2" applyFont="1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43" fontId="0" fillId="0" borderId="0" xfId="2" applyFont="1" applyBorder="1" applyProtection="1">
      <protection locked="0"/>
    </xf>
    <xf numFmtId="166" fontId="0" fillId="0" borderId="0" xfId="0" applyNumberFormat="1" applyBorder="1" applyProtection="1">
      <protection locked="0"/>
    </xf>
    <xf numFmtId="3" fontId="5" fillId="4" borderId="6" xfId="0" applyNumberFormat="1" applyFont="1" applyFill="1" applyBorder="1" applyAlignment="1" applyProtection="1">
      <alignment horizontal="left"/>
      <protection locked="0"/>
    </xf>
    <xf numFmtId="3" fontId="22" fillId="4" borderId="6" xfId="0" applyNumberFormat="1" applyFont="1" applyFill="1" applyBorder="1" applyAlignment="1" applyProtection="1">
      <alignment horizontal="left"/>
      <protection locked="0"/>
    </xf>
    <xf numFmtId="166" fontId="0" fillId="0" borderId="0" xfId="0" applyNumberFormat="1" applyBorder="1" applyAlignment="1" applyProtection="1">
      <alignment horizontal="left"/>
      <protection locked="0"/>
    </xf>
    <xf numFmtId="0" fontId="6" fillId="0" borderId="12" xfId="0" applyFont="1" applyBorder="1" applyProtection="1">
      <protection locked="0"/>
    </xf>
    <xf numFmtId="0" fontId="6" fillId="0" borderId="13" xfId="0" applyFont="1" applyBorder="1" applyProtection="1">
      <protection locked="0"/>
    </xf>
    <xf numFmtId="0" fontId="4" fillId="0" borderId="0" xfId="4" applyFont="1" applyBorder="1"/>
    <xf numFmtId="5" fontId="4" fillId="0" borderId="0" xfId="4" applyNumberFormat="1" applyFont="1" applyBorder="1"/>
    <xf numFmtId="0" fontId="6" fillId="0" borderId="12" xfId="4" applyFont="1" applyBorder="1"/>
    <xf numFmtId="0" fontId="6" fillId="0" borderId="0" xfId="4" applyFont="1" applyBorder="1"/>
    <xf numFmtId="5" fontId="6" fillId="0" borderId="0" xfId="4" applyNumberFormat="1" applyFont="1" applyBorder="1"/>
    <xf numFmtId="0" fontId="30" fillId="0" borderId="12" xfId="0" applyFont="1" applyBorder="1" applyProtection="1">
      <protection locked="0"/>
    </xf>
    <xf numFmtId="9" fontId="6" fillId="0" borderId="0" xfId="0" applyNumberFormat="1" applyFont="1" applyBorder="1" applyProtection="1">
      <protection locked="0"/>
    </xf>
    <xf numFmtId="0" fontId="6" fillId="0" borderId="25" xfId="0" applyFont="1" applyBorder="1" applyProtection="1">
      <protection locked="0"/>
    </xf>
    <xf numFmtId="0" fontId="6" fillId="0" borderId="26" xfId="0" applyFont="1" applyBorder="1" applyProtection="1">
      <protection locked="0"/>
    </xf>
    <xf numFmtId="0" fontId="8" fillId="3" borderId="17" xfId="1" applyFont="1" applyFill="1" applyBorder="1" applyAlignment="1" applyProtection="1">
      <alignment horizontal="right"/>
      <protection locked="0"/>
    </xf>
    <xf numFmtId="3" fontId="8" fillId="2" borderId="1" xfId="1" applyNumberFormat="1" applyFont="1" applyFill="1" applyBorder="1" applyProtection="1">
      <protection locked="0"/>
    </xf>
    <xf numFmtId="6" fontId="6" fillId="0" borderId="13" xfId="0" applyNumberFormat="1" applyFont="1" applyBorder="1" applyProtection="1">
      <protection locked="0"/>
    </xf>
    <xf numFmtId="6" fontId="6" fillId="0" borderId="13" xfId="0" applyNumberFormat="1" applyFont="1" applyBorder="1" applyAlignment="1" applyProtection="1">
      <alignment horizontal="left"/>
      <protection locked="0"/>
    </xf>
    <xf numFmtId="166" fontId="4" fillId="0" borderId="21" xfId="2" applyNumberFormat="1" applyBorder="1"/>
    <xf numFmtId="0" fontId="0" fillId="0" borderId="21" xfId="0" applyNumberFormat="1" applyBorder="1"/>
    <xf numFmtId="0" fontId="4" fillId="0" borderId="21" xfId="2" applyNumberFormat="1" applyBorder="1"/>
    <xf numFmtId="166" fontId="4" fillId="0" borderId="21" xfId="2" applyNumberFormat="1" applyFont="1" applyBorder="1"/>
    <xf numFmtId="0" fontId="0" fillId="0" borderId="26" xfId="0" applyBorder="1"/>
    <xf numFmtId="166" fontId="4" fillId="0" borderId="0" xfId="2" applyNumberFormat="1" applyFont="1" applyBorder="1"/>
    <xf numFmtId="0" fontId="0" fillId="0" borderId="0" xfId="0" applyBorder="1" applyAlignment="1">
      <alignment horizontal="right"/>
    </xf>
    <xf numFmtId="166" fontId="0" fillId="0" borderId="2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23" fillId="0" borderId="21" xfId="0" applyFont="1" applyBorder="1"/>
    <xf numFmtId="166" fontId="36" fillId="0" borderId="0" xfId="2" applyNumberFormat="1" applyFont="1"/>
    <xf numFmtId="278" fontId="0" fillId="0" borderId="0" xfId="0" applyNumberFormat="1" applyAlignment="1">
      <alignment horizontal="center"/>
    </xf>
    <xf numFmtId="166" fontId="4" fillId="0" borderId="22" xfId="2" applyNumberFormat="1" applyFont="1" applyBorder="1"/>
    <xf numFmtId="0" fontId="0" fillId="0" borderId="22" xfId="0" applyBorder="1"/>
    <xf numFmtId="0" fontId="0" fillId="0" borderId="24" xfId="0" applyBorder="1"/>
    <xf numFmtId="166" fontId="0" fillId="0" borderId="21" xfId="0" applyNumberFormat="1" applyBorder="1"/>
    <xf numFmtId="166" fontId="23" fillId="0" borderId="0" xfId="2" applyNumberFormat="1" applyFont="1" applyBorder="1"/>
    <xf numFmtId="166" fontId="23" fillId="0" borderId="21" xfId="2" applyNumberFormat="1" applyFont="1" applyBorder="1"/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1" xfId="0" applyBorder="1" applyAlignment="1">
      <alignment horizontal="left"/>
    </xf>
    <xf numFmtId="166" fontId="4" fillId="0" borderId="21" xfId="2" applyNumberFormat="1" applyFont="1" applyBorder="1" applyAlignment="1">
      <alignment horizontal="right"/>
    </xf>
    <xf numFmtId="166" fontId="4" fillId="0" borderId="21" xfId="2" applyNumberFormat="1" applyBorder="1" applyAlignment="1">
      <alignment horizontal="right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37" fillId="0" borderId="41" xfId="0" applyFont="1" applyBorder="1" applyAlignment="1">
      <alignment horizontal="center"/>
    </xf>
    <xf numFmtId="0" fontId="0" fillId="0" borderId="41" xfId="0" applyBorder="1"/>
    <xf numFmtId="49" fontId="0" fillId="0" borderId="39" xfId="0" applyNumberForma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37" fillId="0" borderId="36" xfId="0" applyFont="1" applyBorder="1" applyAlignment="1">
      <alignment horizontal="center"/>
    </xf>
    <xf numFmtId="0" fontId="37" fillId="0" borderId="43" xfId="0" applyFont="1" applyBorder="1" applyAlignment="1">
      <alignment horizontal="center"/>
    </xf>
    <xf numFmtId="9" fontId="37" fillId="0" borderId="43" xfId="0" applyNumberFormat="1" applyFont="1" applyBorder="1" applyAlignment="1">
      <alignment horizontal="center"/>
    </xf>
    <xf numFmtId="10" fontId="37" fillId="0" borderId="43" xfId="0" applyNumberFormat="1" applyFont="1" applyBorder="1" applyAlignment="1">
      <alignment horizontal="center"/>
    </xf>
    <xf numFmtId="0" fontId="0" fillId="0" borderId="43" xfId="0" applyBorder="1"/>
    <xf numFmtId="49" fontId="0" fillId="0" borderId="45" xfId="0" applyNumberFormat="1" applyBorder="1" applyAlignment="1">
      <alignment horizontal="center"/>
    </xf>
    <xf numFmtId="49" fontId="0" fillId="0" borderId="46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left"/>
    </xf>
    <xf numFmtId="0" fontId="0" fillId="2" borderId="21" xfId="0" applyFill="1" applyBorder="1" applyAlignment="1">
      <alignment horizontal="center"/>
    </xf>
    <xf numFmtId="230" fontId="0" fillId="0" borderId="21" xfId="0" applyNumberFormat="1" applyBorder="1" applyAlignment="1">
      <alignment horizontal="center"/>
    </xf>
    <xf numFmtId="166" fontId="4" fillId="0" borderId="21" xfId="2" applyNumberFormat="1" applyBorder="1" applyAlignment="1">
      <alignment horizontal="center"/>
    </xf>
    <xf numFmtId="166" fontId="38" fillId="0" borderId="43" xfId="0" applyNumberFormat="1" applyFont="1" applyBorder="1"/>
    <xf numFmtId="0" fontId="23" fillId="0" borderId="39" xfId="0" applyFont="1" applyBorder="1"/>
    <xf numFmtId="0" fontId="0" fillId="0" borderId="47" xfId="0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23" fillId="0" borderId="5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166" fontId="0" fillId="0" borderId="0" xfId="0" applyNumberFormat="1"/>
    <xf numFmtId="0" fontId="14" fillId="0" borderId="0" xfId="0" applyFont="1" applyProtection="1"/>
    <xf numFmtId="0" fontId="6" fillId="0" borderId="51" xfId="0" applyFont="1" applyBorder="1" applyProtection="1"/>
    <xf numFmtId="230" fontId="6" fillId="0" borderId="51" xfId="0" applyNumberFormat="1" applyFont="1" applyBorder="1" applyProtection="1"/>
    <xf numFmtId="0" fontId="23" fillId="0" borderId="52" xfId="0" applyFont="1" applyBorder="1" applyAlignment="1" applyProtection="1">
      <alignment horizontal="center"/>
    </xf>
    <xf numFmtId="230" fontId="23" fillId="0" borderId="53" xfId="0" applyNumberFormat="1" applyFont="1" applyBorder="1" applyAlignment="1" applyProtection="1">
      <alignment horizontal="center"/>
    </xf>
    <xf numFmtId="0" fontId="23" fillId="0" borderId="53" xfId="0" applyFont="1" applyBorder="1" applyAlignment="1" applyProtection="1">
      <alignment horizontal="center"/>
    </xf>
    <xf numFmtId="0" fontId="23" fillId="0" borderId="54" xfId="0" applyFont="1" applyBorder="1" applyAlignment="1" applyProtection="1">
      <alignment horizontal="center"/>
    </xf>
    <xf numFmtId="0" fontId="23" fillId="0" borderId="41" xfId="0" applyFont="1" applyBorder="1" applyAlignment="1" applyProtection="1">
      <alignment horizontal="center"/>
    </xf>
    <xf numFmtId="0" fontId="23" fillId="0" borderId="55" xfId="0" applyFont="1" applyBorder="1" applyAlignment="1" applyProtection="1">
      <alignment horizontal="center"/>
    </xf>
    <xf numFmtId="0" fontId="23" fillId="0" borderId="56" xfId="0" applyFont="1" applyBorder="1" applyAlignment="1" applyProtection="1">
      <alignment horizontal="center"/>
    </xf>
    <xf numFmtId="9" fontId="23" fillId="0" borderId="56" xfId="0" applyNumberFormat="1" applyFont="1" applyBorder="1" applyAlignment="1" applyProtection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0" fontId="23" fillId="0" borderId="36" xfId="0" applyFont="1" applyBorder="1" applyAlignment="1" applyProtection="1">
      <alignment horizontal="center"/>
    </xf>
    <xf numFmtId="230" fontId="23" fillId="0" borderId="56" xfId="0" applyNumberFormat="1" applyFont="1" applyBorder="1" applyAlignment="1" applyProtection="1">
      <alignment horizontal="center"/>
    </xf>
    <xf numFmtId="0" fontId="23" fillId="0" borderId="0" xfId="0" applyFont="1" applyBorder="1" applyAlignment="1" applyProtection="1">
      <alignment horizontal="center"/>
    </xf>
    <xf numFmtId="0" fontId="39" fillId="0" borderId="36" xfId="0" applyFont="1" applyBorder="1" applyAlignment="1">
      <alignment horizontal="center"/>
    </xf>
    <xf numFmtId="10" fontId="23" fillId="0" borderId="56" xfId="5" applyNumberFormat="1" applyFont="1" applyBorder="1" applyAlignment="1" applyProtection="1">
      <alignment horizontal="center"/>
    </xf>
    <xf numFmtId="44" fontId="23" fillId="0" borderId="56" xfId="3" applyFont="1" applyBorder="1" applyAlignment="1" applyProtection="1">
      <alignment horizontal="center"/>
    </xf>
    <xf numFmtId="10" fontId="23" fillId="0" borderId="0" xfId="5" applyNumberFormat="1" applyFont="1" applyBorder="1" applyAlignment="1" applyProtection="1">
      <alignment horizontal="center"/>
    </xf>
    <xf numFmtId="9" fontId="39" fillId="0" borderId="43" xfId="5" applyFont="1" applyBorder="1" applyAlignment="1">
      <alignment horizontal="center"/>
    </xf>
    <xf numFmtId="230" fontId="23" fillId="0" borderId="43" xfId="0" applyNumberFormat="1" applyFont="1" applyBorder="1" applyAlignment="1" applyProtection="1">
      <alignment horizontal="center"/>
    </xf>
    <xf numFmtId="0" fontId="40" fillId="0" borderId="21" xfId="0" applyFont="1" applyBorder="1" applyAlignment="1">
      <alignment horizontal="center"/>
    </xf>
    <xf numFmtId="0" fontId="23" fillId="0" borderId="21" xfId="0" applyFont="1" applyBorder="1" applyAlignment="1" applyProtection="1">
      <alignment horizontal="center"/>
    </xf>
    <xf numFmtId="230" fontId="23" fillId="0" borderId="21" xfId="0" applyNumberFormat="1" applyFont="1" applyBorder="1" applyAlignment="1" applyProtection="1">
      <alignment horizontal="center"/>
    </xf>
    <xf numFmtId="0" fontId="6" fillId="0" borderId="21" xfId="0" applyFont="1" applyBorder="1" applyAlignment="1">
      <alignment horizontal="center"/>
    </xf>
    <xf numFmtId="39" fontId="6" fillId="0" borderId="21" xfId="0" applyNumberFormat="1" applyFont="1" applyBorder="1" applyAlignment="1" applyProtection="1">
      <alignment horizontal="center"/>
    </xf>
    <xf numFmtId="230" fontId="6" fillId="0" borderId="21" xfId="0" applyNumberFormat="1" applyFont="1" applyBorder="1" applyAlignment="1" applyProtection="1">
      <alignment horizontal="center"/>
    </xf>
    <xf numFmtId="166" fontId="6" fillId="0" borderId="21" xfId="2" applyNumberFormat="1" applyFont="1" applyBorder="1" applyAlignment="1">
      <alignment horizontal="center"/>
    </xf>
    <xf numFmtId="39" fontId="6" fillId="0" borderId="0" xfId="0" applyNumberFormat="1" applyFont="1" applyAlignment="1">
      <alignment horizontal="center"/>
    </xf>
    <xf numFmtId="0" fontId="23" fillId="0" borderId="21" xfId="0" applyFont="1" applyBorder="1" applyAlignment="1">
      <alignment horizontal="center"/>
    </xf>
    <xf numFmtId="10" fontId="6" fillId="0" borderId="56" xfId="5" applyNumberFormat="1" applyFont="1" applyBorder="1" applyAlignment="1" applyProtection="1">
      <alignment horizontal="center"/>
    </xf>
    <xf numFmtId="43" fontId="23" fillId="0" borderId="56" xfId="2" applyFont="1" applyBorder="1" applyAlignment="1" applyProtection="1">
      <alignment horizontal="center"/>
    </xf>
    <xf numFmtId="39" fontId="6" fillId="0" borderId="21" xfId="0" applyNumberFormat="1" applyFont="1" applyBorder="1" applyProtection="1"/>
    <xf numFmtId="230" fontId="6" fillId="0" borderId="21" xfId="0" applyNumberFormat="1" applyFont="1" applyBorder="1" applyProtection="1"/>
    <xf numFmtId="5" fontId="4" fillId="0" borderId="0" xfId="2" applyNumberFormat="1" applyFont="1" applyBorder="1" applyAlignment="1" applyProtection="1">
      <alignment horizontal="center"/>
      <protection locked="0"/>
    </xf>
    <xf numFmtId="5" fontId="4" fillId="0" borderId="4" xfId="2" applyNumberFormat="1" applyBorder="1" applyAlignment="1" applyProtection="1">
      <alignment horizontal="center"/>
      <protection locked="0"/>
    </xf>
    <xf numFmtId="5" fontId="4" fillId="0" borderId="5" xfId="2" applyNumberFormat="1" applyBorder="1" applyAlignment="1" applyProtection="1">
      <alignment horizontal="center"/>
      <protection locked="0"/>
    </xf>
    <xf numFmtId="5" fontId="4" fillId="0" borderId="2" xfId="2" applyNumberFormat="1" applyBorder="1" applyAlignment="1" applyProtection="1">
      <alignment horizontal="center"/>
      <protection locked="0"/>
    </xf>
    <xf numFmtId="5" fontId="4" fillId="0" borderId="0" xfId="2" applyNumberFormat="1" applyBorder="1" applyAlignment="1" applyProtection="1">
      <alignment horizontal="center"/>
      <protection locked="0"/>
    </xf>
    <xf numFmtId="5" fontId="0" fillId="0" borderId="0" xfId="0" applyNumberFormat="1" applyBorder="1" applyAlignment="1" applyProtection="1">
      <alignment horizontal="center"/>
      <protection locked="0"/>
    </xf>
    <xf numFmtId="5" fontId="0" fillId="0" borderId="37" xfId="0" applyNumberFormat="1" applyBorder="1" applyAlignment="1" applyProtection="1">
      <alignment horizontal="center"/>
      <protection locked="0"/>
    </xf>
    <xf numFmtId="5" fontId="43" fillId="0" borderId="1" xfId="2" applyNumberFormat="1" applyFont="1" applyBorder="1" applyAlignment="1" applyProtection="1">
      <alignment horizontal="center"/>
      <protection locked="0"/>
    </xf>
    <xf numFmtId="5" fontId="0" fillId="0" borderId="0" xfId="0" applyNumberFormat="1" applyAlignment="1" applyProtection="1">
      <alignment horizontal="center"/>
      <protection locked="0"/>
    </xf>
    <xf numFmtId="10" fontId="44" fillId="2" borderId="56" xfId="5" applyNumberFormat="1" applyFont="1" applyFill="1" applyBorder="1" applyAlignment="1" applyProtection="1">
      <alignment horizontal="center"/>
    </xf>
    <xf numFmtId="10" fontId="45" fillId="2" borderId="56" xfId="5" applyNumberFormat="1" applyFont="1" applyFill="1" applyBorder="1" applyAlignment="1" applyProtection="1">
      <alignment horizontal="center"/>
    </xf>
    <xf numFmtId="44" fontId="44" fillId="2" borderId="56" xfId="3" applyFont="1" applyFill="1" applyBorder="1" applyAlignment="1" applyProtection="1">
      <alignment horizontal="center"/>
    </xf>
    <xf numFmtId="10" fontId="44" fillId="2" borderId="0" xfId="5" applyNumberFormat="1" applyFont="1" applyFill="1" applyBorder="1" applyAlignment="1" applyProtection="1">
      <alignment horizontal="center"/>
    </xf>
    <xf numFmtId="9" fontId="46" fillId="2" borderId="43" xfId="5" applyFont="1" applyFill="1" applyBorder="1" applyAlignment="1">
      <alignment horizontal="center"/>
    </xf>
    <xf numFmtId="39" fontId="45" fillId="2" borderId="21" xfId="0" applyNumberFormat="1" applyFont="1" applyFill="1" applyBorder="1" applyProtection="1"/>
    <xf numFmtId="166" fontId="6" fillId="0" borderId="21" xfId="2" applyNumberFormat="1" applyFont="1" applyBorder="1"/>
    <xf numFmtId="39" fontId="45" fillId="2" borderId="0" xfId="0" applyNumberFormat="1" applyFont="1" applyFill="1"/>
    <xf numFmtId="39" fontId="6" fillId="0" borderId="0" xfId="0" applyNumberFormat="1" applyFont="1"/>
    <xf numFmtId="10" fontId="32" fillId="0" borderId="56" xfId="5" applyNumberFormat="1" applyFont="1" applyBorder="1" applyAlignment="1" applyProtection="1">
      <alignment horizontal="center"/>
    </xf>
    <xf numFmtId="43" fontId="44" fillId="2" borderId="56" xfId="2" applyFont="1" applyFill="1" applyBorder="1" applyAlignment="1" applyProtection="1">
      <alignment horizontal="center"/>
    </xf>
    <xf numFmtId="0" fontId="23" fillId="0" borderId="36" xfId="0" applyFont="1" applyBorder="1" applyAlignment="1">
      <alignment horizontal="center"/>
    </xf>
    <xf numFmtId="0" fontId="0" fillId="0" borderId="57" xfId="0" applyBorder="1" applyProtection="1">
      <protection locked="0"/>
    </xf>
    <xf numFmtId="3" fontId="1" fillId="0" borderId="0" xfId="0" applyNumberFormat="1" applyFont="1" applyAlignment="1" applyProtection="1">
      <protection locked="0"/>
    </xf>
    <xf numFmtId="0" fontId="0" fillId="0" borderId="58" xfId="0" applyBorder="1"/>
    <xf numFmtId="0" fontId="16" fillId="0" borderId="0" xfId="0" applyFont="1" applyProtection="1">
      <protection locked="0"/>
    </xf>
    <xf numFmtId="0" fontId="23" fillId="0" borderId="5" xfId="0" applyFont="1" applyBorder="1" applyAlignment="1">
      <alignment horizontal="right"/>
    </xf>
    <xf numFmtId="0" fontId="10" fillId="0" borderId="0" xfId="0" applyFont="1" applyAlignment="1">
      <alignment horizontal="right"/>
    </xf>
    <xf numFmtId="171" fontId="0" fillId="0" borderId="0" xfId="0" applyNumberFormat="1"/>
    <xf numFmtId="171" fontId="10" fillId="0" borderId="0" xfId="0" applyNumberFormat="1" applyFont="1"/>
    <xf numFmtId="171" fontId="6" fillId="0" borderId="0" xfId="0" applyNumberFormat="1" applyFont="1"/>
    <xf numFmtId="1" fontId="0" fillId="0" borderId="5" xfId="0" applyNumberFormat="1" applyBorder="1"/>
    <xf numFmtId="1" fontId="0" fillId="0" borderId="0" xfId="0" applyNumberFormat="1"/>
    <xf numFmtId="185" fontId="4" fillId="0" borderId="0" xfId="3" applyNumberFormat="1"/>
    <xf numFmtId="166" fontId="4" fillId="0" borderId="0" xfId="2" applyNumberFormat="1" applyFont="1"/>
    <xf numFmtId="185" fontId="43" fillId="0" borderId="0" xfId="3" applyNumberFormat="1" applyFont="1"/>
    <xf numFmtId="166" fontId="6" fillId="0" borderId="0" xfId="2" applyNumberFormat="1" applyFont="1" applyBorder="1"/>
    <xf numFmtId="166" fontId="10" fillId="0" borderId="0" xfId="2" applyNumberFormat="1" applyFont="1"/>
    <xf numFmtId="10" fontId="0" fillId="0" borderId="37" xfId="0" applyNumberFormat="1" applyBorder="1"/>
    <xf numFmtId="0" fontId="6" fillId="0" borderId="2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Continuous"/>
    </xf>
    <xf numFmtId="0" fontId="0" fillId="0" borderId="59" xfId="0" applyBorder="1" applyAlignment="1">
      <alignment horizontal="centerContinuous"/>
    </xf>
    <xf numFmtId="0" fontId="0" fillId="0" borderId="38" xfId="0" applyBorder="1"/>
    <xf numFmtId="9" fontId="0" fillId="0" borderId="0" xfId="0" applyNumberFormat="1"/>
    <xf numFmtId="0" fontId="0" fillId="0" borderId="59" xfId="0" applyBorder="1"/>
    <xf numFmtId="0" fontId="0" fillId="0" borderId="8" xfId="0" applyBorder="1"/>
    <xf numFmtId="0" fontId="0" fillId="0" borderId="35" xfId="0" applyBorder="1"/>
    <xf numFmtId="0" fontId="0" fillId="0" borderId="37" xfId="0" applyBorder="1"/>
    <xf numFmtId="0" fontId="0" fillId="0" borderId="14" xfId="0" applyBorder="1"/>
    <xf numFmtId="0" fontId="0" fillId="0" borderId="15" xfId="0" applyBorder="1"/>
    <xf numFmtId="0" fontId="32" fillId="0" borderId="16" xfId="0" applyFont="1" applyBorder="1"/>
    <xf numFmtId="0" fontId="32" fillId="0" borderId="0" xfId="0" applyFont="1"/>
    <xf numFmtId="0" fontId="0" fillId="0" borderId="20" xfId="0" applyBorder="1"/>
    <xf numFmtId="0" fontId="0" fillId="0" borderId="17" xfId="0" applyBorder="1"/>
    <xf numFmtId="0" fontId="0" fillId="0" borderId="47" xfId="0" applyBorder="1"/>
    <xf numFmtId="0" fontId="0" fillId="0" borderId="49" xfId="0" applyBorder="1"/>
    <xf numFmtId="9" fontId="32" fillId="0" borderId="31" xfId="0" applyNumberFormat="1" applyFont="1" applyBorder="1"/>
    <xf numFmtId="3" fontId="14" fillId="0" borderId="0" xfId="0" applyNumberFormat="1" applyFont="1" applyAlignment="1">
      <alignment horizontal="centerContinuous"/>
    </xf>
    <xf numFmtId="0" fontId="0" fillId="2" borderId="4" xfId="0" applyFill="1" applyBorder="1" applyAlignment="1" applyProtection="1">
      <alignment horizontal="center"/>
      <protection locked="0"/>
    </xf>
    <xf numFmtId="0" fontId="1" fillId="0" borderId="0" xfId="0" applyFont="1" applyProtection="1"/>
    <xf numFmtId="9" fontId="0" fillId="2" borderId="1" xfId="5" applyNumberFormat="1" applyFont="1" applyFill="1" applyBorder="1" applyProtection="1">
      <protection locked="0"/>
    </xf>
    <xf numFmtId="3" fontId="0" fillId="0" borderId="0" xfId="0" applyNumberFormat="1" applyAlignment="1" applyProtection="1">
      <alignment horizontal="centerContinuous"/>
    </xf>
    <xf numFmtId="3" fontId="1" fillId="0" borderId="0" xfId="0" applyNumberFormat="1" applyFont="1" applyAlignment="1" applyProtection="1">
      <alignment horizontal="centerContinuous"/>
    </xf>
    <xf numFmtId="3" fontId="1" fillId="0" borderId="0" xfId="0" applyNumberFormat="1" applyFont="1" applyBorder="1" applyProtection="1"/>
    <xf numFmtId="3" fontId="0" fillId="0" borderId="0" xfId="0" applyNumberFormat="1" applyBorder="1" applyAlignment="1" applyProtection="1"/>
    <xf numFmtId="3" fontId="6" fillId="0" borderId="21" xfId="0" applyNumberFormat="1" applyFont="1" applyBorder="1" applyAlignment="1" applyProtection="1">
      <alignment horizontal="centerContinuous"/>
    </xf>
    <xf numFmtId="3" fontId="6" fillId="0" borderId="21" xfId="0" applyNumberFormat="1" applyFont="1" applyBorder="1" applyProtection="1"/>
    <xf numFmtId="3" fontId="1" fillId="0" borderId="41" xfId="0" applyNumberFormat="1" applyFont="1" applyBorder="1" applyAlignment="1" applyProtection="1">
      <alignment horizontal="centerContinuous"/>
    </xf>
    <xf numFmtId="3" fontId="0" fillId="0" borderId="41" xfId="0" applyNumberFormat="1" applyBorder="1" applyProtection="1"/>
    <xf numFmtId="3" fontId="6" fillId="0" borderId="36" xfId="0" applyNumberFormat="1" applyFont="1" applyBorder="1" applyAlignment="1" applyProtection="1">
      <alignment horizontal="center"/>
    </xf>
    <xf numFmtId="3" fontId="6" fillId="0" borderId="0" xfId="0" applyNumberFormat="1" applyFont="1" applyBorder="1" applyProtection="1"/>
    <xf numFmtId="3" fontId="1" fillId="0" borderId="0" xfId="0" applyNumberFormat="1" applyFont="1" applyProtection="1"/>
    <xf numFmtId="3" fontId="0" fillId="0" borderId="0" xfId="0" applyNumberFormat="1" applyBorder="1" applyProtection="1"/>
    <xf numFmtId="166" fontId="6" fillId="0" borderId="36" xfId="2" applyNumberFormat="1" applyFont="1" applyBorder="1" applyAlignment="1" applyProtection="1">
      <alignment horizontal="center"/>
    </xf>
    <xf numFmtId="3" fontId="6" fillId="0" borderId="43" xfId="0" applyNumberFormat="1" applyFont="1" applyBorder="1" applyProtection="1">
      <protection locked="0"/>
    </xf>
    <xf numFmtId="166" fontId="6" fillId="0" borderId="43" xfId="2" applyNumberFormat="1" applyFont="1" applyBorder="1" applyProtection="1"/>
    <xf numFmtId="3" fontId="43" fillId="0" borderId="21" xfId="0" applyNumberFormat="1" applyFont="1" applyBorder="1" applyProtection="1">
      <protection locked="0"/>
    </xf>
    <xf numFmtId="3" fontId="6" fillId="0" borderId="21" xfId="0" applyNumberFormat="1" applyFont="1" applyBorder="1" applyProtection="1">
      <protection locked="0"/>
    </xf>
    <xf numFmtId="3" fontId="49" fillId="0" borderId="21" xfId="0" applyNumberFormat="1" applyFont="1" applyBorder="1" applyProtection="1"/>
    <xf numFmtId="0" fontId="1" fillId="0" borderId="0" xfId="0" applyFont="1" applyBorder="1" applyProtection="1"/>
    <xf numFmtId="3" fontId="6" fillId="2" borderId="36" xfId="0" applyNumberFormat="1" applyFont="1" applyFill="1" applyBorder="1" applyAlignment="1" applyProtection="1"/>
    <xf numFmtId="3" fontId="6" fillId="2" borderId="36" xfId="2" applyNumberFormat="1" applyFont="1" applyFill="1" applyBorder="1" applyAlignment="1" applyProtection="1"/>
    <xf numFmtId="3" fontId="6" fillId="2" borderId="36" xfId="2" applyNumberFormat="1" applyFont="1" applyFill="1" applyBorder="1" applyAlignment="1"/>
    <xf numFmtId="0" fontId="6" fillId="0" borderId="12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16" fillId="0" borderId="60" xfId="0" applyFont="1" applyBorder="1" applyAlignment="1">
      <alignment horizontal="left"/>
    </xf>
    <xf numFmtId="0" fontId="0" fillId="0" borderId="18" xfId="0" applyBorder="1"/>
    <xf numFmtId="0" fontId="16" fillId="0" borderId="61" xfId="0" applyFont="1" applyBorder="1"/>
    <xf numFmtId="0" fontId="16" fillId="0" borderId="58" xfId="0" applyFont="1" applyBorder="1"/>
    <xf numFmtId="0" fontId="16" fillId="0" borderId="62" xfId="0" applyFont="1" applyBorder="1" applyAlignment="1">
      <alignment horizontal="left"/>
    </xf>
    <xf numFmtId="0" fontId="16" fillId="0" borderId="63" xfId="0" applyFont="1" applyBorder="1" applyAlignment="1"/>
    <xf numFmtId="3" fontId="5" fillId="0" borderId="0" xfId="0" applyNumberFormat="1" applyFont="1" applyBorder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 applyAlignment="1" applyProtection="1"/>
    <xf numFmtId="0" fontId="5" fillId="0" borderId="0" xfId="0" applyFont="1" applyBorder="1" applyAlignment="1" applyProtection="1">
      <alignment horizontal="center"/>
    </xf>
    <xf numFmtId="0" fontId="1" fillId="0" borderId="64" xfId="0" applyFont="1" applyBorder="1" applyProtection="1"/>
    <xf numFmtId="0" fontId="0" fillId="0" borderId="40" xfId="0" applyBorder="1" applyProtection="1"/>
    <xf numFmtId="0" fontId="23" fillId="0" borderId="40" xfId="0" applyFont="1" applyBorder="1" applyAlignment="1" applyProtection="1">
      <alignment horizontal="center"/>
    </xf>
    <xf numFmtId="0" fontId="1" fillId="0" borderId="40" xfId="0" applyFont="1" applyBorder="1" applyAlignment="1" applyProtection="1">
      <alignment horizontal="center"/>
    </xf>
    <xf numFmtId="0" fontId="0" fillId="0" borderId="65" xfId="0" applyBorder="1" applyProtection="1"/>
    <xf numFmtId="0" fontId="0" fillId="0" borderId="46" xfId="0" applyBorder="1" applyProtection="1"/>
    <xf numFmtId="0" fontId="0" fillId="0" borderId="26" xfId="0" applyBorder="1" applyProtection="1"/>
    <xf numFmtId="0" fontId="10" fillId="0" borderId="26" xfId="0" applyFont="1" applyBorder="1" applyAlignment="1" applyProtection="1">
      <alignment horizontal="right"/>
    </xf>
    <xf numFmtId="0" fontId="0" fillId="0" borderId="57" xfId="0" applyBorder="1" applyProtection="1"/>
    <xf numFmtId="0" fontId="0" fillId="0" borderId="38" xfId="0" applyBorder="1" applyProtection="1"/>
    <xf numFmtId="2" fontId="0" fillId="0" borderId="0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34" xfId="0" applyBorder="1" applyProtection="1"/>
    <xf numFmtId="2" fontId="0" fillId="0" borderId="26" xfId="0" applyNumberFormat="1" applyBorder="1" applyAlignment="1" applyProtection="1">
      <alignment horizontal="center"/>
    </xf>
    <xf numFmtId="2" fontId="0" fillId="0" borderId="40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2" fontId="0" fillId="0" borderId="0" xfId="0" applyNumberFormat="1" applyFill="1" applyBorder="1" applyAlignment="1" applyProtection="1">
      <alignment horizontal="center"/>
    </xf>
    <xf numFmtId="1" fontId="0" fillId="0" borderId="0" xfId="0" applyNumberFormat="1" applyBorder="1" applyProtection="1"/>
    <xf numFmtId="0" fontId="0" fillId="0" borderId="64" xfId="0" applyBorder="1" applyProtection="1"/>
    <xf numFmtId="1" fontId="0" fillId="0" borderId="40" xfId="0" applyNumberFormat="1" applyBorder="1" applyProtection="1"/>
    <xf numFmtId="0" fontId="1" fillId="0" borderId="46" xfId="0" applyFont="1" applyBorder="1" applyProtection="1"/>
    <xf numFmtId="2" fontId="23" fillId="0" borderId="26" xfId="0" applyNumberFormat="1" applyFont="1" applyBorder="1" applyAlignment="1" applyProtection="1">
      <alignment horizontal="center"/>
    </xf>
    <xf numFmtId="0" fontId="23" fillId="0" borderId="26" xfId="0" applyFont="1" applyBorder="1" applyProtection="1"/>
    <xf numFmtId="1" fontId="0" fillId="0" borderId="26" xfId="0" applyNumberFormat="1" applyBorder="1" applyProtection="1"/>
    <xf numFmtId="2" fontId="0" fillId="0" borderId="65" xfId="0" applyNumberFormat="1" applyBorder="1" applyAlignment="1" applyProtection="1">
      <alignment horizontal="center"/>
    </xf>
    <xf numFmtId="0" fontId="0" fillId="0" borderId="38" xfId="0" quotePrefix="1" applyBorder="1" applyProtection="1"/>
    <xf numFmtId="171" fontId="0" fillId="0" borderId="34" xfId="0" applyNumberFormat="1" applyBorder="1" applyAlignment="1" applyProtection="1">
      <alignment horizontal="center"/>
    </xf>
    <xf numFmtId="0" fontId="1" fillId="0" borderId="38" xfId="0" applyFont="1" applyBorder="1" applyProtection="1"/>
    <xf numFmtId="171" fontId="0" fillId="0" borderId="0" xfId="0" applyNumberFormat="1" applyBorder="1" applyAlignment="1" applyProtection="1">
      <alignment horizontal="center"/>
    </xf>
    <xf numFmtId="0" fontId="14" fillId="0" borderId="39" xfId="0" applyFont="1" applyBorder="1" applyProtection="1"/>
    <xf numFmtId="0" fontId="14" fillId="0" borderId="22" xfId="0" applyFont="1" applyBorder="1" applyProtection="1"/>
    <xf numFmtId="6" fontId="14" fillId="0" borderId="22" xfId="0" applyNumberFormat="1" applyFont="1" applyBorder="1" applyProtection="1"/>
    <xf numFmtId="0" fontId="14" fillId="0" borderId="24" xfId="0" applyFont="1" applyBorder="1" applyProtection="1"/>
    <xf numFmtId="171" fontId="14" fillId="0" borderId="0" xfId="0" applyNumberFormat="1" applyFont="1" applyBorder="1" applyProtection="1"/>
    <xf numFmtId="0" fontId="14" fillId="0" borderId="0" xfId="0" applyFont="1" applyBorder="1" applyProtection="1"/>
    <xf numFmtId="171" fontId="0" fillId="0" borderId="0" xfId="0" applyNumberFormat="1" applyBorder="1" applyProtection="1"/>
    <xf numFmtId="185" fontId="4" fillId="2" borderId="0" xfId="3" applyNumberFormat="1" applyFill="1" applyBorder="1" applyProtection="1"/>
    <xf numFmtId="0" fontId="0" fillId="0" borderId="0" xfId="0" applyFill="1" applyBorder="1" applyProtection="1"/>
    <xf numFmtId="185" fontId="6" fillId="2" borderId="0" xfId="3" applyNumberFormat="1" applyFont="1" applyFill="1" applyBorder="1" applyProtection="1"/>
    <xf numFmtId="6" fontId="0" fillId="0" borderId="0" xfId="0" applyNumberFormat="1" applyBorder="1" applyProtection="1"/>
    <xf numFmtId="0" fontId="0" fillId="0" borderId="0" xfId="0" quotePrefix="1" applyBorder="1" applyProtection="1"/>
    <xf numFmtId="185" fontId="14" fillId="0" borderId="22" xfId="3" applyNumberFormat="1" applyFont="1" applyBorder="1" applyProtection="1"/>
    <xf numFmtId="3" fontId="1" fillId="0" borderId="0" xfId="0" applyNumberFormat="1" applyFont="1"/>
    <xf numFmtId="0" fontId="23" fillId="6" borderId="20" xfId="0" applyFont="1" applyFill="1" applyBorder="1" applyAlignment="1">
      <alignment horizontal="center"/>
    </xf>
    <xf numFmtId="0" fontId="23" fillId="6" borderId="21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/>
    </xf>
    <xf numFmtId="0" fontId="23" fillId="7" borderId="17" xfId="0" applyFont="1" applyFill="1" applyBorder="1" applyAlignment="1">
      <alignment horizontal="center"/>
    </xf>
    <xf numFmtId="3" fontId="17" fillId="0" borderId="0" xfId="0" applyNumberFormat="1" applyFont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15" fillId="0" borderId="0" xfId="0" applyFont="1" applyAlignment="1">
      <alignment horizontal="center"/>
    </xf>
    <xf numFmtId="0" fontId="27" fillId="0" borderId="0" xfId="0" applyFont="1" applyAlignment="1" applyProtection="1">
      <alignment horizontal="center"/>
      <protection locked="0"/>
    </xf>
    <xf numFmtId="0" fontId="25" fillId="0" borderId="0" xfId="0" applyFont="1" applyAlignment="1" applyProtection="1">
      <alignment horizontal="center"/>
      <protection locked="0"/>
    </xf>
    <xf numFmtId="3" fontId="6" fillId="0" borderId="36" xfId="0" applyNumberFormat="1" applyFont="1" applyBorder="1" applyAlignment="1" applyProtection="1">
      <alignment horizontal="right"/>
    </xf>
    <xf numFmtId="0" fontId="39" fillId="0" borderId="0" xfId="0" applyFont="1" applyBorder="1" applyAlignment="1">
      <alignment horizontal="center"/>
    </xf>
    <xf numFmtId="9" fontId="39" fillId="0" borderId="0" xfId="5" applyFont="1" applyBorder="1" applyAlignment="1">
      <alignment horizontal="center"/>
    </xf>
    <xf numFmtId="230" fontId="23" fillId="0" borderId="0" xfId="0" applyNumberFormat="1" applyFont="1" applyBorder="1" applyAlignment="1" applyProtection="1">
      <alignment horizontal="center"/>
    </xf>
    <xf numFmtId="39" fontId="6" fillId="0" borderId="0" xfId="0" applyNumberFormat="1" applyFont="1" applyBorder="1" applyAlignment="1" applyProtection="1">
      <alignment horizontal="center"/>
    </xf>
    <xf numFmtId="0" fontId="23" fillId="0" borderId="66" xfId="0" applyFont="1" applyBorder="1" applyAlignment="1" applyProtection="1">
      <alignment horizontal="center"/>
    </xf>
    <xf numFmtId="9" fontId="23" fillId="0" borderId="34" xfId="0" applyNumberFormat="1" applyFont="1" applyBorder="1" applyAlignment="1" applyProtection="1">
      <alignment horizontal="center"/>
    </xf>
    <xf numFmtId="10" fontId="23" fillId="0" borderId="34" xfId="5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/>
    <xf numFmtId="3" fontId="15" fillId="2" borderId="37" xfId="0" applyNumberFormat="1" applyFont="1" applyFill="1" applyBorder="1" applyProtection="1">
      <protection locked="0"/>
    </xf>
    <xf numFmtId="3" fontId="19" fillId="4" borderId="3" xfId="1" applyNumberFormat="1" applyFont="1" applyFill="1" applyBorder="1" applyProtection="1">
      <protection locked="0"/>
    </xf>
    <xf numFmtId="3" fontId="15" fillId="2" borderId="2" xfId="0" applyNumberFormat="1" applyFont="1" applyFill="1" applyBorder="1" applyProtection="1">
      <protection locked="0"/>
    </xf>
    <xf numFmtId="0" fontId="6" fillId="0" borderId="0" xfId="0" quotePrefix="1" applyFont="1" applyFill="1" applyBorder="1" applyProtection="1">
      <protection locked="0"/>
    </xf>
    <xf numFmtId="0" fontId="6" fillId="0" borderId="0" xfId="0" applyFont="1" applyFill="1" applyBorder="1"/>
    <xf numFmtId="5" fontId="43" fillId="2" borderId="1" xfId="2" applyNumberFormat="1" applyFont="1" applyFill="1" applyBorder="1" applyAlignment="1" applyProtection="1">
      <protection locked="0"/>
    </xf>
    <xf numFmtId="3" fontId="1" fillId="0" borderId="0" xfId="0" applyNumberFormat="1" applyFont="1" applyBorder="1" applyAlignment="1" applyProtection="1">
      <alignment horizontal="centerContinuous"/>
      <protection locked="0"/>
    </xf>
    <xf numFmtId="3" fontId="0" fillId="0" borderId="0" xfId="0" applyNumberFormat="1" applyBorder="1" applyAlignment="1" applyProtection="1">
      <alignment horizontal="centerContinuous"/>
      <protection locked="0"/>
    </xf>
    <xf numFmtId="3" fontId="1" fillId="0" borderId="5" xfId="0" applyNumberFormat="1" applyFont="1" applyBorder="1" applyAlignment="1" applyProtection="1">
      <alignment horizontal="centerContinuous"/>
      <protection locked="0"/>
    </xf>
    <xf numFmtId="0" fontId="23" fillId="0" borderId="3" xfId="0" applyFont="1" applyBorder="1" applyAlignment="1">
      <alignment horizontal="center"/>
    </xf>
    <xf numFmtId="0" fontId="0" fillId="0" borderId="0" xfId="0" applyBorder="1" applyAlignment="1" applyProtection="1">
      <protection locked="0"/>
    </xf>
    <xf numFmtId="3" fontId="23" fillId="0" borderId="1" xfId="0" applyNumberFormat="1" applyFont="1" applyBorder="1" applyAlignment="1" applyProtection="1">
      <alignment horizontal="center"/>
      <protection locked="0"/>
    </xf>
    <xf numFmtId="0" fontId="0" fillId="0" borderId="3" xfId="0" applyFill="1" applyBorder="1" applyProtection="1">
      <protection locked="0"/>
    </xf>
    <xf numFmtId="3" fontId="0" fillId="0" borderId="4" xfId="0" applyNumberFormat="1" applyFill="1" applyBorder="1" applyProtection="1">
      <protection locked="0"/>
    </xf>
    <xf numFmtId="0" fontId="0" fillId="0" borderId="4" xfId="0" applyFill="1" applyBorder="1" applyProtection="1">
      <protection locked="0"/>
    </xf>
    <xf numFmtId="3" fontId="0" fillId="0" borderId="2" xfId="0" applyNumberFormat="1" applyFill="1" applyBorder="1" applyProtection="1">
      <protection locked="0"/>
    </xf>
    <xf numFmtId="0" fontId="27" fillId="0" borderId="0" xfId="0" applyFont="1" applyProtection="1">
      <protection locked="0"/>
    </xf>
    <xf numFmtId="0" fontId="23" fillId="0" borderId="0" xfId="0" applyFont="1" applyBorder="1" applyAlignment="1" applyProtection="1"/>
    <xf numFmtId="0" fontId="23" fillId="0" borderId="0" xfId="0" applyFont="1" applyAlignment="1"/>
    <xf numFmtId="0" fontId="6" fillId="0" borderId="0" xfId="0" applyFont="1" applyAlignment="1"/>
    <xf numFmtId="0" fontId="15" fillId="0" borderId="0" xfId="0" applyFont="1" applyBorder="1" applyAlignment="1" applyProtection="1">
      <protection locked="0"/>
    </xf>
    <xf numFmtId="0" fontId="6" fillId="0" borderId="0" xfId="0" applyFont="1" applyBorder="1" applyAlignment="1" applyProtection="1"/>
    <xf numFmtId="4" fontId="0" fillId="0" borderId="1" xfId="0" applyNumberFormat="1" applyBorder="1" applyProtection="1">
      <protection locked="0"/>
    </xf>
    <xf numFmtId="166" fontId="6" fillId="0" borderId="1" xfId="2" applyNumberFormat="1" applyFont="1" applyBorder="1" applyProtection="1">
      <protection locked="0"/>
    </xf>
    <xf numFmtId="278" fontId="0" fillId="0" borderId="0" xfId="0" applyNumberFormat="1" applyProtection="1">
      <protection locked="0"/>
    </xf>
    <xf numFmtId="278" fontId="0" fillId="0" borderId="0" xfId="0" applyNumberFormat="1" applyBorder="1" applyProtection="1">
      <protection locked="0"/>
    </xf>
    <xf numFmtId="44" fontId="0" fillId="0" borderId="0" xfId="3" applyFont="1" applyProtection="1">
      <protection locked="0"/>
    </xf>
    <xf numFmtId="182" fontId="0" fillId="0" borderId="0" xfId="3" applyNumberFormat="1" applyFont="1" applyBorder="1" applyProtection="1">
      <protection locked="0"/>
    </xf>
    <xf numFmtId="182" fontId="0" fillId="0" borderId="0" xfId="0" applyNumberFormat="1" applyBorder="1" applyProtection="1">
      <protection locked="0"/>
    </xf>
    <xf numFmtId="182" fontId="0" fillId="0" borderId="0" xfId="0" applyNumberFormat="1" applyProtection="1">
      <protection locked="0"/>
    </xf>
    <xf numFmtId="182" fontId="0" fillId="0" borderId="1" xfId="2" applyNumberFormat="1" applyFont="1" applyBorder="1" applyProtection="1">
      <protection locked="0"/>
    </xf>
    <xf numFmtId="182" fontId="0" fillId="0" borderId="1" xfId="0" applyNumberFormat="1" applyBorder="1" applyProtection="1">
      <protection locked="0"/>
    </xf>
    <xf numFmtId="182" fontId="0" fillId="0" borderId="0" xfId="3" applyNumberFormat="1" applyFont="1" applyProtection="1">
      <protection locked="0"/>
    </xf>
    <xf numFmtId="166" fontId="0" fillId="0" borderId="8" xfId="2" applyNumberFormat="1" applyFont="1" applyBorder="1" applyProtection="1">
      <protection locked="0"/>
    </xf>
    <xf numFmtId="3" fontId="0" fillId="0" borderId="8" xfId="0" applyNumberFormat="1" applyBorder="1" applyProtection="1">
      <protection locked="0"/>
    </xf>
    <xf numFmtId="182" fontId="0" fillId="0" borderId="3" xfId="3" applyNumberFormat="1" applyFont="1" applyBorder="1" applyProtection="1">
      <protection locked="0"/>
    </xf>
    <xf numFmtId="182" fontId="0" fillId="0" borderId="4" xfId="3" applyNumberFormat="1" applyFont="1" applyBorder="1" applyProtection="1">
      <protection locked="0"/>
    </xf>
    <xf numFmtId="182" fontId="0" fillId="0" borderId="4" xfId="0" applyNumberFormat="1" applyBorder="1" applyProtection="1">
      <protection locked="0"/>
    </xf>
    <xf numFmtId="182" fontId="0" fillId="0" borderId="4" xfId="0" applyNumberFormat="1" applyBorder="1"/>
    <xf numFmtId="182" fontId="0" fillId="0" borderId="2" xfId="0" applyNumberFormat="1" applyBorder="1" applyAlignment="1" applyProtection="1">
      <alignment horizontal="right"/>
      <protection locked="0"/>
    </xf>
    <xf numFmtId="44" fontId="0" fillId="0" borderId="4" xfId="3" applyFont="1" applyBorder="1" applyProtection="1">
      <protection locked="0"/>
    </xf>
    <xf numFmtId="0" fontId="0" fillId="0" borderId="4" xfId="0" applyBorder="1"/>
    <xf numFmtId="0" fontId="0" fillId="0" borderId="2" xfId="0" applyBorder="1" applyAlignment="1" applyProtection="1">
      <alignment horizontal="right"/>
      <protection locked="0"/>
    </xf>
    <xf numFmtId="278" fontId="0" fillId="0" borderId="8" xfId="0" applyNumberFormat="1" applyBorder="1" applyProtection="1">
      <protection locked="0"/>
    </xf>
    <xf numFmtId="0" fontId="0" fillId="0" borderId="37" xfId="0" applyBorder="1" applyProtection="1">
      <protection locked="0"/>
    </xf>
    <xf numFmtId="0" fontId="1" fillId="0" borderId="0" xfId="0" applyFont="1" applyAlignment="1">
      <alignment shrinkToFit="1"/>
    </xf>
    <xf numFmtId="0" fontId="0" fillId="0" borderId="0" xfId="0" applyAlignment="1"/>
    <xf numFmtId="0" fontId="6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0" fontId="15" fillId="0" borderId="0" xfId="0" applyFont="1" applyBorder="1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23" fillId="0" borderId="0" xfId="0" applyFont="1" applyBorder="1" applyAlignment="1" applyProtection="1">
      <alignment wrapText="1"/>
    </xf>
    <xf numFmtId="3" fontId="15" fillId="0" borderId="0" xfId="0" applyNumberFormat="1" applyFont="1" applyAlignment="1" applyProtection="1">
      <alignment wrapText="1"/>
    </xf>
    <xf numFmtId="0" fontId="16" fillId="4" borderId="39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5" fillId="0" borderId="0" xfId="0" applyFont="1" applyBorder="1" applyAlignment="1" applyProtection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67" xfId="0" applyBorder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6">
    <cellStyle name="Comma" xfId="2" builtinId="3"/>
    <cellStyle name="Currency" xfId="3" builtinId="4"/>
    <cellStyle name="Normal" xfId="0" builtinId="0"/>
    <cellStyle name="Normal_YUCATAN5" xfId="4"/>
    <cellStyle name="Percent" xfId="5" builtinId="5"/>
    <cellStyle name="RowLevel_2" xfId="1" builtinId="1" iLevel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15</xdr:row>
          <xdr:rowOff>121920</xdr:rowOff>
        </xdr:from>
        <xdr:to>
          <xdr:col>5</xdr:col>
          <xdr:colOff>419100</xdr:colOff>
          <xdr:row>21</xdr:row>
          <xdr:rowOff>60960</xdr:rowOff>
        </xdr:to>
        <xdr:sp macro="" textlink="">
          <xdr:nvSpPr>
            <xdr:cNvPr id="1026" name="Image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533400</xdr:colOff>
      <xdr:row>3</xdr:row>
      <xdr:rowOff>7620</xdr:rowOff>
    </xdr:from>
    <xdr:to>
      <xdr:col>7</xdr:col>
      <xdr:colOff>76200</xdr:colOff>
      <xdr:row>26</xdr:row>
      <xdr:rowOff>99060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71500"/>
          <a:ext cx="3810000" cy="39471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441960</xdr:colOff>
      <xdr:row>13</xdr:row>
      <xdr:rowOff>60960</xdr:rowOff>
    </xdr:from>
    <xdr:to>
      <xdr:col>5</xdr:col>
      <xdr:colOff>480060</xdr:colOff>
      <xdr:row>14</xdr:row>
      <xdr:rowOff>38100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2880360" y="2301240"/>
          <a:ext cx="647700" cy="144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Lakefield</a:t>
          </a:r>
        </a:p>
      </xdr:txBody>
    </xdr:sp>
    <xdr:clientData/>
  </xdr:twoCellAnchor>
  <xdr:twoCellAnchor>
    <xdr:from>
      <xdr:col>4</xdr:col>
      <xdr:colOff>114300</xdr:colOff>
      <xdr:row>14</xdr:row>
      <xdr:rowOff>0</xdr:rowOff>
    </xdr:from>
    <xdr:to>
      <xdr:col>4</xdr:col>
      <xdr:colOff>411480</xdr:colOff>
      <xdr:row>14</xdr:row>
      <xdr:rowOff>99060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H="1">
          <a:off x="2552700" y="2407920"/>
          <a:ext cx="297180" cy="99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innesota/OMPEAKERS8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Scope"/>
      <sheetName val="Summary"/>
      <sheetName val="Assumptions"/>
      <sheetName val="Mob"/>
      <sheetName val="MobStaff"/>
      <sheetName val="Cap Spares"/>
      <sheetName val="MobBackup"/>
      <sheetName val="ComOps"/>
      <sheetName val="OpStaff"/>
      <sheetName val="CommOpsBackup"/>
      <sheetName val="W501D5"/>
      <sheetName val="W501D5A"/>
      <sheetName val="GE7EA"/>
      <sheetName val="GE7E"/>
      <sheetName val="GE7B"/>
      <sheetName val="Schedule"/>
      <sheetName val="MobWS"/>
      <sheetName val="OpsWS"/>
      <sheetName val="ScopeSplit"/>
      <sheetName val="Training"/>
    </sheetNames>
    <sheetDataSet>
      <sheetData sheetId="0"/>
      <sheetData sheetId="1"/>
      <sheetData sheetId="2"/>
      <sheetData sheetId="3"/>
      <sheetData sheetId="4"/>
      <sheetData sheetId="5">
        <row r="44">
          <cell r="C44">
            <v>0.1434</v>
          </cell>
          <cell r="D44">
            <v>7.7799999999999994E-2</v>
          </cell>
          <cell r="F44">
            <v>440.66</v>
          </cell>
          <cell r="G44">
            <v>0.01</v>
          </cell>
          <cell r="H44">
            <v>0.05</v>
          </cell>
        </row>
        <row r="47">
          <cell r="B47">
            <v>38.46153846153846</v>
          </cell>
        </row>
        <row r="48">
          <cell r="B48">
            <v>25</v>
          </cell>
        </row>
        <row r="49">
          <cell r="B49">
            <v>12.25</v>
          </cell>
        </row>
        <row r="51">
          <cell r="B51">
            <v>26.442307692307693</v>
          </cell>
        </row>
        <row r="62">
          <cell r="F62">
            <v>0</v>
          </cell>
          <cell r="H6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233"/>
  <sheetViews>
    <sheetView zoomScaleNormal="25" zoomScaleSheetLayoutView="75" workbookViewId="0">
      <selection activeCell="F28" sqref="F28"/>
    </sheetView>
  </sheetViews>
  <sheetFormatPr defaultRowHeight="13.2"/>
  <cols>
    <col min="6" max="6" width="13" customWidth="1"/>
  </cols>
  <sheetData>
    <row r="1" spans="1:22" ht="15.6">
      <c r="A1" s="103" t="str">
        <f>Scope!A1</f>
        <v>Santee Cooper 5 x LM6000 PC Power Project (236 MW)</v>
      </c>
      <c r="B1" s="15"/>
      <c r="C1" s="15"/>
      <c r="D1" s="15"/>
      <c r="E1" s="15"/>
      <c r="F1" s="15"/>
      <c r="G1" s="1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6">
      <c r="A2" s="33" t="s">
        <v>181</v>
      </c>
      <c r="B2" s="15"/>
      <c r="C2" s="15"/>
      <c r="D2" s="15"/>
      <c r="E2" s="15"/>
      <c r="F2" s="15"/>
      <c r="G2" s="1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6">
      <c r="A3" s="33" t="s">
        <v>182</v>
      </c>
      <c r="B3" s="15"/>
      <c r="C3" s="15"/>
      <c r="D3" s="15"/>
      <c r="E3" s="15"/>
      <c r="F3" s="15"/>
      <c r="G3" s="1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43"/>
      <c r="B4" s="43"/>
      <c r="C4" s="43"/>
      <c r="D4" s="43"/>
      <c r="E4" s="43"/>
      <c r="F4" s="43"/>
      <c r="G4" s="4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43"/>
      <c r="B5" s="43"/>
      <c r="C5" s="43"/>
      <c r="D5" s="43"/>
      <c r="E5" s="43"/>
      <c r="F5" s="43"/>
      <c r="G5" s="4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>
      <c r="A7" s="44" t="s">
        <v>182</v>
      </c>
      <c r="B7" s="43"/>
      <c r="C7" s="43"/>
      <c r="D7" s="43"/>
      <c r="F7" s="43"/>
      <c r="G7" s="73">
        <f>MAX(G4:G6)+1</f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>
      <c r="A8" s="43"/>
      <c r="B8" s="43"/>
      <c r="C8" s="43"/>
      <c r="D8" s="43"/>
      <c r="E8" s="43"/>
      <c r="F8" s="43"/>
      <c r="G8" s="7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s="44" t="s">
        <v>183</v>
      </c>
      <c r="B9" s="43"/>
      <c r="C9" s="43"/>
      <c r="D9" s="43"/>
      <c r="E9" s="43"/>
      <c r="F9" s="43"/>
      <c r="G9" s="7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>
      <c r="B10" s="438" t="str">
        <f>Scope!$A$2</f>
        <v>Project Scope Description</v>
      </c>
      <c r="C10" s="43"/>
      <c r="D10" s="43"/>
      <c r="F10" s="43"/>
      <c r="G10" s="73">
        <f t="shared" ref="G10:G30" si="0">MAX(G7:G9)+1</f>
        <v>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>
      <c r="A11" s="44"/>
      <c r="B11" s="438" t="str">
        <f>Assumptions!$A$2</f>
        <v>List of Assumptions</v>
      </c>
      <c r="C11" s="43"/>
      <c r="D11" s="43"/>
      <c r="F11" s="43"/>
      <c r="G11" s="73">
        <f t="shared" si="0"/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>
      <c r="A12" s="44"/>
      <c r="B12" s="44" t="str">
        <f>Map!$A$2</f>
        <v>Map</v>
      </c>
      <c r="C12" s="43"/>
      <c r="D12" s="43"/>
      <c r="F12" s="43"/>
      <c r="G12" s="73">
        <f t="shared" si="0"/>
        <v>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44"/>
      <c r="B13" s="44"/>
      <c r="C13" s="43"/>
      <c r="D13" s="43"/>
      <c r="F13" s="43"/>
      <c r="G13" s="7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38" t="str">
        <f>Summary!$A$2</f>
        <v>Summary - Operations &amp; Maintenance Cost Estimate</v>
      </c>
      <c r="B14" s="44"/>
      <c r="C14" s="43"/>
      <c r="D14" s="43"/>
      <c r="E14" s="43"/>
      <c r="F14" s="43"/>
      <c r="G14" s="73">
        <f t="shared" si="0"/>
        <v>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43"/>
      <c r="C15" s="43"/>
      <c r="D15" s="43"/>
      <c r="E15" s="43"/>
      <c r="F15" s="43"/>
      <c r="G15" s="7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438" t="str">
        <f>Mob_Estimate!$A$2</f>
        <v>O&amp;M Pre-Mobilization / Mobilization Cost Estimate</v>
      </c>
      <c r="C16" s="43"/>
      <c r="D16" s="43"/>
      <c r="E16" s="43"/>
      <c r="F16" s="43"/>
      <c r="G16" s="73">
        <f>MAX(G7:G15)+1</f>
        <v>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44"/>
      <c r="B17" s="91" t="str">
        <f>Mob_Schedule!$A$2</f>
        <v>Staff Mobilization Schedule</v>
      </c>
      <c r="C17" s="43"/>
      <c r="D17" s="43"/>
      <c r="E17" s="43"/>
      <c r="F17" s="43"/>
      <c r="G17" s="73">
        <f>MAX(G15:G16)+1</f>
        <v>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44"/>
      <c r="B18" s="91" t="str">
        <f>MobStaff!$A$2</f>
        <v>O&amp;M Mobilization Staffing Plan</v>
      </c>
      <c r="C18" s="43"/>
      <c r="D18" s="43"/>
      <c r="E18" s="43"/>
      <c r="F18" s="43"/>
      <c r="G18" s="73">
        <f t="shared" si="0"/>
        <v>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s="44"/>
      <c r="B19" s="91" t="str">
        <f>Training!$A$2</f>
        <v>Training Program</v>
      </c>
      <c r="C19" s="43"/>
      <c r="D19" s="43"/>
      <c r="E19" s="43"/>
      <c r="F19" s="43"/>
      <c r="G19" s="73">
        <f t="shared" si="0"/>
        <v>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44"/>
      <c r="B20" s="91" t="str">
        <f>ScopeSplit!$A$2</f>
        <v>Turnkey/O&amp;M/Owner Scope Split</v>
      </c>
      <c r="C20" s="43"/>
      <c r="D20" s="43"/>
      <c r="E20" s="43"/>
      <c r="F20" s="43"/>
      <c r="G20" s="73">
        <f t="shared" si="0"/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s="44"/>
      <c r="B21" s="91" t="str">
        <f>'Owner''s Engineer'!$A$2</f>
        <v>Owners' Engineer Cost Estimate</v>
      </c>
      <c r="C21" s="43"/>
      <c r="D21" s="43"/>
      <c r="E21" s="43"/>
      <c r="F21" s="43"/>
      <c r="G21" s="73">
        <f>MAX(G18:G20)+2</f>
        <v>12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>
      <c r="A22" s="44"/>
      <c r="B22" s="625" t="str">
        <f>Mob_Backup!$E$4</f>
        <v>O&amp;M Pre-Mobilization / Mobilization Estimate Backup/Detail</v>
      </c>
      <c r="C22" s="626"/>
      <c r="D22" s="626"/>
      <c r="E22" s="626"/>
      <c r="F22" s="626"/>
      <c r="G22" s="73">
        <f t="shared" si="0"/>
        <v>13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44"/>
      <c r="B23" s="91"/>
      <c r="C23" s="43"/>
      <c r="D23" s="43"/>
      <c r="E23" s="43"/>
      <c r="F23" s="43"/>
      <c r="G23" s="7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>
      <c r="A24" s="438" t="str">
        <f>'O&amp;M_Estimate'!$A$2</f>
        <v>Commercial Operations O&amp;M Estimate</v>
      </c>
      <c r="C24" s="43"/>
      <c r="D24" s="43"/>
      <c r="E24" s="43"/>
      <c r="F24" s="43"/>
      <c r="G24" s="73">
        <f>MAX(G21:G23)+5</f>
        <v>18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>
      <c r="A25" s="44"/>
      <c r="B25" s="91" t="str">
        <f>Ops_Staff!$A$2</f>
        <v>Staffing Plan</v>
      </c>
      <c r="C25" s="43"/>
      <c r="D25" s="43"/>
      <c r="E25" s="43"/>
      <c r="F25" s="43"/>
      <c r="G25" s="73">
        <f t="shared" si="0"/>
        <v>19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>
      <c r="A26" s="44"/>
      <c r="B26" s="91" t="str">
        <f>'O&amp;M_Backup'!$A$4</f>
        <v>O&amp;M Estimate Backup/Detail</v>
      </c>
      <c r="C26" s="43"/>
      <c r="D26" s="43"/>
      <c r="E26" s="43"/>
      <c r="F26" s="43"/>
      <c r="G26" s="73">
        <f>MAX(G25:G25)+1</f>
        <v>20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44"/>
      <c r="B27" s="91"/>
      <c r="C27" s="43"/>
      <c r="D27" s="43"/>
      <c r="E27" s="43"/>
      <c r="F27" s="43"/>
      <c r="G27" s="7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>
      <c r="A28" s="44" t="s">
        <v>210</v>
      </c>
      <c r="C28" s="43"/>
      <c r="D28" s="43"/>
      <c r="E28" s="43"/>
      <c r="F28" s="43"/>
      <c r="G28" s="7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>
      <c r="A29" s="44"/>
      <c r="B29" s="554" t="str">
        <f>'Cap Spares'!$A$2</f>
        <v>Capital &amp; Operational Spares</v>
      </c>
      <c r="C29" s="43"/>
      <c r="D29" s="43"/>
      <c r="E29" s="43"/>
      <c r="F29" s="43"/>
      <c r="G29" s="73">
        <f>MAX(G26:G28)+5</f>
        <v>25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>
      <c r="A30" s="43"/>
      <c r="B30" s="44" t="s">
        <v>212</v>
      </c>
      <c r="C30" s="43"/>
      <c r="D30" s="43"/>
      <c r="E30" s="43"/>
      <c r="F30" s="43"/>
      <c r="G30" s="73">
        <f t="shared" si="0"/>
        <v>26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>
      <c r="A31" s="43"/>
      <c r="B31" s="44"/>
      <c r="C31" s="43"/>
      <c r="D31" s="43"/>
      <c r="E31" s="43"/>
      <c r="F31" s="43"/>
      <c r="G31" s="7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</sheetData>
  <mergeCells count="1">
    <mergeCell ref="B22:F22"/>
  </mergeCells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L76"/>
  <sheetViews>
    <sheetView topLeftCell="A23" zoomScale="75" zoomScaleNormal="25" zoomScaleSheetLayoutView="100" workbookViewId="0">
      <selection activeCell="B73" sqref="B73"/>
    </sheetView>
  </sheetViews>
  <sheetFormatPr defaultRowHeight="13.2"/>
  <cols>
    <col min="8" max="9" width="11" customWidth="1"/>
    <col min="10" max="10" width="7.33203125" customWidth="1"/>
    <col min="11" max="11" width="10.33203125" customWidth="1"/>
  </cols>
  <sheetData>
    <row r="1" spans="1:12" s="93" customFormat="1" ht="15.6">
      <c r="A1" s="182" t="str">
        <f>Scope!A1</f>
        <v>Santee Cooper 5 x LM6000 PC Power Project (236 MW)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s="93" customFormat="1" ht="15.6">
      <c r="A2" s="136" t="s">
        <v>204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4" spans="1:12">
      <c r="I4" s="91"/>
    </row>
    <row r="5" spans="1:12" ht="13.8" thickBot="1">
      <c r="I5" s="441" t="s">
        <v>377</v>
      </c>
    </row>
    <row r="6" spans="1:12">
      <c r="I6" s="442"/>
    </row>
    <row r="7" spans="1:12">
      <c r="A7" s="91" t="s">
        <v>477</v>
      </c>
    </row>
    <row r="8" spans="1:12">
      <c r="B8" t="s">
        <v>478</v>
      </c>
      <c r="I8" s="443">
        <f>1/5</f>
        <v>0.2</v>
      </c>
      <c r="K8" t="s">
        <v>479</v>
      </c>
      <c r="L8" t="s">
        <v>480</v>
      </c>
    </row>
    <row r="9" spans="1:12">
      <c r="B9" t="s">
        <v>481</v>
      </c>
      <c r="I9" s="443">
        <f>1/5</f>
        <v>0.2</v>
      </c>
      <c r="K9" t="s">
        <v>479</v>
      </c>
      <c r="L9" t="s">
        <v>480</v>
      </c>
    </row>
    <row r="10" spans="1:12">
      <c r="B10" t="s">
        <v>482</v>
      </c>
      <c r="I10" s="443">
        <f>20/5</f>
        <v>4</v>
      </c>
      <c r="K10" t="s">
        <v>479</v>
      </c>
      <c r="L10" t="s">
        <v>480</v>
      </c>
    </row>
    <row r="11" spans="1:12">
      <c r="I11" s="443"/>
    </row>
    <row r="12" spans="1:12">
      <c r="I12" s="443"/>
    </row>
    <row r="13" spans="1:12">
      <c r="A13" s="91" t="s">
        <v>1052</v>
      </c>
      <c r="I13" s="443"/>
    </row>
    <row r="14" spans="1:12">
      <c r="A14" s="91"/>
      <c r="B14" t="s">
        <v>483</v>
      </c>
      <c r="I14" s="443">
        <f>1/5</f>
        <v>0.2</v>
      </c>
      <c r="K14" t="s">
        <v>479</v>
      </c>
      <c r="L14" t="s">
        <v>480</v>
      </c>
    </row>
    <row r="15" spans="1:12">
      <c r="A15" s="91"/>
      <c r="B15" t="s">
        <v>484</v>
      </c>
      <c r="I15" s="443">
        <f>1/5</f>
        <v>0.2</v>
      </c>
      <c r="K15" t="s">
        <v>479</v>
      </c>
      <c r="L15" t="s">
        <v>480</v>
      </c>
    </row>
    <row r="16" spans="1:12" hidden="1">
      <c r="A16" s="91"/>
      <c r="B16" t="s">
        <v>485</v>
      </c>
      <c r="I16" s="443">
        <v>0</v>
      </c>
      <c r="K16" t="s">
        <v>479</v>
      </c>
      <c r="L16" t="s">
        <v>973</v>
      </c>
    </row>
    <row r="17" spans="1:12" hidden="1">
      <c r="A17" s="91"/>
      <c r="B17" t="s">
        <v>486</v>
      </c>
      <c r="I17" s="443">
        <v>0</v>
      </c>
      <c r="K17" t="s">
        <v>479</v>
      </c>
      <c r="L17" t="s">
        <v>973</v>
      </c>
    </row>
    <row r="18" spans="1:12">
      <c r="A18" s="91"/>
      <c r="I18" s="443"/>
    </row>
    <row r="19" spans="1:12">
      <c r="A19" s="91" t="s">
        <v>487</v>
      </c>
      <c r="I19" s="443"/>
    </row>
    <row r="20" spans="1:12">
      <c r="A20" s="91"/>
      <c r="B20" t="s">
        <v>488</v>
      </c>
      <c r="I20" s="443">
        <f>5/5</f>
        <v>1</v>
      </c>
      <c r="K20" t="s">
        <v>479</v>
      </c>
      <c r="L20" t="s">
        <v>480</v>
      </c>
    </row>
    <row r="21" spans="1:12" hidden="1">
      <c r="B21" t="s">
        <v>523</v>
      </c>
      <c r="I21" s="443">
        <v>0</v>
      </c>
      <c r="K21" t="s">
        <v>479</v>
      </c>
      <c r="L21" t="s">
        <v>973</v>
      </c>
    </row>
    <row r="22" spans="1:12" hidden="1">
      <c r="B22" t="s">
        <v>524</v>
      </c>
      <c r="I22" s="443">
        <v>0</v>
      </c>
      <c r="K22" t="s">
        <v>479</v>
      </c>
      <c r="L22" t="s">
        <v>973</v>
      </c>
    </row>
    <row r="23" spans="1:12">
      <c r="I23" s="443"/>
    </row>
    <row r="24" spans="1:12">
      <c r="I24" s="444"/>
    </row>
    <row r="25" spans="1:12">
      <c r="A25" s="91" t="s">
        <v>525</v>
      </c>
      <c r="I25" s="444"/>
    </row>
    <row r="26" spans="1:12" hidden="1">
      <c r="B26" t="s">
        <v>526</v>
      </c>
      <c r="K26" t="s">
        <v>479</v>
      </c>
      <c r="L26" t="s">
        <v>973</v>
      </c>
    </row>
    <row r="27" spans="1:12" hidden="1">
      <c r="B27" t="s">
        <v>527</v>
      </c>
      <c r="I27" s="443" t="s">
        <v>606</v>
      </c>
      <c r="K27" t="s">
        <v>479</v>
      </c>
      <c r="L27" t="s">
        <v>973</v>
      </c>
    </row>
    <row r="28" spans="1:12">
      <c r="B28" t="s">
        <v>528</v>
      </c>
      <c r="I28" s="445" t="s">
        <v>606</v>
      </c>
      <c r="K28" t="s">
        <v>479</v>
      </c>
      <c r="L28" t="s">
        <v>480</v>
      </c>
    </row>
    <row r="29" spans="1:12">
      <c r="I29" s="443">
        <f>1/5</f>
        <v>0.2</v>
      </c>
    </row>
    <row r="30" spans="1:12">
      <c r="I30" s="443"/>
    </row>
    <row r="31" spans="1:12">
      <c r="I31" s="443"/>
    </row>
    <row r="32" spans="1:12">
      <c r="A32" s="91" t="s">
        <v>529</v>
      </c>
      <c r="I32" s="443"/>
    </row>
    <row r="33" spans="1:12">
      <c r="B33" t="s">
        <v>530</v>
      </c>
      <c r="I33" s="443"/>
      <c r="K33" t="s">
        <v>479</v>
      </c>
      <c r="L33" t="s">
        <v>480</v>
      </c>
    </row>
    <row r="34" spans="1:12" hidden="1">
      <c r="B34" t="s">
        <v>531</v>
      </c>
      <c r="I34" s="443" t="s">
        <v>606</v>
      </c>
      <c r="K34" t="s">
        <v>479</v>
      </c>
      <c r="L34" t="s">
        <v>973</v>
      </c>
    </row>
    <row r="35" spans="1:12">
      <c r="B35" t="s">
        <v>564</v>
      </c>
      <c r="I35" s="444" t="s">
        <v>606</v>
      </c>
      <c r="K35" t="s">
        <v>479</v>
      </c>
      <c r="L35" t="s">
        <v>480</v>
      </c>
    </row>
    <row r="36" spans="1:12">
      <c r="I36" s="443">
        <f>3/5</f>
        <v>0.6</v>
      </c>
    </row>
    <row r="37" spans="1:12">
      <c r="I37" s="443"/>
    </row>
    <row r="38" spans="1:12">
      <c r="A38" s="91" t="s">
        <v>532</v>
      </c>
      <c r="I38" s="443"/>
    </row>
    <row r="39" spans="1:12" hidden="1">
      <c r="B39" t="s">
        <v>533</v>
      </c>
      <c r="I39" s="443">
        <v>0</v>
      </c>
      <c r="K39" t="s">
        <v>479</v>
      </c>
      <c r="L39" t="s">
        <v>973</v>
      </c>
    </row>
    <row r="40" spans="1:12" hidden="1">
      <c r="B40" t="s">
        <v>534</v>
      </c>
      <c r="I40" s="445">
        <v>0</v>
      </c>
      <c r="K40" t="s">
        <v>479</v>
      </c>
      <c r="L40" t="s">
        <v>973</v>
      </c>
    </row>
    <row r="41" spans="1:12">
      <c r="B41" t="s">
        <v>535</v>
      </c>
      <c r="I41" s="445">
        <f>5/5</f>
        <v>1</v>
      </c>
      <c r="K41" t="s">
        <v>479</v>
      </c>
      <c r="L41" t="s">
        <v>480</v>
      </c>
    </row>
    <row r="42" spans="1:12">
      <c r="I42" s="443"/>
    </row>
    <row r="43" spans="1:12">
      <c r="I43" s="443"/>
    </row>
    <row r="44" spans="1:12">
      <c r="A44" s="91" t="s">
        <v>536</v>
      </c>
      <c r="I44" s="443"/>
    </row>
    <row r="45" spans="1:12">
      <c r="B45" t="s">
        <v>537</v>
      </c>
      <c r="I45" s="443">
        <f>1/5</f>
        <v>0.2</v>
      </c>
      <c r="K45" t="s">
        <v>479</v>
      </c>
      <c r="L45" t="s">
        <v>480</v>
      </c>
    </row>
    <row r="46" spans="1:12" hidden="1">
      <c r="B46" t="s">
        <v>538</v>
      </c>
      <c r="I46" s="443">
        <v>0</v>
      </c>
      <c r="K46" t="s">
        <v>479</v>
      </c>
      <c r="L46" t="s">
        <v>973</v>
      </c>
    </row>
    <row r="47" spans="1:12">
      <c r="B47" t="s">
        <v>539</v>
      </c>
      <c r="I47" s="443">
        <f>1/5</f>
        <v>0.2</v>
      </c>
      <c r="K47" t="s">
        <v>479</v>
      </c>
      <c r="L47" t="s">
        <v>480</v>
      </c>
    </row>
    <row r="48" spans="1:12">
      <c r="B48" t="s">
        <v>540</v>
      </c>
      <c r="I48" s="445">
        <f>1/5</f>
        <v>0.2</v>
      </c>
      <c r="K48" t="s">
        <v>479</v>
      </c>
      <c r="L48" t="s">
        <v>480</v>
      </c>
    </row>
    <row r="49" spans="1:12">
      <c r="B49" t="s">
        <v>541</v>
      </c>
      <c r="I49">
        <f>1/5</f>
        <v>0.2</v>
      </c>
      <c r="K49" t="s">
        <v>479</v>
      </c>
      <c r="L49" t="s">
        <v>480</v>
      </c>
    </row>
    <row r="52" spans="1:12" ht="13.8" thickBot="1">
      <c r="I52" s="446"/>
      <c r="J52" s="447"/>
      <c r="K52" s="206"/>
    </row>
    <row r="53" spans="1:12">
      <c r="A53" s="91" t="s">
        <v>542</v>
      </c>
      <c r="I53" s="443">
        <f>SUM(I8:I49)</f>
        <v>8.3999999999999986</v>
      </c>
      <c r="J53" s="447"/>
      <c r="K53" s="447"/>
    </row>
    <row r="54" spans="1:12">
      <c r="I54" s="443"/>
      <c r="J54" s="443"/>
      <c r="K54" s="206"/>
    </row>
    <row r="55" spans="1:12">
      <c r="I55" s="443"/>
      <c r="J55" s="443"/>
      <c r="K55" s="206"/>
    </row>
    <row r="56" spans="1:12">
      <c r="A56" t="s">
        <v>543</v>
      </c>
      <c r="I56" s="448">
        <v>12800</v>
      </c>
      <c r="J56" s="443"/>
      <c r="K56" s="206"/>
    </row>
    <row r="57" spans="1:12">
      <c r="A57" t="s">
        <v>544</v>
      </c>
      <c r="I57" s="448">
        <v>48000</v>
      </c>
      <c r="J57" s="443"/>
      <c r="K57" s="449"/>
    </row>
    <row r="58" spans="1:12">
      <c r="A58" t="s">
        <v>545</v>
      </c>
      <c r="I58" s="448">
        <v>148000</v>
      </c>
      <c r="J58" s="443"/>
      <c r="K58" s="449"/>
    </row>
    <row r="59" spans="1:12">
      <c r="A59" t="s">
        <v>546</v>
      </c>
      <c r="I59" s="448">
        <v>26180</v>
      </c>
      <c r="J59" s="443"/>
      <c r="K59" s="449"/>
    </row>
    <row r="60" spans="1:12">
      <c r="A60" t="s">
        <v>547</v>
      </c>
      <c r="I60" s="448">
        <v>96800</v>
      </c>
      <c r="J60" s="443"/>
      <c r="K60" s="206"/>
    </row>
    <row r="61" spans="1:12">
      <c r="A61" t="s">
        <v>548</v>
      </c>
      <c r="I61" s="450">
        <v>60000</v>
      </c>
      <c r="J61" s="443"/>
      <c r="K61" s="206"/>
    </row>
    <row r="62" spans="1:12">
      <c r="A62" t="s">
        <v>549</v>
      </c>
      <c r="I62" s="448">
        <v>48251</v>
      </c>
      <c r="J62" s="443"/>
      <c r="K62" s="451"/>
    </row>
    <row r="63" spans="1:12">
      <c r="I63" s="443"/>
      <c r="J63" s="443"/>
      <c r="K63" s="452"/>
    </row>
    <row r="64" spans="1:12">
      <c r="A64" s="91" t="s">
        <v>550</v>
      </c>
      <c r="I64" s="448">
        <f>SUM(I56:I63)</f>
        <v>440031</v>
      </c>
      <c r="J64" s="447"/>
      <c r="K64" s="206">
        <f>SUM(K56:K62)+K53</f>
        <v>0</v>
      </c>
    </row>
    <row r="66" spans="1:10">
      <c r="A66" s="91" t="s">
        <v>551</v>
      </c>
      <c r="B66" s="91"/>
      <c r="C66" s="91"/>
      <c r="D66" s="91"/>
      <c r="H66" s="137" t="s">
        <v>552</v>
      </c>
      <c r="I66" s="137" t="s">
        <v>553</v>
      </c>
      <c r="J66" s="137" t="s">
        <v>554</v>
      </c>
    </row>
    <row r="67" spans="1:10">
      <c r="G67" s="442" t="s">
        <v>555</v>
      </c>
      <c r="H67" s="442" t="s">
        <v>273</v>
      </c>
      <c r="I67" s="442" t="s">
        <v>273</v>
      </c>
      <c r="J67" s="442" t="s">
        <v>371</v>
      </c>
    </row>
    <row r="68" spans="1:10">
      <c r="A68" t="s">
        <v>556</v>
      </c>
      <c r="B68" t="s">
        <v>557</v>
      </c>
      <c r="G68">
        <v>1</v>
      </c>
      <c r="H68" t="s">
        <v>606</v>
      </c>
      <c r="I68" s="443" t="s">
        <v>606</v>
      </c>
      <c r="J68">
        <v>7</v>
      </c>
    </row>
    <row r="69" spans="1:10" hidden="1">
      <c r="A69" t="s">
        <v>558</v>
      </c>
      <c r="B69" t="s">
        <v>559</v>
      </c>
      <c r="G69">
        <v>4</v>
      </c>
      <c r="H69" s="443">
        <f>SUM(I53)</f>
        <v>8.3999999999999986</v>
      </c>
      <c r="I69" s="443" t="s">
        <v>606</v>
      </c>
      <c r="J69">
        <v>6</v>
      </c>
    </row>
    <row r="70" spans="1:10" hidden="1">
      <c r="A70" t="s">
        <v>560</v>
      </c>
      <c r="B70" t="s">
        <v>561</v>
      </c>
      <c r="G70">
        <v>0</v>
      </c>
      <c r="H70" t="s">
        <v>606</v>
      </c>
      <c r="I70" s="443" t="s">
        <v>606</v>
      </c>
      <c r="J70" t="s">
        <v>606</v>
      </c>
    </row>
    <row r="71" spans="1:10">
      <c r="A71" t="s">
        <v>558</v>
      </c>
      <c r="B71" t="s">
        <v>1406</v>
      </c>
      <c r="G71">
        <v>5</v>
      </c>
      <c r="H71" s="443">
        <f>SUM(I53)</f>
        <v>8.3999999999999986</v>
      </c>
      <c r="I71" s="443" t="s">
        <v>606</v>
      </c>
      <c r="J71">
        <v>4</v>
      </c>
    </row>
    <row r="72" spans="1:10" hidden="1">
      <c r="A72" t="s">
        <v>562</v>
      </c>
      <c r="B72" t="s">
        <v>563</v>
      </c>
      <c r="G72">
        <v>0</v>
      </c>
      <c r="H72" t="s">
        <v>606</v>
      </c>
      <c r="I72" s="443" t="s">
        <v>606</v>
      </c>
      <c r="J72">
        <v>4</v>
      </c>
    </row>
    <row r="73" spans="1:10">
      <c r="B73" t="s">
        <v>606</v>
      </c>
    </row>
    <row r="76" spans="1:10">
      <c r="A76" t="s">
        <v>379</v>
      </c>
    </row>
  </sheetData>
  <printOptions horizontalCentered="1"/>
  <pageMargins left="0.75" right="0.75" top="1" bottom="1" header="0.5" footer="0.5"/>
  <pageSetup scale="74" firstPageNumber="34" orientation="portrait" horizontalDpi="4294967292" verticalDpi="4294967292" r:id="rId1"/>
  <headerFooter alignWithMargins="0">
    <oddFooter>&amp;L&amp;12Richard Bickings
&amp;D&amp;CPage &amp;P&amp;R&amp;12&amp;F
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H122"/>
  <sheetViews>
    <sheetView zoomScale="75" zoomScaleNormal="25" zoomScaleSheetLayoutView="100" workbookViewId="0">
      <selection activeCell="B10" sqref="B10:K10"/>
    </sheetView>
  </sheetViews>
  <sheetFormatPr defaultRowHeight="13.2"/>
  <cols>
    <col min="1" max="1" width="45.88671875" customWidth="1"/>
    <col min="2" max="2" width="9" customWidth="1"/>
    <col min="3" max="4" width="9.5546875" customWidth="1"/>
    <col min="5" max="5" width="10" customWidth="1"/>
    <col min="6" max="6" width="30.6640625" customWidth="1"/>
    <col min="7" max="7" width="9.44140625" customWidth="1"/>
  </cols>
  <sheetData>
    <row r="1" spans="1:8" ht="15.6">
      <c r="A1" s="182" t="str">
        <f>Scope!A1</f>
        <v>Santee Cooper 5 x LM6000 PC Power Project (236 MW)</v>
      </c>
      <c r="B1" s="182"/>
      <c r="C1" s="182"/>
      <c r="D1" s="182"/>
      <c r="E1" s="182"/>
      <c r="F1" s="182"/>
      <c r="G1" s="90"/>
      <c r="H1" s="90"/>
    </row>
    <row r="2" spans="1:8" ht="15.6">
      <c r="A2" s="136" t="s">
        <v>380</v>
      </c>
      <c r="B2" s="136"/>
      <c r="C2" s="136"/>
      <c r="D2" s="136"/>
      <c r="E2" s="136"/>
      <c r="F2" s="136"/>
      <c r="G2" s="90"/>
      <c r="H2" s="90"/>
    </row>
    <row r="4" spans="1:8">
      <c r="C4" s="193" t="s">
        <v>381</v>
      </c>
    </row>
    <row r="5" spans="1:8">
      <c r="C5" s="194" t="s">
        <v>382</v>
      </c>
      <c r="D5" s="195" t="s">
        <v>383</v>
      </c>
      <c r="E5" s="194" t="s">
        <v>384</v>
      </c>
      <c r="F5" s="196" t="s">
        <v>385</v>
      </c>
      <c r="G5" s="167"/>
      <c r="H5" s="167"/>
    </row>
    <row r="6" spans="1:8">
      <c r="A6" s="91" t="s">
        <v>386</v>
      </c>
      <c r="B6" s="91"/>
      <c r="C6" s="232"/>
      <c r="D6" s="233"/>
      <c r="E6" s="232"/>
      <c r="F6" s="205"/>
    </row>
    <row r="7" spans="1:8">
      <c r="A7" s="91"/>
      <c r="B7" s="91"/>
      <c r="C7" s="232"/>
      <c r="D7" s="233"/>
      <c r="E7" s="232"/>
      <c r="F7" s="205"/>
    </row>
    <row r="8" spans="1:8">
      <c r="A8" t="s">
        <v>387</v>
      </c>
      <c r="C8" s="234"/>
      <c r="D8" s="235"/>
      <c r="E8" s="234"/>
      <c r="F8" s="205"/>
    </row>
    <row r="9" spans="1:8">
      <c r="A9" t="s">
        <v>388</v>
      </c>
      <c r="C9" s="234"/>
      <c r="D9" s="235"/>
      <c r="E9" s="234" t="s">
        <v>389</v>
      </c>
      <c r="F9" s="205"/>
    </row>
    <row r="10" spans="1:8">
      <c r="A10" t="s">
        <v>390</v>
      </c>
      <c r="C10" s="234"/>
      <c r="D10" s="234" t="s">
        <v>389</v>
      </c>
      <c r="E10" s="234"/>
      <c r="F10" s="205"/>
    </row>
    <row r="11" spans="1:8">
      <c r="A11" t="s">
        <v>391</v>
      </c>
      <c r="C11" s="234" t="s">
        <v>389</v>
      </c>
      <c r="D11" s="234"/>
      <c r="E11" s="234"/>
      <c r="F11" s="205"/>
    </row>
    <row r="12" spans="1:8">
      <c r="A12" t="s">
        <v>392</v>
      </c>
      <c r="C12" s="234"/>
      <c r="D12" s="234"/>
      <c r="E12" s="234"/>
      <c r="F12" s="205"/>
    </row>
    <row r="13" spans="1:8">
      <c r="A13" t="s">
        <v>388</v>
      </c>
      <c r="C13" s="234"/>
      <c r="D13" s="234"/>
      <c r="E13" s="234" t="s">
        <v>389</v>
      </c>
      <c r="F13" s="205"/>
    </row>
    <row r="14" spans="1:8">
      <c r="A14" t="s">
        <v>390</v>
      </c>
      <c r="C14" s="234"/>
      <c r="D14" s="234" t="s">
        <v>389</v>
      </c>
      <c r="E14" s="234"/>
      <c r="F14" s="205"/>
    </row>
    <row r="15" spans="1:8">
      <c r="A15" t="s">
        <v>391</v>
      </c>
      <c r="C15" s="234" t="s">
        <v>389</v>
      </c>
      <c r="D15" s="234"/>
      <c r="E15" s="234"/>
      <c r="F15" s="205"/>
    </row>
    <row r="16" spans="1:8">
      <c r="A16" t="s">
        <v>269</v>
      </c>
      <c r="C16" s="234"/>
      <c r="D16" s="234"/>
      <c r="E16" s="234"/>
      <c r="F16" s="205"/>
    </row>
    <row r="17" spans="1:6">
      <c r="A17" t="s">
        <v>393</v>
      </c>
      <c r="C17" s="234" t="s">
        <v>389</v>
      </c>
      <c r="D17" s="234"/>
      <c r="E17" s="234"/>
      <c r="F17" s="205"/>
    </row>
    <row r="18" spans="1:6">
      <c r="A18" t="s">
        <v>394</v>
      </c>
      <c r="C18" s="234" t="s">
        <v>389</v>
      </c>
      <c r="D18" s="234"/>
      <c r="E18" s="234"/>
      <c r="F18" s="205"/>
    </row>
    <row r="19" spans="1:6">
      <c r="A19" t="s">
        <v>395</v>
      </c>
      <c r="C19" s="234" t="s">
        <v>389</v>
      </c>
      <c r="D19" s="234"/>
      <c r="E19" s="234"/>
      <c r="F19" s="205"/>
    </row>
    <row r="20" spans="1:6">
      <c r="A20" t="s">
        <v>396</v>
      </c>
      <c r="C20" s="234"/>
      <c r="D20" s="234" t="s">
        <v>389</v>
      </c>
      <c r="E20" s="234"/>
      <c r="F20" s="205"/>
    </row>
    <row r="21" spans="1:6">
      <c r="A21" t="s">
        <v>397</v>
      </c>
      <c r="C21" s="234"/>
      <c r="D21" s="234" t="s">
        <v>389</v>
      </c>
      <c r="E21" s="234"/>
      <c r="F21" s="205"/>
    </row>
    <row r="22" spans="1:6">
      <c r="A22" t="s">
        <v>398</v>
      </c>
      <c r="C22" s="234"/>
      <c r="D22" s="234" t="s">
        <v>389</v>
      </c>
      <c r="E22" s="234"/>
      <c r="F22" s="205" t="s">
        <v>399</v>
      </c>
    </row>
    <row r="23" spans="1:6">
      <c r="A23" t="s">
        <v>400</v>
      </c>
      <c r="C23" s="234" t="s">
        <v>389</v>
      </c>
      <c r="D23" s="234"/>
      <c r="E23" s="234"/>
      <c r="F23" s="205" t="s">
        <v>401</v>
      </c>
    </row>
    <row r="24" spans="1:6">
      <c r="A24" t="s">
        <v>270</v>
      </c>
      <c r="C24" s="234"/>
      <c r="D24" s="234"/>
      <c r="E24" s="234"/>
      <c r="F24" s="205"/>
    </row>
    <row r="25" spans="1:6">
      <c r="A25" t="s">
        <v>390</v>
      </c>
      <c r="C25" s="234"/>
      <c r="D25" s="234" t="s">
        <v>389</v>
      </c>
      <c r="E25" s="234"/>
      <c r="F25" s="205"/>
    </row>
    <row r="26" spans="1:6">
      <c r="A26" t="s">
        <v>391</v>
      </c>
      <c r="C26" s="234" t="s">
        <v>389</v>
      </c>
      <c r="D26" s="234"/>
      <c r="E26" s="234"/>
      <c r="F26" s="205"/>
    </row>
    <row r="27" spans="1:6">
      <c r="A27" t="s">
        <v>402</v>
      </c>
      <c r="C27" s="234"/>
      <c r="D27" s="234"/>
      <c r="E27" s="234"/>
      <c r="F27" s="205"/>
    </row>
    <row r="28" spans="1:6">
      <c r="A28" t="s">
        <v>390</v>
      </c>
      <c r="C28" s="234"/>
      <c r="D28" s="234" t="s">
        <v>389</v>
      </c>
      <c r="E28" s="234"/>
      <c r="F28" s="205"/>
    </row>
    <row r="29" spans="1:6">
      <c r="A29" t="s">
        <v>403</v>
      </c>
      <c r="C29" s="234" t="s">
        <v>389</v>
      </c>
      <c r="D29" s="234"/>
      <c r="E29" s="234"/>
      <c r="F29" s="205"/>
    </row>
    <row r="30" spans="1:6">
      <c r="A30" t="s">
        <v>404</v>
      </c>
      <c r="C30" s="234"/>
      <c r="D30" s="234"/>
      <c r="E30" s="234"/>
      <c r="F30" s="205"/>
    </row>
    <row r="31" spans="1:6">
      <c r="A31" t="s">
        <v>405</v>
      </c>
      <c r="C31" s="234"/>
      <c r="D31" s="234" t="s">
        <v>389</v>
      </c>
      <c r="E31" s="234"/>
      <c r="F31" s="205"/>
    </row>
    <row r="32" spans="1:6">
      <c r="A32" t="s">
        <v>406</v>
      </c>
      <c r="C32" s="234" t="s">
        <v>389</v>
      </c>
      <c r="D32" s="234"/>
      <c r="E32" s="234"/>
      <c r="F32" s="205"/>
    </row>
    <row r="33" spans="1:6">
      <c r="A33" t="s">
        <v>407</v>
      </c>
      <c r="C33" s="234"/>
      <c r="D33" s="234"/>
      <c r="E33" s="234"/>
      <c r="F33" s="205"/>
    </row>
    <row r="34" spans="1:6">
      <c r="A34" t="s">
        <v>408</v>
      </c>
      <c r="C34" s="234" t="s">
        <v>389</v>
      </c>
      <c r="D34" s="234"/>
      <c r="E34" s="234"/>
      <c r="F34" s="205" t="s">
        <v>409</v>
      </c>
    </row>
    <row r="35" spans="1:6">
      <c r="A35" s="138" t="s">
        <v>410</v>
      </c>
      <c r="C35" s="234" t="s">
        <v>389</v>
      </c>
      <c r="D35" s="234"/>
      <c r="E35" s="234"/>
      <c r="F35" s="205" t="s">
        <v>409</v>
      </c>
    </row>
    <row r="36" spans="1:6">
      <c r="A36" t="s">
        <v>411</v>
      </c>
      <c r="C36" s="234" t="s">
        <v>389</v>
      </c>
      <c r="D36" s="234"/>
      <c r="E36" s="234"/>
      <c r="F36" s="205" t="s">
        <v>409</v>
      </c>
    </row>
    <row r="37" spans="1:6">
      <c r="A37" s="138" t="s">
        <v>412</v>
      </c>
      <c r="C37" s="234" t="s">
        <v>389</v>
      </c>
      <c r="D37" s="205"/>
      <c r="E37" s="234"/>
      <c r="F37" s="205" t="s">
        <v>409</v>
      </c>
    </row>
    <row r="38" spans="1:6">
      <c r="A38" t="s">
        <v>413</v>
      </c>
      <c r="C38" s="234"/>
      <c r="D38" s="234"/>
      <c r="E38" s="234"/>
      <c r="F38" s="205"/>
    </row>
    <row r="39" spans="1:6">
      <c r="A39" t="s">
        <v>414</v>
      </c>
      <c r="C39" s="234" t="s">
        <v>389</v>
      </c>
      <c r="D39" s="234"/>
      <c r="E39" s="234"/>
      <c r="F39" s="205" t="s">
        <v>415</v>
      </c>
    </row>
    <row r="40" spans="1:6">
      <c r="A40" t="s">
        <v>416</v>
      </c>
      <c r="C40" s="234"/>
      <c r="D40" s="234" t="s">
        <v>389</v>
      </c>
      <c r="E40" s="234"/>
      <c r="F40" s="205" t="s">
        <v>417</v>
      </c>
    </row>
    <row r="41" spans="1:6">
      <c r="A41" t="s">
        <v>418</v>
      </c>
      <c r="C41" s="234"/>
      <c r="D41" s="234"/>
      <c r="E41" s="234" t="s">
        <v>389</v>
      </c>
      <c r="F41" s="205" t="s">
        <v>417</v>
      </c>
    </row>
    <row r="42" spans="1:6">
      <c r="A42" t="s">
        <v>419</v>
      </c>
      <c r="C42" s="234"/>
      <c r="D42" s="234"/>
      <c r="E42" s="234"/>
      <c r="F42" s="205"/>
    </row>
    <row r="43" spans="1:6">
      <c r="A43" t="s">
        <v>420</v>
      </c>
      <c r="C43" s="234" t="s">
        <v>389</v>
      </c>
      <c r="D43" s="234"/>
      <c r="E43" s="234"/>
      <c r="F43" s="205"/>
    </row>
    <row r="44" spans="1:6">
      <c r="A44" t="s">
        <v>421</v>
      </c>
      <c r="C44" s="234" t="s">
        <v>389</v>
      </c>
      <c r="D44" s="234"/>
      <c r="E44" s="234"/>
      <c r="F44" s="205"/>
    </row>
    <row r="45" spans="1:6">
      <c r="A45" s="138" t="s">
        <v>422</v>
      </c>
      <c r="C45" s="234" t="s">
        <v>389</v>
      </c>
      <c r="D45" s="234"/>
      <c r="E45" s="234"/>
      <c r="F45" s="236" t="s">
        <v>423</v>
      </c>
    </row>
    <row r="46" spans="1:6">
      <c r="A46" t="s">
        <v>424</v>
      </c>
      <c r="C46" s="234" t="s">
        <v>389</v>
      </c>
      <c r="D46" s="234"/>
      <c r="E46" s="234"/>
      <c r="F46" s="236"/>
    </row>
    <row r="47" spans="1:6">
      <c r="A47" t="s">
        <v>425</v>
      </c>
      <c r="C47" s="234" t="s">
        <v>389</v>
      </c>
      <c r="D47" s="234"/>
      <c r="E47" s="234"/>
      <c r="F47" s="205"/>
    </row>
    <row r="48" spans="1:6">
      <c r="A48" t="s">
        <v>426</v>
      </c>
      <c r="C48" s="234"/>
      <c r="D48" s="234" t="s">
        <v>389</v>
      </c>
      <c r="E48" s="234"/>
      <c r="F48" s="205"/>
    </row>
    <row r="49" spans="1:6">
      <c r="A49" t="s">
        <v>427</v>
      </c>
      <c r="C49" s="234"/>
      <c r="D49" s="234" t="s">
        <v>389</v>
      </c>
      <c r="E49" s="234"/>
      <c r="F49" s="205"/>
    </row>
    <row r="50" spans="1:6">
      <c r="A50" s="138" t="s">
        <v>428</v>
      </c>
      <c r="C50" s="234" t="s">
        <v>389</v>
      </c>
      <c r="D50" s="234"/>
      <c r="E50" s="234"/>
      <c r="F50" s="236" t="s">
        <v>429</v>
      </c>
    </row>
    <row r="51" spans="1:6">
      <c r="A51" s="138" t="s">
        <v>430</v>
      </c>
      <c r="C51" s="234" t="s">
        <v>389</v>
      </c>
      <c r="D51" s="234"/>
      <c r="E51" s="205"/>
      <c r="F51" s="205" t="s">
        <v>431</v>
      </c>
    </row>
    <row r="52" spans="1:6">
      <c r="A52" s="138" t="s">
        <v>432</v>
      </c>
      <c r="C52" s="234"/>
      <c r="D52" s="234" t="s">
        <v>389</v>
      </c>
      <c r="E52" s="234"/>
      <c r="F52" s="205"/>
    </row>
    <row r="53" spans="1:6">
      <c r="A53" s="138" t="s">
        <v>433</v>
      </c>
      <c r="C53" s="205"/>
      <c r="D53" s="234"/>
      <c r="E53" s="234" t="s">
        <v>389</v>
      </c>
      <c r="F53" s="205"/>
    </row>
    <row r="54" spans="1:6">
      <c r="A54" s="138" t="s">
        <v>434</v>
      </c>
      <c r="C54" s="234" t="s">
        <v>389</v>
      </c>
      <c r="D54" s="234"/>
      <c r="E54" s="205"/>
      <c r="F54" s="205"/>
    </row>
    <row r="55" spans="1:6">
      <c r="A55" t="s">
        <v>435</v>
      </c>
      <c r="C55" s="234" t="s">
        <v>389</v>
      </c>
      <c r="D55" s="234"/>
      <c r="E55" s="234"/>
      <c r="F55" s="205"/>
    </row>
    <row r="56" spans="1:6">
      <c r="A56" t="s">
        <v>436</v>
      </c>
      <c r="C56" s="234" t="s">
        <v>389</v>
      </c>
      <c r="D56" s="234"/>
      <c r="E56" s="234"/>
      <c r="F56" s="205" t="s">
        <v>437</v>
      </c>
    </row>
    <row r="57" spans="1:6">
      <c r="A57" t="s">
        <v>438</v>
      </c>
      <c r="C57" s="234" t="s">
        <v>389</v>
      </c>
      <c r="D57" s="234"/>
      <c r="E57" s="234"/>
      <c r="F57" s="205"/>
    </row>
    <row r="58" spans="1:6">
      <c r="A58" t="s">
        <v>439</v>
      </c>
      <c r="C58" s="234" t="s">
        <v>389</v>
      </c>
      <c r="D58" s="234"/>
      <c r="E58" s="234"/>
      <c r="F58" s="205"/>
    </row>
    <row r="59" spans="1:6">
      <c r="C59" s="144"/>
      <c r="D59" s="144"/>
      <c r="E59" s="144"/>
    </row>
    <row r="60" spans="1:6">
      <c r="A60" t="s">
        <v>440</v>
      </c>
      <c r="C60" s="144"/>
      <c r="D60" s="144"/>
      <c r="E60" s="144"/>
    </row>
    <row r="61" spans="1:6">
      <c r="A61" t="s">
        <v>441</v>
      </c>
      <c r="C61" s="144"/>
      <c r="D61" s="144"/>
      <c r="E61" s="144"/>
    </row>
    <row r="62" spans="1:6">
      <c r="C62" s="193" t="s">
        <v>381</v>
      </c>
      <c r="D62" s="179"/>
      <c r="E62" s="179"/>
      <c r="F62" s="179"/>
    </row>
    <row r="63" spans="1:6">
      <c r="C63" s="228" t="s">
        <v>382</v>
      </c>
      <c r="D63" s="237" t="s">
        <v>383</v>
      </c>
      <c r="E63" s="228" t="s">
        <v>384</v>
      </c>
      <c r="F63" s="193" t="s">
        <v>385</v>
      </c>
    </row>
    <row r="64" spans="1:6">
      <c r="A64" t="s">
        <v>442</v>
      </c>
      <c r="C64" s="234" t="s">
        <v>389</v>
      </c>
      <c r="D64" s="234"/>
      <c r="E64" s="234"/>
      <c r="F64" s="205" t="s">
        <v>443</v>
      </c>
    </row>
    <row r="65" spans="1:6">
      <c r="A65" t="s">
        <v>444</v>
      </c>
      <c r="C65" s="234"/>
      <c r="D65" s="234"/>
      <c r="E65" s="234"/>
      <c r="F65" s="205"/>
    </row>
    <row r="66" spans="1:6">
      <c r="A66" t="s">
        <v>445</v>
      </c>
      <c r="C66" s="234"/>
      <c r="D66" s="234" t="s">
        <v>389</v>
      </c>
      <c r="E66" s="234"/>
      <c r="F66" s="205"/>
    </row>
    <row r="67" spans="1:6">
      <c r="A67" t="s">
        <v>446</v>
      </c>
      <c r="C67" s="234"/>
      <c r="D67" s="234" t="s">
        <v>389</v>
      </c>
      <c r="E67" s="234"/>
      <c r="F67" s="205"/>
    </row>
    <row r="68" spans="1:6">
      <c r="A68" t="s">
        <v>447</v>
      </c>
      <c r="C68" s="234"/>
      <c r="D68" s="234" t="s">
        <v>389</v>
      </c>
      <c r="E68" s="234"/>
      <c r="F68" s="205"/>
    </row>
    <row r="69" spans="1:6">
      <c r="A69" s="138" t="s">
        <v>448</v>
      </c>
      <c r="C69" s="234" t="s">
        <v>389</v>
      </c>
      <c r="D69" s="234"/>
      <c r="E69" s="234"/>
      <c r="F69" s="205"/>
    </row>
    <row r="70" spans="1:6">
      <c r="C70" s="234"/>
      <c r="D70" s="234"/>
      <c r="E70" s="234"/>
      <c r="F70" s="205"/>
    </row>
    <row r="71" spans="1:6">
      <c r="A71" s="91" t="s">
        <v>449</v>
      </c>
      <c r="B71" s="91"/>
      <c r="C71" s="234"/>
      <c r="D71" s="234"/>
      <c r="E71" s="234"/>
      <c r="F71" s="205"/>
    </row>
    <row r="72" spans="1:6">
      <c r="A72" s="91"/>
      <c r="B72" s="91"/>
      <c r="C72" s="234"/>
      <c r="D72" s="234"/>
      <c r="E72" s="234"/>
      <c r="F72" s="205"/>
    </row>
    <row r="73" spans="1:6">
      <c r="A73" t="s">
        <v>279</v>
      </c>
      <c r="C73" s="234"/>
      <c r="D73" s="234"/>
      <c r="E73" s="234"/>
      <c r="F73" s="205"/>
    </row>
    <row r="74" spans="1:6">
      <c r="A74" t="s">
        <v>450</v>
      </c>
      <c r="C74" s="234" t="s">
        <v>389</v>
      </c>
      <c r="D74" s="234"/>
      <c r="E74" s="234"/>
      <c r="F74" s="205"/>
    </row>
    <row r="75" spans="1:6">
      <c r="A75" t="s">
        <v>451</v>
      </c>
      <c r="C75" s="234" t="s">
        <v>389</v>
      </c>
      <c r="D75" s="234"/>
      <c r="E75" s="234"/>
      <c r="F75" s="205"/>
    </row>
    <row r="76" spans="1:6">
      <c r="A76" t="s">
        <v>452</v>
      </c>
      <c r="C76" s="234" t="s">
        <v>389</v>
      </c>
      <c r="D76" s="234"/>
      <c r="E76" s="234"/>
      <c r="F76" s="205"/>
    </row>
    <row r="77" spans="1:6">
      <c r="A77" t="s">
        <v>453</v>
      </c>
      <c r="C77" s="234"/>
      <c r="D77" s="234"/>
      <c r="E77" s="234" t="s">
        <v>389</v>
      </c>
      <c r="F77" s="205"/>
    </row>
    <row r="78" spans="1:6">
      <c r="A78" t="s">
        <v>454</v>
      </c>
      <c r="C78" s="234"/>
      <c r="D78" s="234" t="s">
        <v>389</v>
      </c>
      <c r="E78" s="234"/>
      <c r="F78" s="205"/>
    </row>
    <row r="79" spans="1:6">
      <c r="A79" t="s">
        <v>455</v>
      </c>
      <c r="C79" s="234"/>
      <c r="D79" s="234" t="s">
        <v>389</v>
      </c>
      <c r="E79" s="234"/>
      <c r="F79" s="205"/>
    </row>
    <row r="80" spans="1:6">
      <c r="A80" t="s">
        <v>456</v>
      </c>
      <c r="C80" s="234"/>
      <c r="D80" s="234" t="s">
        <v>389</v>
      </c>
      <c r="E80" s="234"/>
      <c r="F80" s="205"/>
    </row>
    <row r="81" spans="1:6">
      <c r="A81" t="s">
        <v>457</v>
      </c>
      <c r="C81" s="234"/>
      <c r="D81" s="234" t="s">
        <v>389</v>
      </c>
      <c r="E81" s="234"/>
      <c r="F81" s="205" t="s">
        <v>458</v>
      </c>
    </row>
    <row r="82" spans="1:6">
      <c r="A82" t="s">
        <v>459</v>
      </c>
      <c r="C82" s="234"/>
      <c r="D82" s="234"/>
      <c r="E82" s="234"/>
      <c r="F82" s="205"/>
    </row>
    <row r="83" spans="1:6">
      <c r="A83" t="s">
        <v>460</v>
      </c>
      <c r="C83" s="234" t="s">
        <v>389</v>
      </c>
      <c r="D83" s="234"/>
      <c r="E83" s="234"/>
      <c r="F83" s="205"/>
    </row>
    <row r="84" spans="1:6">
      <c r="A84" t="s">
        <v>461</v>
      </c>
      <c r="C84" s="234" t="s">
        <v>389</v>
      </c>
      <c r="D84" s="234"/>
      <c r="E84" s="234"/>
      <c r="F84" s="205"/>
    </row>
    <row r="85" spans="1:6">
      <c r="A85" t="s">
        <v>462</v>
      </c>
      <c r="C85" s="234" t="s">
        <v>389</v>
      </c>
      <c r="D85" s="205"/>
      <c r="E85" s="234"/>
      <c r="F85" s="205"/>
    </row>
    <row r="86" spans="1:6">
      <c r="A86" t="s">
        <v>463</v>
      </c>
      <c r="C86" s="234" t="s">
        <v>389</v>
      </c>
      <c r="D86" s="234"/>
      <c r="E86" s="234"/>
      <c r="F86" s="205"/>
    </row>
    <row r="87" spans="1:6">
      <c r="A87" t="s">
        <v>464</v>
      </c>
      <c r="C87" s="234" t="s">
        <v>389</v>
      </c>
      <c r="D87" s="234"/>
      <c r="E87" s="234"/>
      <c r="F87" s="205" t="s">
        <v>465</v>
      </c>
    </row>
    <row r="88" spans="1:6">
      <c r="A88" t="s">
        <v>466</v>
      </c>
      <c r="C88" s="234"/>
      <c r="D88" s="234" t="s">
        <v>389</v>
      </c>
      <c r="E88" s="234"/>
      <c r="F88" s="205"/>
    </row>
    <row r="89" spans="1:6">
      <c r="A89" t="s">
        <v>467</v>
      </c>
      <c r="C89" s="234"/>
      <c r="D89" s="234" t="s">
        <v>389</v>
      </c>
      <c r="E89" s="234"/>
      <c r="F89" s="205"/>
    </row>
    <row r="90" spans="1:6">
      <c r="A90" t="s">
        <v>468</v>
      </c>
      <c r="C90" s="234"/>
      <c r="D90" s="234"/>
      <c r="E90" s="234"/>
      <c r="F90" s="205"/>
    </row>
    <row r="91" spans="1:6">
      <c r="A91" t="s">
        <v>469</v>
      </c>
      <c r="C91" s="234" t="s">
        <v>389</v>
      </c>
      <c r="D91" s="234"/>
      <c r="E91" s="234"/>
      <c r="F91" s="205"/>
    </row>
    <row r="92" spans="1:6">
      <c r="A92" t="s">
        <v>470</v>
      </c>
      <c r="C92" s="234"/>
      <c r="D92" s="234" t="s">
        <v>389</v>
      </c>
      <c r="E92" s="234"/>
      <c r="F92" s="205"/>
    </row>
    <row r="93" spans="1:6">
      <c r="A93" t="s">
        <v>471</v>
      </c>
      <c r="C93" s="234"/>
      <c r="D93" s="234"/>
      <c r="E93" s="234"/>
      <c r="F93" s="205"/>
    </row>
    <row r="94" spans="1:6">
      <c r="A94" t="s">
        <v>472</v>
      </c>
      <c r="C94" s="234" t="s">
        <v>389</v>
      </c>
      <c r="D94" s="234"/>
      <c r="E94" s="234"/>
      <c r="F94" s="205"/>
    </row>
    <row r="95" spans="1:6">
      <c r="A95" t="s">
        <v>473</v>
      </c>
      <c r="C95" s="234"/>
      <c r="D95" s="234" t="s">
        <v>389</v>
      </c>
      <c r="E95" s="234"/>
      <c r="F95" s="205"/>
    </row>
    <row r="96" spans="1:6">
      <c r="A96" t="s">
        <v>474</v>
      </c>
      <c r="C96" s="234"/>
      <c r="D96" s="234"/>
      <c r="E96" s="234"/>
      <c r="F96" s="205"/>
    </row>
    <row r="97" spans="1:6">
      <c r="A97" t="s">
        <v>475</v>
      </c>
      <c r="C97" s="234" t="s">
        <v>389</v>
      </c>
      <c r="D97" s="234"/>
      <c r="E97" s="234"/>
      <c r="F97" s="205"/>
    </row>
    <row r="98" spans="1:6">
      <c r="A98" t="s">
        <v>769</v>
      </c>
      <c r="C98" s="234" t="s">
        <v>389</v>
      </c>
      <c r="D98" s="234"/>
      <c r="E98" s="234"/>
      <c r="F98" s="205"/>
    </row>
    <row r="99" spans="1:6">
      <c r="A99" t="s">
        <v>770</v>
      </c>
      <c r="C99" s="234"/>
      <c r="D99" s="234" t="s">
        <v>389</v>
      </c>
      <c r="E99" s="234"/>
      <c r="F99" s="205"/>
    </row>
    <row r="100" spans="1:6">
      <c r="A100" t="s">
        <v>771</v>
      </c>
      <c r="C100" s="234"/>
      <c r="D100" s="234"/>
      <c r="E100" s="234"/>
      <c r="F100" s="205"/>
    </row>
    <row r="101" spans="1:6">
      <c r="A101" t="s">
        <v>772</v>
      </c>
      <c r="C101" s="234"/>
      <c r="D101" s="234" t="s">
        <v>389</v>
      </c>
      <c r="E101" s="234"/>
      <c r="F101" s="205"/>
    </row>
    <row r="102" spans="1:6">
      <c r="A102" t="s">
        <v>773</v>
      </c>
      <c r="C102" s="234"/>
      <c r="D102" s="234" t="s">
        <v>389</v>
      </c>
      <c r="E102" s="234"/>
      <c r="F102" s="205"/>
    </row>
    <row r="103" spans="1:6">
      <c r="A103" t="s">
        <v>774</v>
      </c>
      <c r="C103" s="234"/>
      <c r="D103" s="234" t="s">
        <v>389</v>
      </c>
      <c r="E103" s="234"/>
      <c r="F103" s="205"/>
    </row>
    <row r="104" spans="1:6">
      <c r="A104" t="s">
        <v>775</v>
      </c>
      <c r="C104" s="234"/>
      <c r="D104" s="234" t="s">
        <v>389</v>
      </c>
      <c r="E104" s="234"/>
      <c r="F104" s="205"/>
    </row>
    <row r="105" spans="1:6">
      <c r="A105" t="s">
        <v>776</v>
      </c>
      <c r="C105" s="234" t="s">
        <v>389</v>
      </c>
      <c r="D105" s="234"/>
      <c r="E105" s="234"/>
      <c r="F105" s="205"/>
    </row>
    <row r="106" spans="1:6">
      <c r="A106" t="s">
        <v>777</v>
      </c>
      <c r="C106" s="234"/>
      <c r="D106" s="234"/>
      <c r="E106" s="234"/>
      <c r="F106" s="205"/>
    </row>
    <row r="107" spans="1:6">
      <c r="A107" t="s">
        <v>778</v>
      </c>
      <c r="C107" s="234" t="s">
        <v>389</v>
      </c>
      <c r="D107" s="234"/>
      <c r="E107" s="234"/>
      <c r="F107" s="205"/>
    </row>
    <row r="108" spans="1:6">
      <c r="A108" t="s">
        <v>779</v>
      </c>
      <c r="C108" s="234"/>
      <c r="D108" s="234" t="s">
        <v>389</v>
      </c>
      <c r="E108" s="234"/>
      <c r="F108" s="205" t="s">
        <v>780</v>
      </c>
    </row>
    <row r="109" spans="1:6">
      <c r="A109" t="s">
        <v>781</v>
      </c>
      <c r="C109" s="234"/>
      <c r="D109" s="234"/>
      <c r="E109" s="234"/>
      <c r="F109" s="205"/>
    </row>
    <row r="110" spans="1:6">
      <c r="A110" t="s">
        <v>782</v>
      </c>
      <c r="C110" s="234" t="s">
        <v>389</v>
      </c>
      <c r="D110" s="234"/>
      <c r="E110" s="234"/>
      <c r="F110" s="205"/>
    </row>
    <row r="111" spans="1:6">
      <c r="A111" t="s">
        <v>783</v>
      </c>
      <c r="C111" s="234" t="s">
        <v>389</v>
      </c>
      <c r="D111" s="234"/>
      <c r="E111" s="234"/>
      <c r="F111" s="205"/>
    </row>
    <row r="112" spans="1:6">
      <c r="A112" t="s">
        <v>784</v>
      </c>
      <c r="C112" s="234"/>
      <c r="D112" s="234" t="s">
        <v>389</v>
      </c>
      <c r="E112" s="234"/>
      <c r="F112" s="205"/>
    </row>
    <row r="113" spans="1:6">
      <c r="A113" t="s">
        <v>785</v>
      </c>
      <c r="C113" s="234"/>
      <c r="D113" s="234" t="s">
        <v>389</v>
      </c>
      <c r="E113" s="234"/>
      <c r="F113" s="205"/>
    </row>
    <row r="114" spans="1:6">
      <c r="A114" t="s">
        <v>786</v>
      </c>
      <c r="C114" s="234"/>
      <c r="D114" s="234"/>
      <c r="E114" s="234"/>
      <c r="F114" s="205"/>
    </row>
    <row r="115" spans="1:6">
      <c r="A115" t="s">
        <v>783</v>
      </c>
      <c r="C115" s="234" t="s">
        <v>389</v>
      </c>
      <c r="D115" s="234"/>
      <c r="E115" s="234"/>
      <c r="F115" s="205"/>
    </row>
    <row r="116" spans="1:6">
      <c r="A116" t="s">
        <v>784</v>
      </c>
      <c r="C116" s="234"/>
      <c r="D116" s="234" t="s">
        <v>389</v>
      </c>
      <c r="E116" s="234"/>
      <c r="F116" s="205"/>
    </row>
    <row r="117" spans="1:6">
      <c r="A117" t="s">
        <v>787</v>
      </c>
      <c r="C117" s="205"/>
      <c r="D117" s="234" t="s">
        <v>389</v>
      </c>
      <c r="E117" s="234"/>
      <c r="F117" s="205" t="s">
        <v>788</v>
      </c>
    </row>
    <row r="118" spans="1:6">
      <c r="A118" t="s">
        <v>789</v>
      </c>
      <c r="C118" s="205"/>
      <c r="D118" s="234" t="s">
        <v>389</v>
      </c>
      <c r="E118" s="234"/>
      <c r="F118" s="205" t="s">
        <v>788</v>
      </c>
    </row>
    <row r="119" spans="1:6">
      <c r="A119" t="s">
        <v>790</v>
      </c>
      <c r="C119" s="234"/>
      <c r="D119" s="234" t="s">
        <v>389</v>
      </c>
      <c r="E119" s="234"/>
      <c r="F119" s="205"/>
    </row>
    <row r="120" spans="1:6">
      <c r="A120" t="s">
        <v>791</v>
      </c>
      <c r="C120" s="234" t="s">
        <v>389</v>
      </c>
      <c r="D120" s="234"/>
      <c r="E120" s="234"/>
      <c r="F120" s="205"/>
    </row>
    <row r="121" spans="1:6">
      <c r="A121" s="92" t="s">
        <v>882</v>
      </c>
    </row>
    <row r="122" spans="1:6">
      <c r="A122" t="s">
        <v>883</v>
      </c>
    </row>
  </sheetData>
  <printOptions horizontalCentered="1"/>
  <pageMargins left="0.75" right="0.75" top="1" bottom="1" header="0.5" footer="0.5"/>
  <pageSetup scale="40" orientation="portrait" horizontalDpi="4294967292" verticalDpi="4294967292" r:id="rId1"/>
  <headerFooter alignWithMargins="0">
    <oddFooter>&amp;LScot Chambers
&amp;D&amp;R&amp;F
&amp;A</oddFooter>
  </headerFooter>
  <rowBreaks count="1" manualBreakCount="1">
    <brk id="61" max="6553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Q41"/>
  <sheetViews>
    <sheetView zoomScale="75" zoomScaleNormal="25" zoomScaleSheetLayoutView="100" workbookViewId="0">
      <selection activeCell="AA75" sqref="AA75"/>
    </sheetView>
  </sheetViews>
  <sheetFormatPr defaultRowHeight="13.2"/>
  <cols>
    <col min="1" max="1" width="48.6640625" customWidth="1"/>
    <col min="2" max="2" width="11.109375" customWidth="1"/>
    <col min="3" max="5" width="12.6640625" customWidth="1"/>
  </cols>
  <sheetData>
    <row r="1" spans="1:69" ht="15">
      <c r="A1" s="251" t="str">
        <f>Scope!A1</f>
        <v>Santee Cooper 5 x LM6000 PC Power Project (236 MW)</v>
      </c>
      <c r="B1" s="251"/>
      <c r="C1" s="251"/>
      <c r="D1" s="251"/>
      <c r="E1" s="99"/>
      <c r="F1" s="99"/>
      <c r="G1" s="99"/>
      <c r="H1" s="99"/>
      <c r="I1" s="99"/>
      <c r="J1" s="99"/>
      <c r="K1" s="99"/>
      <c r="L1" s="99"/>
    </row>
    <row r="2" spans="1:69" ht="15">
      <c r="A2" s="237" t="s">
        <v>886</v>
      </c>
      <c r="B2" s="237"/>
      <c r="C2" s="237"/>
      <c r="D2" s="237"/>
      <c r="E2" s="99"/>
      <c r="F2" s="99"/>
      <c r="G2" s="99"/>
      <c r="H2" s="99"/>
      <c r="I2" s="99"/>
      <c r="J2" s="99"/>
      <c r="K2" s="99"/>
      <c r="L2" s="99"/>
    </row>
    <row r="3" spans="1:69" ht="15">
      <c r="A3" s="237" t="s">
        <v>887</v>
      </c>
      <c r="B3" s="237"/>
      <c r="C3" s="237"/>
      <c r="D3" s="237"/>
      <c r="E3" s="99"/>
      <c r="F3" s="99"/>
      <c r="G3" s="99"/>
      <c r="H3" s="99"/>
      <c r="I3" s="99"/>
      <c r="J3" s="99"/>
      <c r="K3" s="99"/>
      <c r="L3" s="99"/>
    </row>
    <row r="4" spans="1:69" ht="15.6" thickBot="1">
      <c r="A4" s="228"/>
      <c r="B4" s="228"/>
      <c r="C4" s="228"/>
      <c r="D4" s="228"/>
      <c r="E4" s="99"/>
      <c r="F4" s="99"/>
      <c r="G4" s="99"/>
      <c r="H4" s="99"/>
      <c r="I4" s="99"/>
      <c r="J4" s="99"/>
      <c r="K4" s="99"/>
      <c r="L4" s="99"/>
    </row>
    <row r="5" spans="1:69" ht="15">
      <c r="A5" s="274"/>
      <c r="B5" s="279"/>
      <c r="C5" s="286"/>
      <c r="D5" s="280"/>
      <c r="E5" s="99"/>
      <c r="F5" s="99"/>
      <c r="G5" s="99"/>
      <c r="H5" s="99"/>
      <c r="I5" s="99"/>
      <c r="J5" s="99"/>
      <c r="K5" s="99"/>
      <c r="L5" s="99"/>
    </row>
    <row r="6" spans="1:69" ht="16.2" thickBot="1">
      <c r="A6" s="193" t="s">
        <v>888</v>
      </c>
      <c r="B6" s="293" t="s">
        <v>889</v>
      </c>
      <c r="C6" s="294" t="s">
        <v>890</v>
      </c>
      <c r="D6" s="295" t="s">
        <v>362</v>
      </c>
      <c r="E6" s="266"/>
      <c r="F6" s="266"/>
      <c r="G6" s="266"/>
      <c r="H6" s="266"/>
      <c r="I6" s="266"/>
      <c r="J6" s="266"/>
      <c r="K6" s="266"/>
      <c r="L6" s="266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  <c r="BQ6" s="268"/>
    </row>
    <row r="7" spans="1:69" ht="15">
      <c r="A7" s="193"/>
      <c r="B7" s="281"/>
      <c r="C7" s="287"/>
      <c r="D7" s="282"/>
      <c r="E7" s="99"/>
      <c r="F7" s="99"/>
      <c r="G7" s="99"/>
      <c r="H7" s="99"/>
      <c r="I7" s="99"/>
      <c r="J7" s="99"/>
      <c r="K7" s="99"/>
      <c r="L7" s="99"/>
    </row>
    <row r="8" spans="1:69" ht="15">
      <c r="A8" s="179" t="s">
        <v>891</v>
      </c>
      <c r="B8" s="283">
        <f>3500</f>
        <v>3500</v>
      </c>
      <c r="C8" s="288">
        <v>31</v>
      </c>
      <c r="D8" s="284">
        <f t="shared" ref="D8:D13" si="0">+B8*C8</f>
        <v>108500</v>
      </c>
      <c r="E8" s="269"/>
      <c r="F8" s="269"/>
      <c r="G8" s="269"/>
      <c r="H8" s="269"/>
      <c r="I8" s="269"/>
      <c r="J8" s="269"/>
      <c r="K8" s="269"/>
      <c r="L8" s="269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</row>
    <row r="9" spans="1:69" ht="15">
      <c r="A9" s="179" t="s">
        <v>892</v>
      </c>
      <c r="B9" s="283">
        <f>+B8*0.5</f>
        <v>1750</v>
      </c>
      <c r="C9" s="288">
        <v>31</v>
      </c>
      <c r="D9" s="284">
        <f t="shared" si="0"/>
        <v>54250</v>
      </c>
      <c r="E9" s="269"/>
      <c r="F9" s="269"/>
      <c r="G9" s="269"/>
      <c r="H9" s="269"/>
      <c r="I9" s="269"/>
      <c r="J9" s="269"/>
      <c r="K9" s="269"/>
      <c r="L9" s="269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</row>
    <row r="10" spans="1:69" ht="15">
      <c r="A10" s="179" t="s">
        <v>893</v>
      </c>
      <c r="B10" s="283">
        <v>350</v>
      </c>
      <c r="C10" s="288">
        <v>31</v>
      </c>
      <c r="D10" s="284">
        <f t="shared" si="0"/>
        <v>10850</v>
      </c>
      <c r="E10" s="269"/>
      <c r="F10" s="269"/>
      <c r="G10" s="269"/>
      <c r="H10" s="269"/>
      <c r="I10" s="269"/>
      <c r="J10" s="269"/>
      <c r="K10" s="269"/>
      <c r="L10" s="269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0"/>
    </row>
    <row r="11" spans="1:69" ht="15">
      <c r="A11" s="179" t="s">
        <v>894</v>
      </c>
      <c r="B11" s="283">
        <v>850</v>
      </c>
      <c r="C11" s="288">
        <v>31</v>
      </c>
      <c r="D11" s="284">
        <f t="shared" si="0"/>
        <v>26350</v>
      </c>
      <c r="E11" s="269"/>
      <c r="F11" s="269"/>
      <c r="G11" s="269"/>
      <c r="H11" s="269"/>
      <c r="I11" s="269"/>
      <c r="J11" s="269"/>
      <c r="K11" s="269"/>
      <c r="L11" s="269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</row>
    <row r="12" spans="1:69" ht="15">
      <c r="A12" s="179" t="s">
        <v>895</v>
      </c>
      <c r="B12" s="283">
        <v>2000</v>
      </c>
      <c r="C12" s="288">
        <v>31</v>
      </c>
      <c r="D12" s="284">
        <f t="shared" si="0"/>
        <v>62000</v>
      </c>
      <c r="E12" s="269"/>
      <c r="F12" s="269"/>
      <c r="G12" s="269"/>
      <c r="H12" s="269"/>
      <c r="I12" s="269"/>
      <c r="J12" s="269"/>
      <c r="K12" s="269"/>
      <c r="L12" s="269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</row>
    <row r="13" spans="1:69" ht="15">
      <c r="A13" s="179" t="s">
        <v>896</v>
      </c>
      <c r="B13" s="283">
        <v>300</v>
      </c>
      <c r="C13" s="288">
        <v>31</v>
      </c>
      <c r="D13" s="284">
        <f t="shared" si="0"/>
        <v>9300</v>
      </c>
      <c r="E13" s="269"/>
      <c r="F13" s="269"/>
      <c r="G13" s="269"/>
      <c r="H13" s="269"/>
      <c r="I13" s="269"/>
      <c r="J13" s="269"/>
      <c r="K13" s="269"/>
      <c r="L13" s="269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</row>
    <row r="14" spans="1:69" ht="15">
      <c r="A14" s="179" t="s">
        <v>897</v>
      </c>
      <c r="B14" s="283">
        <v>0</v>
      </c>
      <c r="C14" s="288">
        <v>0</v>
      </c>
      <c r="D14" s="284">
        <v>9000</v>
      </c>
      <c r="E14" s="269"/>
      <c r="F14" s="269"/>
      <c r="G14" s="269"/>
      <c r="H14" s="269"/>
      <c r="I14" s="269"/>
      <c r="J14" s="269"/>
      <c r="K14" s="269"/>
      <c r="L14" s="269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</row>
    <row r="15" spans="1:69" ht="15">
      <c r="A15" s="275" t="s">
        <v>898</v>
      </c>
      <c r="B15" s="285">
        <v>300</v>
      </c>
      <c r="C15" s="289">
        <v>31</v>
      </c>
      <c r="D15" s="284">
        <f>+B15*C15</f>
        <v>9300</v>
      </c>
      <c r="E15" s="269"/>
      <c r="F15" s="269"/>
      <c r="G15" s="269"/>
      <c r="H15" s="269"/>
      <c r="I15" s="269"/>
      <c r="J15" s="269"/>
      <c r="K15" s="269"/>
      <c r="L15" s="269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</row>
    <row r="16" spans="1:69" ht="15">
      <c r="A16" s="275" t="s">
        <v>899</v>
      </c>
      <c r="B16" s="285">
        <v>2000</v>
      </c>
      <c r="C16" s="289">
        <v>31</v>
      </c>
      <c r="D16" s="284">
        <f>+B16*C16</f>
        <v>62000</v>
      </c>
      <c r="E16" s="269"/>
      <c r="F16" s="269"/>
      <c r="G16" s="269"/>
      <c r="H16" s="269"/>
      <c r="I16" s="269"/>
      <c r="J16" s="269"/>
      <c r="K16" s="269"/>
      <c r="L16" s="269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</row>
    <row r="17" spans="1:33" ht="15">
      <c r="A17" s="179" t="s">
        <v>900</v>
      </c>
      <c r="B17" s="283">
        <v>12000</v>
      </c>
      <c r="C17" s="288">
        <v>15</v>
      </c>
      <c r="D17" s="284">
        <f>+B17*C17</f>
        <v>180000</v>
      </c>
      <c r="E17" s="269"/>
      <c r="F17" s="269"/>
      <c r="G17" s="269"/>
      <c r="H17" s="269"/>
      <c r="I17" s="269"/>
      <c r="J17" s="269"/>
      <c r="K17" s="269"/>
      <c r="L17" s="269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</row>
    <row r="18" spans="1:33" ht="15">
      <c r="A18" s="179" t="s">
        <v>901</v>
      </c>
      <c r="B18" s="283"/>
      <c r="C18" s="288"/>
      <c r="D18" s="284">
        <v>50000</v>
      </c>
      <c r="E18" s="269"/>
      <c r="F18" s="269"/>
      <c r="G18" s="269"/>
      <c r="H18" s="269"/>
      <c r="I18" s="269"/>
      <c r="J18" s="269"/>
      <c r="K18" s="269"/>
      <c r="L18" s="269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</row>
    <row r="19" spans="1:33" ht="15">
      <c r="A19" s="179"/>
      <c r="B19" s="283"/>
      <c r="C19" s="288"/>
      <c r="D19" s="284"/>
      <c r="E19" s="269"/>
      <c r="F19" s="269"/>
      <c r="G19" s="269"/>
      <c r="H19" s="269"/>
      <c r="I19" s="269"/>
      <c r="J19" s="269"/>
      <c r="K19" s="269"/>
      <c r="L19" s="269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</row>
    <row r="20" spans="1:33" ht="15">
      <c r="A20" s="179" t="s">
        <v>902</v>
      </c>
      <c r="B20" s="283"/>
      <c r="C20" s="288"/>
      <c r="D20" s="284">
        <f>SUM(D8:D18)</f>
        <v>581550</v>
      </c>
      <c r="E20" s="269"/>
      <c r="F20" s="269"/>
      <c r="G20" s="269"/>
      <c r="H20" s="269"/>
      <c r="I20" s="269"/>
      <c r="J20" s="269"/>
      <c r="K20" s="269"/>
      <c r="L20" s="269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</row>
    <row r="21" spans="1:33" ht="15">
      <c r="A21" s="179"/>
      <c r="B21" s="283"/>
      <c r="C21" s="288"/>
      <c r="D21" s="284"/>
      <c r="E21" s="269"/>
      <c r="F21" s="269"/>
      <c r="G21" s="269"/>
      <c r="H21" s="269"/>
      <c r="I21" s="269"/>
      <c r="J21" s="269"/>
      <c r="K21" s="269"/>
      <c r="L21" s="269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</row>
    <row r="22" spans="1:33" ht="15">
      <c r="A22" s="179" t="s">
        <v>903</v>
      </c>
      <c r="B22" s="283"/>
      <c r="C22" s="288"/>
      <c r="D22" s="284">
        <f>0.1*D20</f>
        <v>58155</v>
      </c>
      <c r="E22" s="269"/>
      <c r="F22" s="269"/>
      <c r="G22" s="269"/>
      <c r="H22" s="269"/>
      <c r="I22" s="269"/>
      <c r="J22" s="269"/>
      <c r="K22" s="269"/>
      <c r="L22" s="269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</row>
    <row r="23" spans="1:33" ht="15.6" thickBot="1">
      <c r="A23" s="179"/>
      <c r="B23" s="283"/>
      <c r="C23" s="288"/>
      <c r="D23" s="284"/>
      <c r="E23" s="269"/>
      <c r="F23" s="269"/>
      <c r="G23" s="269"/>
      <c r="H23" s="269"/>
      <c r="I23" s="269"/>
      <c r="J23" s="269"/>
      <c r="K23" s="269"/>
      <c r="L23" s="269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</row>
    <row r="24" spans="1:33" ht="15.6" thickBot="1">
      <c r="A24" s="193" t="s">
        <v>904</v>
      </c>
      <c r="B24" s="290"/>
      <c r="C24" s="291"/>
      <c r="D24" s="292">
        <f>D22+D20</f>
        <v>639705</v>
      </c>
      <c r="E24" s="269"/>
      <c r="F24" s="269"/>
      <c r="G24" s="269"/>
      <c r="H24" s="269"/>
      <c r="I24" s="269"/>
      <c r="J24" s="269"/>
      <c r="K24" s="269"/>
      <c r="L24" s="269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</row>
    <row r="25" spans="1:33" ht="15">
      <c r="A25" s="193"/>
      <c r="B25" s="276"/>
      <c r="C25" s="276"/>
      <c r="D25" s="277"/>
      <c r="E25" s="269"/>
      <c r="F25" s="269"/>
      <c r="G25" s="269"/>
      <c r="H25" s="269"/>
      <c r="I25" s="269"/>
      <c r="J25" s="269"/>
      <c r="K25" s="269"/>
      <c r="L25" s="269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270"/>
    </row>
    <row r="26" spans="1:33" ht="15">
      <c r="A26" s="193"/>
      <c r="B26" s="276"/>
      <c r="C26" s="276"/>
      <c r="D26" s="277"/>
      <c r="E26" s="269"/>
      <c r="F26" s="269"/>
      <c r="G26" s="269"/>
      <c r="H26" s="269"/>
      <c r="I26" s="269"/>
      <c r="J26" s="269"/>
      <c r="K26" s="269"/>
      <c r="L26" s="269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  <c r="AG26" s="270"/>
    </row>
    <row r="27" spans="1:33" ht="15">
      <c r="A27" s="193"/>
      <c r="B27" s="193"/>
      <c r="C27" s="193"/>
      <c r="D27" s="193"/>
      <c r="E27" s="269"/>
      <c r="F27" s="269"/>
      <c r="G27" s="269"/>
      <c r="H27" s="269"/>
      <c r="I27" s="269"/>
      <c r="J27" s="269"/>
      <c r="K27" s="269"/>
      <c r="L27" s="269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</row>
    <row r="28" spans="1:33" ht="15">
      <c r="A28" s="193" t="s">
        <v>905</v>
      </c>
      <c r="B28" s="193"/>
      <c r="C28" s="193"/>
      <c r="D28" s="193"/>
      <c r="E28" s="269"/>
      <c r="F28" s="269"/>
      <c r="G28" s="269"/>
      <c r="H28" s="269"/>
      <c r="I28" s="269"/>
      <c r="J28" s="269"/>
      <c r="K28" s="269"/>
      <c r="L28" s="269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  <c r="AG28" s="270"/>
    </row>
    <row r="29" spans="1:33" ht="15">
      <c r="A29" s="193"/>
      <c r="B29" s="193"/>
      <c r="C29" s="193"/>
      <c r="D29" s="193"/>
      <c r="E29" s="269"/>
      <c r="F29" s="269"/>
      <c r="G29" s="269"/>
      <c r="H29" s="269"/>
      <c r="I29" s="269"/>
      <c r="J29" s="269"/>
      <c r="K29" s="269"/>
      <c r="L29" s="269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</row>
    <row r="30" spans="1:33">
      <c r="A30" s="193" t="s">
        <v>906</v>
      </c>
      <c r="B30" s="193"/>
      <c r="C30" s="193"/>
      <c r="D30" s="193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270"/>
      <c r="AG30" s="270"/>
    </row>
    <row r="31" spans="1:33">
      <c r="A31" s="278" t="s">
        <v>907</v>
      </c>
      <c r="B31" s="193"/>
      <c r="C31" s="193"/>
      <c r="D31" s="193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</row>
    <row r="32" spans="1:33">
      <c r="A32" s="193" t="s">
        <v>908</v>
      </c>
      <c r="B32" s="193"/>
      <c r="C32" s="193"/>
      <c r="D32" s="193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  <c r="AG32" s="270"/>
    </row>
    <row r="33" spans="1:33">
      <c r="A33" s="278" t="s">
        <v>909</v>
      </c>
      <c r="B33" s="193"/>
      <c r="C33" s="193"/>
      <c r="D33" s="193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</row>
    <row r="34" spans="1:33">
      <c r="A34" s="91"/>
      <c r="B34" s="91"/>
      <c r="C34" s="91"/>
      <c r="D34" s="91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</row>
    <row r="35" spans="1:33">
      <c r="A35" s="91"/>
      <c r="B35" s="91"/>
      <c r="C35" s="91"/>
      <c r="D35" s="91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</row>
    <row r="36" spans="1:33">
      <c r="A36" s="91"/>
      <c r="B36" s="91"/>
      <c r="C36" s="91"/>
      <c r="D36" s="91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</row>
    <row r="37" spans="1:33">
      <c r="A37" s="91"/>
      <c r="B37" s="91"/>
      <c r="C37" s="91"/>
      <c r="D37" s="91"/>
    </row>
    <row r="38" spans="1:33">
      <c r="A38" s="91"/>
      <c r="B38" s="91"/>
      <c r="C38" s="91"/>
      <c r="D38" s="91"/>
    </row>
    <row r="39" spans="1:33">
      <c r="A39" s="91"/>
      <c r="B39" s="91"/>
      <c r="C39" s="91"/>
      <c r="D39" s="91"/>
    </row>
    <row r="40" spans="1:33">
      <c r="A40" s="91"/>
      <c r="B40" s="91"/>
      <c r="C40" s="91"/>
      <c r="D40" s="91"/>
    </row>
    <row r="41" spans="1:33">
      <c r="A41" s="91"/>
      <c r="B41" s="91"/>
      <c r="C41" s="91"/>
      <c r="D41" s="91"/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outlinePr applyStyles="1"/>
  </sheetPr>
  <dimension ref="A1:M913"/>
  <sheetViews>
    <sheetView topLeftCell="E1" zoomScale="75" zoomScaleNormal="75" zoomScaleSheetLayoutView="100" workbookViewId="0">
      <pane ySplit="2" topLeftCell="A128" activePane="bottomLeft" state="frozen"/>
      <selection activeCell="F28" sqref="F28"/>
      <selection pane="bottomLeft" activeCell="F28" sqref="F28"/>
    </sheetView>
  </sheetViews>
  <sheetFormatPr defaultColWidth="9.109375" defaultRowHeight="13.2" outlineLevelRow="2"/>
  <cols>
    <col min="1" max="1" width="23.6640625" style="4" hidden="1" customWidth="1"/>
    <col min="2" max="2" width="24.44140625" style="4" hidden="1" customWidth="1"/>
    <col min="3" max="3" width="20.88671875" style="4" hidden="1" customWidth="1"/>
    <col min="4" max="4" width="22.88671875" style="4" hidden="1" customWidth="1"/>
    <col min="5" max="5" width="35.109375" style="4" customWidth="1"/>
    <col min="6" max="6" width="42.5546875" style="4" customWidth="1"/>
    <col min="7" max="7" width="15.109375" style="4" customWidth="1"/>
    <col min="8" max="8" width="15.6640625" style="4" customWidth="1"/>
    <col min="9" max="9" width="15.6640625" style="4" hidden="1" customWidth="1"/>
    <col min="10" max="10" width="13.88671875" style="4" hidden="1" customWidth="1"/>
    <col min="11" max="11" width="2.5546875" style="4" customWidth="1"/>
    <col min="12" max="12" width="9.44140625" style="18" customWidth="1"/>
    <col min="13" max="13" width="9.109375" style="18"/>
    <col min="14" max="16384" width="9.109375" style="4"/>
  </cols>
  <sheetData>
    <row r="1" spans="1:13" ht="18" customHeight="1" thickBot="1">
      <c r="L1" s="4"/>
      <c r="M1" s="4"/>
    </row>
    <row r="2" spans="1:13" ht="17.25" customHeight="1" thickBot="1">
      <c r="B2" s="16" t="s">
        <v>910</v>
      </c>
      <c r="C2" s="16" t="s">
        <v>911</v>
      </c>
      <c r="D2" s="16" t="s">
        <v>912</v>
      </c>
      <c r="E2" s="75" t="s">
        <v>913</v>
      </c>
      <c r="F2" s="76" t="s">
        <v>914</v>
      </c>
      <c r="G2" s="77"/>
      <c r="H2" s="238" t="s">
        <v>915</v>
      </c>
      <c r="I2" s="238" t="s">
        <v>916</v>
      </c>
      <c r="J2" s="238" t="s">
        <v>917</v>
      </c>
      <c r="L2" s="17" t="s">
        <v>918</v>
      </c>
    </row>
    <row r="3" spans="1:13" ht="17.25" customHeight="1">
      <c r="B3" s="16"/>
      <c r="C3" s="16"/>
      <c r="D3" s="16"/>
      <c r="E3" s="309" t="str">
        <f>Scope!A1</f>
        <v>Santee Cooper 5 x LM6000 PC Power Project (236 MW)</v>
      </c>
      <c r="F3" s="78"/>
      <c r="G3" s="78"/>
      <c r="H3" s="79"/>
      <c r="I3" s="79"/>
      <c r="J3" s="79"/>
      <c r="L3" s="17"/>
    </row>
    <row r="4" spans="1:13" ht="23.25" customHeight="1" thickBot="1">
      <c r="B4" s="16"/>
      <c r="C4" s="16"/>
      <c r="D4" s="16"/>
      <c r="E4" s="80" t="s">
        <v>919</v>
      </c>
      <c r="F4" s="81"/>
      <c r="G4" s="81"/>
      <c r="H4" s="82"/>
      <c r="I4" s="82"/>
      <c r="J4" s="82"/>
      <c r="L4" s="17"/>
    </row>
    <row r="5" spans="1:13" s="20" customFormat="1" ht="13.8" outlineLevel="1" thickBot="1">
      <c r="A5" s="4" t="s">
        <v>920</v>
      </c>
      <c r="B5" s="4" t="s">
        <v>921</v>
      </c>
      <c r="C5" s="4" t="s">
        <v>922</v>
      </c>
      <c r="D5" s="4" t="s">
        <v>923</v>
      </c>
      <c r="E5" s="156" t="s">
        <v>242</v>
      </c>
      <c r="F5" s="157"/>
      <c r="G5" s="158"/>
      <c r="H5" s="88"/>
      <c r="I5" s="88"/>
      <c r="J5" s="240"/>
    </row>
    <row r="6" spans="1:13" ht="13.8" outlineLevel="2" thickBot="1">
      <c r="A6" s="4" t="str">
        <f>B6&amp;C6&amp;D6</f>
        <v>O&amp;M Mobilization BudgetOperating ExpensesPublic Relations</v>
      </c>
      <c r="B6" s="4" t="s">
        <v>921</v>
      </c>
      <c r="C6" s="4" t="s">
        <v>922</v>
      </c>
      <c r="D6" s="4" t="s">
        <v>923</v>
      </c>
      <c r="E6" s="84" t="s">
        <v>924</v>
      </c>
      <c r="F6" s="23"/>
      <c r="G6" s="66"/>
      <c r="H6" s="19">
        <v>0</v>
      </c>
      <c r="I6" s="19">
        <f>H6</f>
        <v>0</v>
      </c>
      <c r="J6" s="19">
        <f>H6</f>
        <v>0</v>
      </c>
      <c r="L6" s="4"/>
      <c r="M6" s="4"/>
    </row>
    <row r="7" spans="1:13" ht="13.8" hidden="1" outlineLevel="2" thickBot="1">
      <c r="E7" s="84"/>
      <c r="F7" s="23"/>
      <c r="G7" s="66"/>
      <c r="H7" s="19" t="e">
        <f>9*#REF!*1.5/12</f>
        <v>#REF!</v>
      </c>
      <c r="I7" s="19" t="e">
        <f t="shared" ref="I7:I14" si="0">H7</f>
        <v>#REF!</v>
      </c>
      <c r="J7" s="19" t="e">
        <f>H7</f>
        <v>#REF!</v>
      </c>
      <c r="L7" s="4"/>
      <c r="M7" s="4"/>
    </row>
    <row r="8" spans="1:13" ht="13.8" hidden="1" outlineLevel="2" thickBot="1">
      <c r="E8" s="84" t="s">
        <v>925</v>
      </c>
      <c r="F8" s="23" t="s">
        <v>926</v>
      </c>
      <c r="G8" s="66"/>
      <c r="H8" s="19">
        <f>6*6000+150*90</f>
        <v>49500</v>
      </c>
      <c r="I8" s="19">
        <f t="shared" si="0"/>
        <v>49500</v>
      </c>
      <c r="J8" s="19">
        <f t="shared" ref="J8:J14" si="1">H8</f>
        <v>49500</v>
      </c>
      <c r="L8" s="4"/>
      <c r="M8" s="4"/>
    </row>
    <row r="9" spans="1:13" ht="13.8" hidden="1" outlineLevel="2" thickBot="1">
      <c r="E9" s="84" t="s">
        <v>927</v>
      </c>
      <c r="F9" s="23" t="s">
        <v>928</v>
      </c>
      <c r="G9" s="66"/>
      <c r="H9" s="19">
        <f>1*3*6000</f>
        <v>18000</v>
      </c>
      <c r="I9" s="19">
        <f t="shared" si="0"/>
        <v>18000</v>
      </c>
      <c r="J9" s="19">
        <f t="shared" si="1"/>
        <v>18000</v>
      </c>
      <c r="L9" s="4"/>
      <c r="M9" s="4"/>
    </row>
    <row r="10" spans="1:13" ht="13.8" hidden="1" outlineLevel="2" thickBot="1">
      <c r="E10" s="84" t="s">
        <v>929</v>
      </c>
      <c r="F10" s="23" t="s">
        <v>930</v>
      </c>
      <c r="G10" s="66"/>
      <c r="H10" s="19">
        <f>9*3000</f>
        <v>27000</v>
      </c>
      <c r="I10" s="19">
        <f t="shared" si="0"/>
        <v>27000</v>
      </c>
      <c r="J10" s="19">
        <f t="shared" si="1"/>
        <v>27000</v>
      </c>
      <c r="L10" s="4"/>
      <c r="M10" s="4"/>
    </row>
    <row r="11" spans="1:13" ht="13.8" hidden="1" outlineLevel="2" thickBot="1">
      <c r="E11" s="84" t="s">
        <v>931</v>
      </c>
      <c r="F11" s="23" t="s">
        <v>932</v>
      </c>
      <c r="G11" s="66"/>
      <c r="H11" s="19">
        <f>15*75*8</f>
        <v>9000</v>
      </c>
      <c r="I11" s="19">
        <f t="shared" si="0"/>
        <v>9000</v>
      </c>
      <c r="J11" s="19">
        <f t="shared" si="1"/>
        <v>9000</v>
      </c>
      <c r="L11" s="4"/>
      <c r="M11" s="4"/>
    </row>
    <row r="12" spans="1:13" ht="13.8" hidden="1" outlineLevel="2" thickBot="1">
      <c r="E12" s="84" t="s">
        <v>933</v>
      </c>
      <c r="F12" s="23" t="s">
        <v>934</v>
      </c>
      <c r="G12" s="66"/>
      <c r="H12" s="19">
        <f>12*1000</f>
        <v>12000</v>
      </c>
      <c r="I12" s="19">
        <f t="shared" si="0"/>
        <v>12000</v>
      </c>
      <c r="J12" s="19">
        <f t="shared" si="1"/>
        <v>12000</v>
      </c>
      <c r="L12" s="4"/>
      <c r="M12" s="4"/>
    </row>
    <row r="13" spans="1:13" ht="13.8" hidden="1" outlineLevel="2" thickBot="1">
      <c r="E13" s="84"/>
      <c r="F13" s="23" t="s">
        <v>935</v>
      </c>
      <c r="G13" s="66"/>
      <c r="H13" s="19">
        <v>25000</v>
      </c>
      <c r="I13" s="19">
        <f t="shared" si="0"/>
        <v>25000</v>
      </c>
      <c r="J13" s="19">
        <f t="shared" si="1"/>
        <v>25000</v>
      </c>
      <c r="L13" s="4"/>
      <c r="M13" s="4"/>
    </row>
    <row r="14" spans="1:13" ht="13.8" hidden="1" outlineLevel="2" thickBot="1">
      <c r="E14" s="84"/>
      <c r="F14" s="23" t="s">
        <v>936</v>
      </c>
      <c r="G14" s="66"/>
      <c r="H14" s="19">
        <v>40000</v>
      </c>
      <c r="I14" s="19">
        <f t="shared" si="0"/>
        <v>40000</v>
      </c>
      <c r="J14" s="19">
        <f t="shared" si="1"/>
        <v>40000</v>
      </c>
      <c r="L14" s="4"/>
      <c r="M14" s="4"/>
    </row>
    <row r="15" spans="1:13" ht="13.8" hidden="1" outlineLevel="2" thickBot="1">
      <c r="E15" s="84" t="s">
        <v>937</v>
      </c>
      <c r="F15" s="23" t="s">
        <v>938</v>
      </c>
      <c r="G15" s="66"/>
      <c r="H15" s="19" t="e">
        <f>0.4*#REF!</f>
        <v>#REF!</v>
      </c>
      <c r="I15" s="19" t="e">
        <f>H15-J15</f>
        <v>#REF!</v>
      </c>
      <c r="J15" s="19" t="e">
        <f>H15</f>
        <v>#REF!</v>
      </c>
      <c r="L15" s="4"/>
      <c r="M15" s="4"/>
    </row>
    <row r="16" spans="1:13" s="20" customFormat="1" ht="13.8" outlineLevel="1" collapsed="1" thickBot="1">
      <c r="A16" s="20" t="s">
        <v>939</v>
      </c>
      <c r="B16" s="20" t="s">
        <v>921</v>
      </c>
      <c r="C16" s="20" t="s">
        <v>922</v>
      </c>
      <c r="D16" s="20" t="s">
        <v>923</v>
      </c>
      <c r="E16" s="84"/>
      <c r="F16" s="23" t="s">
        <v>940</v>
      </c>
      <c r="G16" s="86"/>
      <c r="H16" s="87">
        <f>SUBTOTAL(9,H6:H6)</f>
        <v>0</v>
      </c>
      <c r="I16" s="87">
        <f>SUBTOTAL(9,I6:I6)</f>
        <v>0</v>
      </c>
      <c r="J16" s="87" t="e">
        <f>SUBTOTAL(9,J6:J15)</f>
        <v>#REF!</v>
      </c>
    </row>
    <row r="17" spans="1:13" ht="13.5" customHeight="1" thickBot="1">
      <c r="A17" s="4" t="s">
        <v>942</v>
      </c>
      <c r="B17" s="4" t="s">
        <v>921</v>
      </c>
      <c r="C17" s="4" t="s">
        <v>922</v>
      </c>
      <c r="D17" s="4" t="s">
        <v>943</v>
      </c>
      <c r="E17" s="159" t="s">
        <v>943</v>
      </c>
      <c r="F17" s="145"/>
      <c r="G17" s="146"/>
      <c r="H17" s="83"/>
      <c r="I17" s="241"/>
      <c r="J17" s="239"/>
      <c r="M17" s="4"/>
    </row>
    <row r="18" spans="1:13" ht="13.5" customHeight="1" outlineLevel="2" thickBot="1">
      <c r="E18" s="84" t="s">
        <v>767</v>
      </c>
      <c r="F18" s="23"/>
      <c r="G18" s="66"/>
      <c r="H18" s="585">
        <f>MobStaff!$F$19</f>
        <v>145405.93539999999</v>
      </c>
      <c r="I18" s="19">
        <f>H18</f>
        <v>145405.93539999999</v>
      </c>
      <c r="J18" s="19">
        <f>H18</f>
        <v>145405.93539999999</v>
      </c>
      <c r="L18" s="4"/>
      <c r="M18" s="4"/>
    </row>
    <row r="19" spans="1:13" ht="13.5" customHeight="1" outlineLevel="2" thickBot="1">
      <c r="F19" s="23"/>
      <c r="G19" s="66"/>
      <c r="H19" s="19"/>
      <c r="I19" s="19"/>
      <c r="J19" s="19"/>
      <c r="L19" s="4"/>
      <c r="M19" s="4"/>
    </row>
    <row r="20" spans="1:13" ht="13.5" customHeight="1" outlineLevel="2" thickBot="1">
      <c r="E20" s="84"/>
      <c r="F20" s="23"/>
      <c r="G20" s="66"/>
      <c r="H20" s="19"/>
      <c r="I20" s="19"/>
      <c r="J20" s="19"/>
      <c r="L20" s="4"/>
      <c r="M20" s="4"/>
    </row>
    <row r="21" spans="1:13" ht="13.5" customHeight="1" outlineLevel="2" thickBot="1">
      <c r="E21" s="84"/>
      <c r="F21" s="23"/>
      <c r="G21" s="66"/>
      <c r="H21" s="19"/>
      <c r="I21" s="19"/>
      <c r="J21" s="19"/>
      <c r="L21" s="4"/>
      <c r="M21" s="4"/>
    </row>
    <row r="22" spans="1:13" s="20" customFormat="1" ht="13.5" customHeight="1" outlineLevel="1" thickBot="1">
      <c r="A22" s="85" t="s">
        <v>944</v>
      </c>
      <c r="B22" s="20" t="s">
        <v>921</v>
      </c>
      <c r="C22" s="20" t="s">
        <v>922</v>
      </c>
      <c r="D22" s="20" t="s">
        <v>943</v>
      </c>
      <c r="E22" s="84" t="s">
        <v>945</v>
      </c>
      <c r="F22" s="23"/>
      <c r="G22" s="86" t="s">
        <v>941</v>
      </c>
      <c r="H22" s="87">
        <f>SUBTOTAL(9,H18:H21)</f>
        <v>145405.93539999999</v>
      </c>
      <c r="I22" s="87">
        <f>SUBTOTAL(9,I18:I21)</f>
        <v>145405.93539999999</v>
      </c>
      <c r="J22" s="87">
        <f>SUBTOTAL(9,J18:J21)</f>
        <v>145405.93539999999</v>
      </c>
    </row>
    <row r="23" spans="1:13" s="20" customFormat="1" ht="13.5" customHeight="1" outlineLevel="1" thickBot="1">
      <c r="A23" s="4" t="s">
        <v>946</v>
      </c>
      <c r="B23" s="4" t="s">
        <v>921</v>
      </c>
      <c r="C23" s="4" t="s">
        <v>922</v>
      </c>
      <c r="D23" s="4" t="s">
        <v>266</v>
      </c>
      <c r="E23" s="159" t="s">
        <v>266</v>
      </c>
      <c r="F23" s="145"/>
      <c r="G23" s="146"/>
      <c r="H23" s="88"/>
      <c r="I23" s="240"/>
      <c r="J23" s="240"/>
    </row>
    <row r="24" spans="1:13" ht="13.5" hidden="1" customHeight="1" outlineLevel="2" thickBot="1">
      <c r="A24" s="4" t="str">
        <f>B24&amp;C24&amp;D24</f>
        <v>O&amp;M Mobilization BudgetOperating ExpensesEmployee Expenses</v>
      </c>
      <c r="B24" s="4" t="s">
        <v>921</v>
      </c>
      <c r="C24" s="4" t="s">
        <v>922</v>
      </c>
      <c r="D24" s="4" t="s">
        <v>266</v>
      </c>
      <c r="E24" s="84" t="s">
        <v>947</v>
      </c>
      <c r="F24" s="23" t="s">
        <v>948</v>
      </c>
      <c r="G24" s="66"/>
      <c r="H24" s="19">
        <v>0</v>
      </c>
      <c r="I24" s="19">
        <f>H24-J24</f>
        <v>0</v>
      </c>
      <c r="J24" s="19"/>
      <c r="L24" s="4"/>
      <c r="M24" s="4"/>
    </row>
    <row r="25" spans="1:13" ht="13.5" hidden="1" customHeight="1" outlineLevel="2" thickBot="1">
      <c r="E25" s="84" t="s">
        <v>949</v>
      </c>
      <c r="F25" s="23" t="s">
        <v>950</v>
      </c>
      <c r="G25" s="66"/>
      <c r="H25" s="19">
        <f>0.33*H24</f>
        <v>0</v>
      </c>
      <c r="I25" s="19">
        <f>H25-J25</f>
        <v>0</v>
      </c>
      <c r="J25" s="19"/>
      <c r="L25" s="4"/>
      <c r="M25" s="4"/>
    </row>
    <row r="26" spans="1:13" ht="13.5" hidden="1" customHeight="1" outlineLevel="2" thickBot="1">
      <c r="E26" s="84" t="s">
        <v>951</v>
      </c>
      <c r="F26" s="23" t="s">
        <v>952</v>
      </c>
      <c r="G26" s="66"/>
      <c r="H26" s="19"/>
      <c r="I26" s="19">
        <f>H26-J26</f>
        <v>0</v>
      </c>
      <c r="J26" s="19"/>
      <c r="L26" s="4"/>
      <c r="M26" s="4"/>
    </row>
    <row r="27" spans="1:13" ht="13.5" customHeight="1" outlineLevel="2" thickBot="1">
      <c r="E27" s="84"/>
      <c r="F27" s="23"/>
      <c r="G27" s="66"/>
      <c r="H27" s="19"/>
      <c r="I27" s="19"/>
      <c r="J27" s="19"/>
      <c r="L27" s="4"/>
      <c r="M27" s="4"/>
    </row>
    <row r="28" spans="1:13" s="20" customFormat="1" ht="13.5" customHeight="1" outlineLevel="1" thickBot="1">
      <c r="A28" s="20" t="s">
        <v>953</v>
      </c>
      <c r="B28" s="20" t="s">
        <v>921</v>
      </c>
      <c r="C28" s="20" t="s">
        <v>922</v>
      </c>
      <c r="D28" s="20" t="s">
        <v>266</v>
      </c>
      <c r="E28" s="84" t="s">
        <v>954</v>
      </c>
      <c r="F28" s="23"/>
      <c r="G28" s="86" t="s">
        <v>941</v>
      </c>
      <c r="H28" s="87">
        <f>SUBTOTAL(9,H24:H26)</f>
        <v>0</v>
      </c>
      <c r="I28" s="87">
        <f>SUBTOTAL(9,I24:I26)</f>
        <v>0</v>
      </c>
      <c r="J28" s="87">
        <f>SUBTOTAL(9,J24:J26)</f>
        <v>0</v>
      </c>
    </row>
    <row r="29" spans="1:13" s="20" customFormat="1" ht="13.5" customHeight="1" outlineLevel="1" thickBot="1">
      <c r="A29" s="4" t="s">
        <v>955</v>
      </c>
      <c r="B29" s="4" t="s">
        <v>921</v>
      </c>
      <c r="C29" s="4" t="s">
        <v>922</v>
      </c>
      <c r="D29" s="4" t="s">
        <v>267</v>
      </c>
      <c r="E29" s="159" t="s">
        <v>267</v>
      </c>
      <c r="F29" s="145"/>
      <c r="G29" s="146"/>
      <c r="H29" s="88"/>
      <c r="I29" s="240"/>
      <c r="J29" s="88"/>
    </row>
    <row r="30" spans="1:13" ht="13.8" hidden="1" outlineLevel="2" thickBot="1">
      <c r="A30" s="4" t="str">
        <f>B30&amp;C30&amp;D30</f>
        <v>O&amp;M Mobilization BudgetOperating ExpensesRecruiting Expenses</v>
      </c>
      <c r="B30" s="4" t="s">
        <v>921</v>
      </c>
      <c r="C30" s="4" t="s">
        <v>922</v>
      </c>
      <c r="D30" s="4" t="s">
        <v>267</v>
      </c>
      <c r="E30" s="84"/>
      <c r="F30" s="23"/>
      <c r="G30" s="66"/>
      <c r="H30" s="19">
        <v>0</v>
      </c>
      <c r="I30" s="19">
        <f>H30-J30</f>
        <v>0</v>
      </c>
      <c r="J30" s="19"/>
      <c r="L30" s="4"/>
      <c r="M30" s="4"/>
    </row>
    <row r="31" spans="1:13" ht="13.5" hidden="1" customHeight="1" outlineLevel="2" thickBot="1">
      <c r="A31" s="4" t="str">
        <f>B31&amp;C31&amp;D31</f>
        <v>O&amp;M Mobilization BudgetOperating ExpensesRecruiting Expenses</v>
      </c>
      <c r="B31" s="4" t="s">
        <v>921</v>
      </c>
      <c r="C31" s="4" t="s">
        <v>922</v>
      </c>
      <c r="D31" s="4" t="s">
        <v>267</v>
      </c>
      <c r="E31" s="84" t="s">
        <v>1009</v>
      </c>
      <c r="F31" s="23" t="s">
        <v>1010</v>
      </c>
      <c r="G31" s="66"/>
      <c r="H31" s="19">
        <v>0</v>
      </c>
      <c r="I31" s="19">
        <f>H31-J31</f>
        <v>0</v>
      </c>
      <c r="J31" s="19">
        <f>H31</f>
        <v>0</v>
      </c>
      <c r="L31" s="4"/>
      <c r="M31" s="4"/>
    </row>
    <row r="32" spans="1:13" ht="13.5" customHeight="1" outlineLevel="2" thickBot="1">
      <c r="E32" s="84" t="s">
        <v>956</v>
      </c>
      <c r="F32" s="23" t="s">
        <v>957</v>
      </c>
      <c r="G32" s="66"/>
      <c r="H32" s="19">
        <f>120*75</f>
        <v>9000</v>
      </c>
      <c r="I32" s="19">
        <f>H32-J32</f>
        <v>9000</v>
      </c>
      <c r="J32" s="19"/>
      <c r="L32" s="4"/>
      <c r="M32" s="4"/>
    </row>
    <row r="33" spans="1:13" ht="13.5" customHeight="1" outlineLevel="2" thickBot="1">
      <c r="E33" s="84" t="s">
        <v>958</v>
      </c>
      <c r="F33" s="23" t="s">
        <v>959</v>
      </c>
      <c r="G33" s="66"/>
      <c r="H33" s="19">
        <f>5*2000+150*25</f>
        <v>13750</v>
      </c>
      <c r="I33" s="19">
        <f>H33-J33</f>
        <v>13750</v>
      </c>
      <c r="J33" s="19"/>
      <c r="L33" s="4"/>
      <c r="M33" s="4"/>
    </row>
    <row r="34" spans="1:13" ht="13.5" customHeight="1" outlineLevel="2" thickBot="1">
      <c r="E34" s="84"/>
      <c r="F34" s="23"/>
      <c r="G34" s="66"/>
      <c r="H34" s="19"/>
      <c r="I34" s="19"/>
      <c r="J34" s="19"/>
      <c r="L34" s="4"/>
      <c r="M34" s="4"/>
    </row>
    <row r="35" spans="1:13" s="20" customFormat="1" ht="13.8" outlineLevel="1" thickBot="1">
      <c r="A35" s="20" t="s">
        <v>960</v>
      </c>
      <c r="B35" s="20" t="s">
        <v>921</v>
      </c>
      <c r="C35" s="20" t="s">
        <v>922</v>
      </c>
      <c r="D35" s="20" t="s">
        <v>267</v>
      </c>
      <c r="E35" s="84" t="s">
        <v>599</v>
      </c>
      <c r="F35" s="23"/>
      <c r="G35" s="86" t="s">
        <v>941</v>
      </c>
      <c r="H35" s="87">
        <f>SUBTOTAL(9,H30:H34)</f>
        <v>22750</v>
      </c>
      <c r="I35" s="87">
        <f>SUBTOTAL(9,I30:I34)</f>
        <v>22750</v>
      </c>
      <c r="J35" s="87">
        <f>SUBTOTAL(9,J30:J34)</f>
        <v>0</v>
      </c>
    </row>
    <row r="36" spans="1:13" s="20" customFormat="1" ht="13.8" outlineLevel="1" thickBot="1">
      <c r="A36" s="4" t="s">
        <v>961</v>
      </c>
      <c r="B36" s="4" t="s">
        <v>921</v>
      </c>
      <c r="C36" s="4" t="s">
        <v>922</v>
      </c>
      <c r="D36" s="4" t="s">
        <v>268</v>
      </c>
      <c r="E36" s="159" t="s">
        <v>268</v>
      </c>
      <c r="F36" s="145"/>
      <c r="G36" s="146"/>
      <c r="H36" s="88"/>
      <c r="I36" s="240"/>
      <c r="J36" s="88"/>
    </row>
    <row r="37" spans="1:13" ht="13.8" outlineLevel="2" thickBot="1">
      <c r="A37" s="4" t="str">
        <f>B37&amp;C37&amp;D37</f>
        <v>O&amp;M Mobilization BudgetOperating ExpensesRelocation Expenses</v>
      </c>
      <c r="B37" s="4" t="s">
        <v>921</v>
      </c>
      <c r="C37" s="4" t="s">
        <v>922</v>
      </c>
      <c r="D37" s="4" t="s">
        <v>268</v>
      </c>
      <c r="E37" s="84" t="s">
        <v>1008</v>
      </c>
      <c r="F37" s="23" t="s">
        <v>1007</v>
      </c>
      <c r="G37" s="66"/>
      <c r="H37" s="19">
        <f>MobStaff!$J$46*0.5</f>
        <v>40000</v>
      </c>
      <c r="I37" s="19">
        <f>H37-J37</f>
        <v>40000</v>
      </c>
      <c r="J37" s="19"/>
      <c r="L37" s="4"/>
      <c r="M37" s="4"/>
    </row>
    <row r="38" spans="1:13" ht="13.8" outlineLevel="2" thickBot="1">
      <c r="E38" s="84" t="s">
        <v>1009</v>
      </c>
      <c r="F38" s="23" t="s">
        <v>1010</v>
      </c>
      <c r="G38" s="66"/>
      <c r="H38" s="19">
        <v>0</v>
      </c>
      <c r="I38" s="19">
        <f>H38-J38</f>
        <v>0</v>
      </c>
      <c r="J38" s="19"/>
      <c r="L38" s="4"/>
      <c r="M38" s="4"/>
    </row>
    <row r="39" spans="1:13" ht="13.8" hidden="1" outlineLevel="2" thickBot="1">
      <c r="E39" s="84"/>
      <c r="F39" s="23"/>
      <c r="G39" s="66"/>
      <c r="H39" s="19">
        <v>0</v>
      </c>
      <c r="I39" s="19">
        <f>H39-J39</f>
        <v>0</v>
      </c>
      <c r="J39" s="19">
        <f>H39</f>
        <v>0</v>
      </c>
      <c r="L39" s="4"/>
      <c r="M39" s="4"/>
    </row>
    <row r="40" spans="1:13" ht="13.8" hidden="1" outlineLevel="2" thickBot="1">
      <c r="E40" s="84"/>
      <c r="F40" s="23"/>
      <c r="G40" s="66"/>
      <c r="H40" s="19">
        <v>0</v>
      </c>
      <c r="I40" s="19">
        <f>H40-J40</f>
        <v>0</v>
      </c>
      <c r="J40" s="19"/>
      <c r="L40" s="4"/>
      <c r="M40" s="4"/>
    </row>
    <row r="41" spans="1:13" ht="13.8" hidden="1" outlineLevel="2" thickBot="1">
      <c r="E41" s="84" t="s">
        <v>962</v>
      </c>
      <c r="F41" s="23" t="s">
        <v>963</v>
      </c>
      <c r="G41" s="66"/>
      <c r="H41" s="19"/>
      <c r="I41" s="19">
        <f>H41-J41</f>
        <v>0</v>
      </c>
      <c r="J41" s="19"/>
      <c r="L41" s="4"/>
      <c r="M41" s="4"/>
    </row>
    <row r="42" spans="1:13" ht="13.8" outlineLevel="2" thickBot="1">
      <c r="E42" s="84"/>
      <c r="F42" s="23"/>
      <c r="G42" s="66"/>
      <c r="H42" s="19"/>
      <c r="I42" s="19"/>
      <c r="J42" s="19"/>
      <c r="L42" s="4"/>
      <c r="M42" s="4"/>
    </row>
    <row r="43" spans="1:13" s="20" customFormat="1" ht="13.8" outlineLevel="1" thickBot="1">
      <c r="A43" s="20" t="s">
        <v>964</v>
      </c>
      <c r="B43" s="20" t="s">
        <v>921</v>
      </c>
      <c r="C43" s="20" t="s">
        <v>922</v>
      </c>
      <c r="D43" s="20" t="s">
        <v>268</v>
      </c>
      <c r="E43" s="84" t="s">
        <v>599</v>
      </c>
      <c r="F43" s="23"/>
      <c r="G43" s="86" t="s">
        <v>941</v>
      </c>
      <c r="H43" s="87">
        <f>SUBTOTAL(9,H37:H42)</f>
        <v>40000</v>
      </c>
      <c r="I43" s="87">
        <f>SUBTOTAL(9,I37:I42)</f>
        <v>40000</v>
      </c>
      <c r="J43" s="87">
        <f>SUBTOTAL(9,J37:J42)</f>
        <v>0</v>
      </c>
    </row>
    <row r="44" spans="1:13" s="20" customFormat="1" ht="13.8" outlineLevel="1" thickBot="1">
      <c r="A44" s="4" t="s">
        <v>965</v>
      </c>
      <c r="B44" s="4" t="s">
        <v>921</v>
      </c>
      <c r="C44" s="4" t="s">
        <v>922</v>
      </c>
      <c r="D44" s="4" t="s">
        <v>269</v>
      </c>
      <c r="E44" s="159" t="s">
        <v>269</v>
      </c>
      <c r="F44" s="145"/>
      <c r="G44" s="146"/>
      <c r="H44" s="88"/>
      <c r="I44" s="88"/>
      <c r="J44" s="88"/>
    </row>
    <row r="45" spans="1:13" ht="13.8" hidden="1" outlineLevel="2" thickBot="1">
      <c r="A45" s="4" t="str">
        <f t="shared" ref="A45:A61" si="2">B45&amp;C45&amp;D45</f>
        <v>O&amp;M Mobilization BudgetOperating ExpensesOutside Services</v>
      </c>
      <c r="B45" s="4" t="s">
        <v>921</v>
      </c>
      <c r="C45" s="4" t="s">
        <v>922</v>
      </c>
      <c r="D45" s="4" t="s">
        <v>269</v>
      </c>
      <c r="E45" s="84" t="s">
        <v>966</v>
      </c>
      <c r="F45" s="23" t="s">
        <v>967</v>
      </c>
      <c r="G45" s="66"/>
      <c r="H45" s="19">
        <v>0</v>
      </c>
      <c r="I45" s="19">
        <f t="shared" ref="I45:I66" si="3">H45-J45</f>
        <v>0</v>
      </c>
      <c r="J45" s="19"/>
      <c r="L45" s="4"/>
      <c r="M45" s="4"/>
    </row>
    <row r="46" spans="1:13" ht="13.8" hidden="1" outlineLevel="2" thickBot="1">
      <c r="E46" s="84" t="s">
        <v>968</v>
      </c>
      <c r="F46" s="23"/>
      <c r="G46" s="66"/>
      <c r="H46" s="19">
        <v>0</v>
      </c>
      <c r="I46" s="19">
        <f t="shared" si="3"/>
        <v>0</v>
      </c>
      <c r="J46" s="19"/>
      <c r="L46" s="4"/>
      <c r="M46" s="4"/>
    </row>
    <row r="47" spans="1:13" ht="13.8" hidden="1" outlineLevel="2" thickBot="1">
      <c r="A47" s="4" t="str">
        <f t="shared" si="2"/>
        <v>O&amp;M Mobilization BudgetOperating ExpensesOutside Services</v>
      </c>
      <c r="B47" s="4" t="s">
        <v>921</v>
      </c>
      <c r="C47" s="4" t="s">
        <v>922</v>
      </c>
      <c r="D47" s="4" t="s">
        <v>269</v>
      </c>
      <c r="E47" s="84" t="s">
        <v>969</v>
      </c>
      <c r="F47" s="23" t="s">
        <v>970</v>
      </c>
      <c r="G47" s="66"/>
      <c r="H47" s="19">
        <v>0</v>
      </c>
      <c r="I47" s="19">
        <f t="shared" si="3"/>
        <v>0</v>
      </c>
      <c r="J47" s="19"/>
      <c r="L47" s="4"/>
      <c r="M47" s="4"/>
    </row>
    <row r="48" spans="1:13" ht="13.8" hidden="1" outlineLevel="2" thickBot="1">
      <c r="A48" s="4" t="str">
        <f t="shared" si="2"/>
        <v>O&amp;M Mobilization BudgetOperating ExpensesOutside Services</v>
      </c>
      <c r="B48" s="4" t="s">
        <v>921</v>
      </c>
      <c r="C48" s="4" t="s">
        <v>922</v>
      </c>
      <c r="D48" s="4" t="s">
        <v>269</v>
      </c>
      <c r="E48" s="84" t="s">
        <v>971</v>
      </c>
      <c r="F48" s="23" t="s">
        <v>970</v>
      </c>
      <c r="G48" s="66"/>
      <c r="H48" s="19">
        <v>0</v>
      </c>
      <c r="I48" s="19">
        <f t="shared" si="3"/>
        <v>0</v>
      </c>
      <c r="J48" s="19"/>
      <c r="L48" s="4"/>
      <c r="M48" s="4"/>
    </row>
    <row r="49" spans="1:13" ht="13.8" hidden="1" outlineLevel="2" thickBot="1">
      <c r="A49" s="4" t="str">
        <f t="shared" si="2"/>
        <v>O&amp;M Mobilization BudgetOperating ExpensesOutside Services</v>
      </c>
      <c r="B49" s="4" t="s">
        <v>921</v>
      </c>
      <c r="C49" s="4" t="s">
        <v>922</v>
      </c>
      <c r="D49" s="4" t="s">
        <v>269</v>
      </c>
      <c r="E49" s="84" t="s">
        <v>972</v>
      </c>
      <c r="F49" s="23" t="s">
        <v>973</v>
      </c>
      <c r="G49" s="66"/>
      <c r="H49" s="19"/>
      <c r="I49" s="19">
        <f t="shared" si="3"/>
        <v>0</v>
      </c>
      <c r="J49" s="19"/>
      <c r="L49" s="4"/>
      <c r="M49" s="4"/>
    </row>
    <row r="50" spans="1:13" ht="13.8" hidden="1" outlineLevel="2" thickBot="1">
      <c r="A50" s="4" t="str">
        <f t="shared" si="2"/>
        <v>O&amp;M Mobilization BudgetOperating ExpensesOutside Services</v>
      </c>
      <c r="B50" s="4" t="s">
        <v>921</v>
      </c>
      <c r="C50" s="4" t="s">
        <v>922</v>
      </c>
      <c r="D50" s="4" t="s">
        <v>269</v>
      </c>
      <c r="E50" s="84" t="s">
        <v>974</v>
      </c>
      <c r="F50" s="23" t="s">
        <v>975</v>
      </c>
      <c r="G50" s="66"/>
      <c r="H50" s="19"/>
      <c r="I50" s="19">
        <f t="shared" si="3"/>
        <v>0</v>
      </c>
      <c r="J50" s="19"/>
      <c r="L50" s="4"/>
      <c r="M50" s="4"/>
    </row>
    <row r="51" spans="1:13" ht="13.8" hidden="1" outlineLevel="2" thickBot="1">
      <c r="A51" s="4" t="str">
        <f t="shared" si="2"/>
        <v>O&amp;M Mobilization BudgetOperating ExpensesOutside Services</v>
      </c>
      <c r="B51" s="4" t="s">
        <v>921</v>
      </c>
      <c r="C51" s="4" t="s">
        <v>922</v>
      </c>
      <c r="D51" s="4" t="s">
        <v>269</v>
      </c>
      <c r="E51" s="84" t="s">
        <v>976</v>
      </c>
      <c r="F51" s="23" t="s">
        <v>977</v>
      </c>
      <c r="G51" s="66"/>
      <c r="H51" s="19"/>
      <c r="I51" s="19">
        <f t="shared" si="3"/>
        <v>0</v>
      </c>
      <c r="J51" s="19"/>
      <c r="L51" s="4"/>
      <c r="M51" s="4"/>
    </row>
    <row r="52" spans="1:13" ht="13.8" hidden="1" outlineLevel="2" thickBot="1">
      <c r="A52" s="4" t="str">
        <f t="shared" si="2"/>
        <v>O&amp;M Mobilization BudgetOperating ExpensesOutside Services</v>
      </c>
      <c r="B52" s="4" t="s">
        <v>921</v>
      </c>
      <c r="C52" s="4" t="s">
        <v>922</v>
      </c>
      <c r="D52" s="4" t="s">
        <v>269</v>
      </c>
      <c r="E52" s="84" t="s">
        <v>978</v>
      </c>
      <c r="F52" s="23"/>
      <c r="G52" s="66"/>
      <c r="H52" s="19"/>
      <c r="I52" s="19">
        <f t="shared" si="3"/>
        <v>0</v>
      </c>
      <c r="J52" s="19"/>
      <c r="L52" s="4"/>
      <c r="M52" s="4"/>
    </row>
    <row r="53" spans="1:13" ht="13.8" hidden="1" outlineLevel="2" thickBot="1">
      <c r="E53" s="84" t="s">
        <v>979</v>
      </c>
      <c r="F53" s="23" t="s">
        <v>980</v>
      </c>
      <c r="G53" s="66"/>
      <c r="H53" s="19">
        <v>0</v>
      </c>
      <c r="I53" s="19">
        <f t="shared" si="3"/>
        <v>0</v>
      </c>
      <c r="J53" s="19"/>
      <c r="L53" s="4"/>
      <c r="M53" s="4"/>
    </row>
    <row r="54" spans="1:13" ht="13.8" hidden="1" outlineLevel="2" thickBot="1">
      <c r="E54" s="84" t="s">
        <v>981</v>
      </c>
      <c r="F54" s="23" t="s">
        <v>975</v>
      </c>
      <c r="G54" s="66"/>
      <c r="H54" s="19"/>
      <c r="I54" s="19">
        <f t="shared" si="3"/>
        <v>0</v>
      </c>
      <c r="J54" s="19"/>
      <c r="L54" s="4"/>
      <c r="M54" s="4"/>
    </row>
    <row r="55" spans="1:13" ht="13.8" outlineLevel="2" thickBot="1">
      <c r="A55" s="4" t="str">
        <f t="shared" si="2"/>
        <v>O&amp;M Mobilization BudgetOperating ExpensesOutside Services</v>
      </c>
      <c r="B55" s="4" t="s">
        <v>921</v>
      </c>
      <c r="C55" s="4" t="s">
        <v>922</v>
      </c>
      <c r="D55" s="4" t="s">
        <v>269</v>
      </c>
      <c r="E55" s="84" t="s">
        <v>982</v>
      </c>
      <c r="F55" s="23" t="s">
        <v>983</v>
      </c>
      <c r="G55" s="66"/>
      <c r="H55" s="19">
        <f>80*125</f>
        <v>10000</v>
      </c>
      <c r="I55" s="19">
        <f t="shared" si="3"/>
        <v>0</v>
      </c>
      <c r="J55" s="19">
        <f t="shared" ref="J55:J62" si="4">H55</f>
        <v>10000</v>
      </c>
      <c r="L55" s="4"/>
      <c r="M55" s="4"/>
    </row>
    <row r="56" spans="1:13" ht="13.8" outlineLevel="2" thickBot="1">
      <c r="E56" s="84" t="s">
        <v>984</v>
      </c>
      <c r="F56" s="23" t="s">
        <v>985</v>
      </c>
      <c r="G56" s="66"/>
      <c r="H56" s="19">
        <f>80*75</f>
        <v>6000</v>
      </c>
      <c r="I56" s="19">
        <f t="shared" si="3"/>
        <v>0</v>
      </c>
      <c r="J56" s="19">
        <f t="shared" si="4"/>
        <v>6000</v>
      </c>
      <c r="L56" s="4"/>
      <c r="M56" s="4"/>
    </row>
    <row r="57" spans="1:13" ht="13.8" outlineLevel="2" thickBot="1">
      <c r="A57" s="4" t="str">
        <f t="shared" si="2"/>
        <v>O&amp;M Mobilization BudgetOperating ExpensesOutside Services</v>
      </c>
      <c r="B57" s="4" t="s">
        <v>921</v>
      </c>
      <c r="C57" s="4" t="s">
        <v>922</v>
      </c>
      <c r="D57" s="4" t="s">
        <v>269</v>
      </c>
      <c r="E57" s="84" t="s">
        <v>986</v>
      </c>
      <c r="F57" s="23" t="s">
        <v>1413</v>
      </c>
      <c r="G57" s="66"/>
      <c r="H57" s="19">
        <f>160*75+2*1000+30*150</f>
        <v>18500</v>
      </c>
      <c r="I57" s="19">
        <f t="shared" si="3"/>
        <v>0</v>
      </c>
      <c r="J57" s="19">
        <f t="shared" si="4"/>
        <v>18500</v>
      </c>
      <c r="L57" s="4"/>
      <c r="M57" s="4"/>
    </row>
    <row r="58" spans="1:13" ht="13.8" outlineLevel="2" thickBot="1">
      <c r="A58" s="4" t="str">
        <f t="shared" si="2"/>
        <v>O&amp;M Mobilization BudgetOperating ExpensesOutside Services</v>
      </c>
      <c r="B58" s="4" t="s">
        <v>921</v>
      </c>
      <c r="C58" s="4" t="s">
        <v>922</v>
      </c>
      <c r="D58" s="4" t="s">
        <v>269</v>
      </c>
      <c r="E58" s="84" t="s">
        <v>987</v>
      </c>
      <c r="F58" s="23" t="s">
        <v>988</v>
      </c>
      <c r="G58" s="66"/>
      <c r="H58" s="19">
        <f>80*75+2*3000+15*150</f>
        <v>14250</v>
      </c>
      <c r="I58" s="19">
        <f t="shared" si="3"/>
        <v>0</v>
      </c>
      <c r="J58" s="19">
        <f t="shared" si="4"/>
        <v>14250</v>
      </c>
      <c r="L58" s="4"/>
      <c r="M58" s="4"/>
    </row>
    <row r="59" spans="1:13" ht="13.8" outlineLevel="2" thickBot="1">
      <c r="A59" s="4" t="str">
        <f t="shared" si="2"/>
        <v>O&amp;M Mobilization BudgetOperating ExpensesOutside Services</v>
      </c>
      <c r="B59" s="4" t="s">
        <v>921</v>
      </c>
      <c r="C59" s="4" t="s">
        <v>922</v>
      </c>
      <c r="D59" s="4" t="s">
        <v>269</v>
      </c>
      <c r="E59" s="84" t="s">
        <v>989</v>
      </c>
      <c r="F59" s="23" t="s">
        <v>990</v>
      </c>
      <c r="G59" s="66"/>
      <c r="H59" s="19">
        <f>80*75+3000+7*150</f>
        <v>10050</v>
      </c>
      <c r="I59" s="19">
        <f t="shared" si="3"/>
        <v>0</v>
      </c>
      <c r="J59" s="19">
        <f t="shared" si="4"/>
        <v>10050</v>
      </c>
      <c r="L59" s="4"/>
      <c r="M59" s="4"/>
    </row>
    <row r="60" spans="1:13" ht="13.8" outlineLevel="2" thickBot="1">
      <c r="E60" s="84" t="s">
        <v>991</v>
      </c>
      <c r="F60" s="23" t="s">
        <v>992</v>
      </c>
      <c r="G60" s="66"/>
      <c r="H60" s="19">
        <f>120*75+2*3000+14*150</f>
        <v>17100</v>
      </c>
      <c r="I60" s="19">
        <f t="shared" si="3"/>
        <v>0</v>
      </c>
      <c r="J60" s="19">
        <f t="shared" si="4"/>
        <v>17100</v>
      </c>
      <c r="L60" s="4"/>
      <c r="M60" s="4"/>
    </row>
    <row r="61" spans="1:13" ht="13.8" hidden="1" outlineLevel="2" thickBot="1">
      <c r="A61" s="4" t="str">
        <f t="shared" si="2"/>
        <v>O&amp;M Mobilization BudgetOperating ExpensesOutside Services</v>
      </c>
      <c r="B61" s="4" t="s">
        <v>921</v>
      </c>
      <c r="C61" s="4" t="s">
        <v>922</v>
      </c>
      <c r="D61" s="4" t="s">
        <v>269</v>
      </c>
      <c r="E61" s="84" t="s">
        <v>993</v>
      </c>
      <c r="F61" s="23" t="s">
        <v>994</v>
      </c>
      <c r="G61" s="66"/>
      <c r="H61" s="19">
        <v>0</v>
      </c>
      <c r="I61" s="19">
        <f t="shared" si="3"/>
        <v>0</v>
      </c>
      <c r="J61" s="19">
        <f t="shared" si="4"/>
        <v>0</v>
      </c>
      <c r="L61" s="4"/>
      <c r="M61" s="4"/>
    </row>
    <row r="62" spans="1:13" ht="13.8" hidden="1" outlineLevel="2" thickBot="1">
      <c r="E62" s="84" t="s">
        <v>995</v>
      </c>
      <c r="F62" s="23" t="s">
        <v>996</v>
      </c>
      <c r="G62" s="66"/>
      <c r="H62" s="19">
        <v>0</v>
      </c>
      <c r="I62" s="19">
        <f t="shared" si="3"/>
        <v>0</v>
      </c>
      <c r="J62" s="19">
        <f t="shared" si="4"/>
        <v>0</v>
      </c>
      <c r="L62" s="4"/>
      <c r="M62" s="4"/>
    </row>
    <row r="63" spans="1:13" ht="13.8" hidden="1" outlineLevel="2" thickBot="1">
      <c r="E63" s="84" t="s">
        <v>997</v>
      </c>
      <c r="F63" s="23" t="s">
        <v>970</v>
      </c>
      <c r="G63" s="66"/>
      <c r="H63" s="19">
        <v>0</v>
      </c>
      <c r="I63" s="19">
        <f t="shared" si="3"/>
        <v>0</v>
      </c>
      <c r="J63" s="19"/>
      <c r="L63" s="4"/>
      <c r="M63" s="4"/>
    </row>
    <row r="64" spans="1:13" ht="13.8" hidden="1" outlineLevel="2" thickBot="1">
      <c r="E64" s="84" t="s">
        <v>998</v>
      </c>
      <c r="F64" s="23" t="s">
        <v>970</v>
      </c>
      <c r="G64" s="66"/>
      <c r="H64" s="19">
        <v>0</v>
      </c>
      <c r="I64" s="19">
        <f t="shared" si="3"/>
        <v>0</v>
      </c>
      <c r="J64" s="19"/>
      <c r="L64" s="4"/>
      <c r="M64" s="4"/>
    </row>
    <row r="65" spans="1:13" ht="13.8" hidden="1" outlineLevel="2" thickBot="1">
      <c r="E65" s="84" t="s">
        <v>999</v>
      </c>
      <c r="F65" s="23"/>
      <c r="G65" s="66"/>
      <c r="H65" s="19">
        <v>0</v>
      </c>
      <c r="I65" s="19">
        <f t="shared" si="3"/>
        <v>0</v>
      </c>
      <c r="J65" s="19"/>
      <c r="L65" s="4"/>
      <c r="M65" s="4"/>
    </row>
    <row r="66" spans="1:13" ht="13.8" outlineLevel="2" thickBot="1">
      <c r="A66" s="4" t="str">
        <f>B66&amp;C66&amp;D66</f>
        <v>O&amp;M Mobilization BudgetOperating ExpensesOutside Services</v>
      </c>
      <c r="B66" s="4" t="s">
        <v>921</v>
      </c>
      <c r="C66" s="4" t="s">
        <v>922</v>
      </c>
      <c r="D66" s="4" t="s">
        <v>269</v>
      </c>
      <c r="E66" s="84" t="s">
        <v>1000</v>
      </c>
      <c r="F66" s="23"/>
      <c r="G66" s="66"/>
      <c r="H66" s="19">
        <v>2000</v>
      </c>
      <c r="I66" s="19">
        <f t="shared" si="3"/>
        <v>2000</v>
      </c>
      <c r="J66" s="19"/>
      <c r="L66" s="4"/>
      <c r="M66" s="4"/>
    </row>
    <row r="67" spans="1:13" ht="13.8" outlineLevel="2" thickBot="1">
      <c r="E67" s="84"/>
      <c r="F67" s="23"/>
      <c r="G67" s="66"/>
      <c r="H67" s="19"/>
      <c r="I67" s="19"/>
      <c r="J67" s="19"/>
      <c r="L67" s="4"/>
      <c r="M67" s="4"/>
    </row>
    <row r="68" spans="1:13" s="20" customFormat="1" ht="13.8" outlineLevel="1" thickBot="1">
      <c r="A68" s="20" t="s">
        <v>1001</v>
      </c>
      <c r="B68" s="20" t="s">
        <v>921</v>
      </c>
      <c r="C68" s="20" t="s">
        <v>922</v>
      </c>
      <c r="D68" s="20" t="s">
        <v>269</v>
      </c>
      <c r="E68" s="84" t="s">
        <v>1002</v>
      </c>
      <c r="F68" s="23"/>
      <c r="G68" s="86" t="s">
        <v>941</v>
      </c>
      <c r="H68" s="87">
        <v>25000</v>
      </c>
      <c r="I68" s="87">
        <f>SUBTOTAL(9,I45:I67)</f>
        <v>2000</v>
      </c>
      <c r="J68" s="87">
        <f>SUBTOTAL(9,J45:J67)</f>
        <v>75900</v>
      </c>
    </row>
    <row r="69" spans="1:13" s="20" customFormat="1" ht="13.8" outlineLevel="1" thickBot="1">
      <c r="A69" s="4" t="s">
        <v>1020</v>
      </c>
      <c r="B69" s="4" t="s">
        <v>921</v>
      </c>
      <c r="C69" s="4" t="s">
        <v>922</v>
      </c>
      <c r="D69" s="4" t="s">
        <v>270</v>
      </c>
      <c r="E69" s="159" t="s">
        <v>270</v>
      </c>
      <c r="F69" s="145"/>
      <c r="G69" s="146"/>
      <c r="H69" s="88"/>
      <c r="I69" s="88"/>
      <c r="J69" s="88"/>
    </row>
    <row r="70" spans="1:13" ht="13.8" outlineLevel="2" thickBot="1">
      <c r="E70" s="84" t="s">
        <v>1021</v>
      </c>
      <c r="F70" s="23" t="s">
        <v>38</v>
      </c>
      <c r="G70" s="66"/>
      <c r="H70" s="19">
        <f>9*100</f>
        <v>900</v>
      </c>
      <c r="I70" s="19">
        <f t="shared" ref="I70:I77" si="5">H70-J70</f>
        <v>900</v>
      </c>
      <c r="J70" s="19"/>
      <c r="L70" s="4"/>
      <c r="M70" s="4"/>
    </row>
    <row r="71" spans="1:13" ht="13.8" outlineLevel="2" thickBot="1">
      <c r="A71" s="4" t="str">
        <f>B71&amp;C71&amp;D71</f>
        <v>O&amp;M Mobilization BudgetOperating ExpensesOther Supplies &amp; Expenses</v>
      </c>
      <c r="B71" s="4" t="s">
        <v>921</v>
      </c>
      <c r="C71" s="4" t="s">
        <v>922</v>
      </c>
      <c r="D71" s="4" t="s">
        <v>270</v>
      </c>
      <c r="E71" s="84" t="s">
        <v>1022</v>
      </c>
      <c r="F71" s="23" t="s">
        <v>39</v>
      </c>
      <c r="G71" s="66"/>
      <c r="H71" s="19">
        <f>9*200</f>
        <v>1800</v>
      </c>
      <c r="I71" s="19">
        <f t="shared" si="5"/>
        <v>1800</v>
      </c>
      <c r="J71" s="19"/>
      <c r="L71" s="4"/>
      <c r="M71" s="4"/>
    </row>
    <row r="72" spans="1:13" ht="13.8" outlineLevel="2" thickBot="1">
      <c r="A72" s="4" t="str">
        <f>B72&amp;C72&amp;D72</f>
        <v>O&amp;M Mobilization BudgetOperating ExpensesOther Supplies &amp; Expenses</v>
      </c>
      <c r="B72" s="4" t="s">
        <v>921</v>
      </c>
      <c r="C72" s="4" t="s">
        <v>922</v>
      </c>
      <c r="D72" s="4" t="s">
        <v>270</v>
      </c>
      <c r="E72" s="84" t="s">
        <v>1023</v>
      </c>
      <c r="F72" s="23" t="s">
        <v>40</v>
      </c>
      <c r="G72" s="66"/>
      <c r="H72" s="19">
        <f>5*100*9</f>
        <v>4500</v>
      </c>
      <c r="I72" s="19">
        <f t="shared" si="5"/>
        <v>4500</v>
      </c>
      <c r="J72" s="19"/>
      <c r="L72" s="4"/>
      <c r="M72" s="4"/>
    </row>
    <row r="73" spans="1:13" ht="13.8" outlineLevel="2" thickBot="1">
      <c r="A73" s="4" t="str">
        <f>B73&amp;C73&amp;D73</f>
        <v>O&amp;M Mobilization BudgetOperating ExpensesOther Supplies &amp; Expenses</v>
      </c>
      <c r="B73" s="4" t="s">
        <v>921</v>
      </c>
      <c r="C73" s="4" t="s">
        <v>922</v>
      </c>
      <c r="D73" s="4" t="s">
        <v>270</v>
      </c>
      <c r="E73" s="84" t="s">
        <v>1024</v>
      </c>
      <c r="F73" s="23" t="s">
        <v>1025</v>
      </c>
      <c r="G73" s="66"/>
      <c r="H73" s="19">
        <f>2*40*60</f>
        <v>4800</v>
      </c>
      <c r="I73" s="19">
        <f t="shared" si="5"/>
        <v>4800</v>
      </c>
      <c r="J73" s="19"/>
      <c r="L73" s="4"/>
      <c r="M73" s="4"/>
    </row>
    <row r="74" spans="1:13" ht="13.8" outlineLevel="2" thickBot="1">
      <c r="A74" s="4" t="str">
        <f>B74&amp;C74&amp;D74</f>
        <v>O&amp;M Mobilization BudgetOperating ExpensesOther Supplies &amp; Expenses</v>
      </c>
      <c r="B74" s="4" t="s">
        <v>921</v>
      </c>
      <c r="C74" s="4" t="s">
        <v>922</v>
      </c>
      <c r="D74" s="4" t="s">
        <v>270</v>
      </c>
      <c r="E74" s="84" t="s">
        <v>1026</v>
      </c>
      <c r="F74" s="23"/>
      <c r="G74" s="66"/>
      <c r="H74" s="19">
        <v>1000</v>
      </c>
      <c r="I74" s="19">
        <f t="shared" si="5"/>
        <v>1000</v>
      </c>
      <c r="J74" s="19"/>
      <c r="L74" s="4"/>
      <c r="M74" s="4"/>
    </row>
    <row r="75" spans="1:13" ht="13.8" outlineLevel="2" thickBot="1">
      <c r="A75" s="4" t="str">
        <f>B75&amp;C75&amp;D75</f>
        <v>O&amp;M Mobilization BudgetOperating ExpensesOther Supplies &amp; Expenses</v>
      </c>
      <c r="B75" s="4" t="s">
        <v>921</v>
      </c>
      <c r="C75" s="4" t="s">
        <v>922</v>
      </c>
      <c r="D75" s="4" t="s">
        <v>270</v>
      </c>
      <c r="E75" s="84" t="s">
        <v>1027</v>
      </c>
      <c r="F75" s="23" t="s">
        <v>37</v>
      </c>
      <c r="G75" s="66"/>
      <c r="H75" s="19">
        <f>9*750</f>
        <v>6750</v>
      </c>
      <c r="I75" s="19">
        <f t="shared" si="5"/>
        <v>6750</v>
      </c>
      <c r="J75" s="19"/>
      <c r="L75" s="4"/>
      <c r="M75" s="4"/>
    </row>
    <row r="76" spans="1:13" ht="13.8" outlineLevel="2" thickBot="1">
      <c r="E76" s="84" t="s">
        <v>1028</v>
      </c>
      <c r="F76" s="23" t="s">
        <v>1029</v>
      </c>
      <c r="G76" s="66"/>
      <c r="H76" s="19">
        <f>0.5*'O&amp;M_Backup'!D86</f>
        <v>0</v>
      </c>
      <c r="I76" s="19">
        <f t="shared" si="5"/>
        <v>0</v>
      </c>
      <c r="J76" s="19"/>
      <c r="L76" s="4"/>
      <c r="M76" s="4"/>
    </row>
    <row r="77" spans="1:13" ht="13.8" outlineLevel="2" thickBot="1">
      <c r="E77" s="84" t="s">
        <v>1030</v>
      </c>
      <c r="F77" s="23" t="s">
        <v>1031</v>
      </c>
      <c r="G77" s="66"/>
      <c r="H77" s="19">
        <f>500*8</f>
        <v>4000</v>
      </c>
      <c r="I77" s="19">
        <f t="shared" si="5"/>
        <v>4000</v>
      </c>
      <c r="J77" s="19"/>
      <c r="L77" s="4"/>
      <c r="M77" s="4"/>
    </row>
    <row r="78" spans="1:13" ht="13.8" outlineLevel="2" thickBot="1">
      <c r="E78" s="84"/>
      <c r="F78" s="23"/>
      <c r="G78" s="66"/>
      <c r="H78" s="19"/>
      <c r="I78" s="19"/>
      <c r="J78" s="19"/>
      <c r="L78" s="4"/>
      <c r="M78" s="4"/>
    </row>
    <row r="79" spans="1:13" s="20" customFormat="1" ht="13.8" outlineLevel="1" thickBot="1">
      <c r="A79" s="20" t="s">
        <v>1032</v>
      </c>
      <c r="B79" s="20" t="s">
        <v>921</v>
      </c>
      <c r="C79" s="20" t="s">
        <v>922</v>
      </c>
      <c r="D79" s="20" t="s">
        <v>270</v>
      </c>
      <c r="E79" s="84" t="s">
        <v>599</v>
      </c>
      <c r="F79" s="23"/>
      <c r="G79" s="86" t="s">
        <v>941</v>
      </c>
      <c r="H79" s="87">
        <f>SUBTOTAL(9,H70:H78)</f>
        <v>23750</v>
      </c>
      <c r="I79" s="87">
        <f>SUBTOTAL(9,I70:I78)</f>
        <v>23750</v>
      </c>
      <c r="J79" s="87">
        <f>SUBTOTAL(9,J70:J78)</f>
        <v>0</v>
      </c>
    </row>
    <row r="80" spans="1:13" s="20" customFormat="1" ht="13.8" outlineLevel="1" thickBot="1">
      <c r="A80" s="4" t="s">
        <v>1033</v>
      </c>
      <c r="B80" s="4" t="s">
        <v>921</v>
      </c>
      <c r="C80" s="4" t="s">
        <v>922</v>
      </c>
      <c r="D80" s="4" t="s">
        <v>271</v>
      </c>
      <c r="E80" s="159" t="s">
        <v>271</v>
      </c>
      <c r="F80" s="145"/>
      <c r="G80" s="146"/>
      <c r="H80" s="88"/>
      <c r="I80" s="88"/>
      <c r="J80" s="88"/>
    </row>
    <row r="81" spans="1:13" ht="13.8" outlineLevel="2" thickBot="1">
      <c r="A81" s="4" t="str">
        <f>B81&amp;C81&amp;D81</f>
        <v>O&amp;M Mobilization BudgetOperating ExpensesCommunications</v>
      </c>
      <c r="B81" s="4" t="s">
        <v>921</v>
      </c>
      <c r="C81" s="4" t="s">
        <v>922</v>
      </c>
      <c r="D81" s="4" t="s">
        <v>271</v>
      </c>
      <c r="E81" s="84" t="s">
        <v>1409</v>
      </c>
      <c r="F81" s="23" t="s">
        <v>1410</v>
      </c>
      <c r="G81" s="66"/>
      <c r="H81" s="19">
        <f>9*1000</f>
        <v>9000</v>
      </c>
      <c r="I81" s="19">
        <f>H81-J81</f>
        <v>9000</v>
      </c>
      <c r="J81" s="19"/>
      <c r="L81" s="4"/>
      <c r="M81" s="4"/>
    </row>
    <row r="82" spans="1:13" ht="13.8" outlineLevel="2" thickBot="1">
      <c r="A82" s="4" t="str">
        <f>B82&amp;C82&amp;D82</f>
        <v>O&amp;M Mobilization BudgetOperating ExpensesCommunications</v>
      </c>
      <c r="B82" s="4" t="s">
        <v>921</v>
      </c>
      <c r="C82" s="4" t="s">
        <v>922</v>
      </c>
      <c r="D82" s="4" t="s">
        <v>271</v>
      </c>
      <c r="E82" s="84" t="s">
        <v>1034</v>
      </c>
      <c r="F82" s="23" t="s">
        <v>1411</v>
      </c>
      <c r="G82" s="66"/>
      <c r="H82" s="19">
        <f>1*9*150</f>
        <v>1350</v>
      </c>
      <c r="I82" s="19">
        <f>H82-J82</f>
        <v>1350</v>
      </c>
      <c r="J82" s="19"/>
      <c r="L82" s="4"/>
      <c r="M82" s="4"/>
    </row>
    <row r="83" spans="1:13" ht="13.8" outlineLevel="2" thickBot="1">
      <c r="A83" s="4" t="str">
        <f>B83&amp;C83&amp;D83</f>
        <v>O&amp;M Mobilization BudgetOperating ExpensesCommunications</v>
      </c>
      <c r="B83" s="4" t="s">
        <v>921</v>
      </c>
      <c r="C83" s="4" t="s">
        <v>922</v>
      </c>
      <c r="D83" s="4" t="s">
        <v>271</v>
      </c>
      <c r="E83" s="84"/>
      <c r="F83" s="23" t="s">
        <v>1412</v>
      </c>
      <c r="G83" s="66"/>
      <c r="H83" s="19">
        <f>1*50</f>
        <v>50</v>
      </c>
      <c r="I83" s="19">
        <f>H83-J83</f>
        <v>50</v>
      </c>
      <c r="J83" s="19"/>
      <c r="L83" s="4"/>
      <c r="M83" s="4"/>
    </row>
    <row r="84" spans="1:13" ht="13.8" outlineLevel="2" thickBot="1">
      <c r="E84" s="84"/>
      <c r="F84" s="23"/>
      <c r="G84" s="66"/>
      <c r="H84" s="19"/>
      <c r="I84" s="19"/>
      <c r="J84" s="19"/>
      <c r="L84" s="4"/>
      <c r="M84" s="4"/>
    </row>
    <row r="85" spans="1:13" s="20" customFormat="1" ht="13.8" outlineLevel="1" thickBot="1">
      <c r="A85" s="20" t="s">
        <v>1035</v>
      </c>
      <c r="B85" s="20" t="s">
        <v>921</v>
      </c>
      <c r="C85" s="20" t="s">
        <v>922</v>
      </c>
      <c r="D85" s="20" t="s">
        <v>271</v>
      </c>
      <c r="E85" s="84" t="s">
        <v>599</v>
      </c>
      <c r="F85" s="23"/>
      <c r="G85" s="86" t="s">
        <v>941</v>
      </c>
      <c r="H85" s="87">
        <f>SUBTOTAL(9,H81:H83)</f>
        <v>10400</v>
      </c>
      <c r="I85" s="87">
        <f>SUBTOTAL(9,I81:I83)</f>
        <v>10400</v>
      </c>
      <c r="J85" s="87">
        <f>SUBTOTAL(9,J81:J83)</f>
        <v>0</v>
      </c>
    </row>
    <row r="86" spans="1:13" s="20" customFormat="1" ht="13.8" outlineLevel="1" thickBot="1">
      <c r="A86" s="4" t="s">
        <v>1036</v>
      </c>
      <c r="B86" s="4" t="s">
        <v>921</v>
      </c>
      <c r="C86" s="4" t="s">
        <v>922</v>
      </c>
      <c r="D86" s="4" t="s">
        <v>1037</v>
      </c>
      <c r="E86" s="159" t="s">
        <v>272</v>
      </c>
      <c r="F86" s="145"/>
      <c r="G86" s="146"/>
      <c r="H86" s="88"/>
      <c r="I86" s="88"/>
      <c r="J86" s="88"/>
    </row>
    <row r="87" spans="1:13" ht="13.8" hidden="1" outlineLevel="2" thickBot="1">
      <c r="A87" s="4" t="str">
        <f>B87&amp;C87&amp;D87</f>
        <v>O&amp;M Mobilization BudgetOperating ExpensesMiscellaneous Office Expenses</v>
      </c>
      <c r="B87" s="4" t="s">
        <v>921</v>
      </c>
      <c r="C87" s="4" t="s">
        <v>922</v>
      </c>
      <c r="D87" s="4" t="s">
        <v>1037</v>
      </c>
      <c r="E87" s="84" t="s">
        <v>1038</v>
      </c>
      <c r="F87" s="23" t="s">
        <v>1039</v>
      </c>
      <c r="G87" s="66"/>
      <c r="H87" s="19">
        <v>0</v>
      </c>
      <c r="I87" s="19">
        <f>H87-J87</f>
        <v>0</v>
      </c>
      <c r="J87" s="19"/>
      <c r="L87" s="4"/>
      <c r="M87" s="4"/>
    </row>
    <row r="88" spans="1:13" ht="13.8" outlineLevel="2" thickBot="1">
      <c r="A88" s="4" t="str">
        <f>B88&amp;C88&amp;D88</f>
        <v>O&amp;M Mobilization BudgetOperating ExpensesMiscellaneous Office Expenses</v>
      </c>
      <c r="B88" s="4" t="s">
        <v>921</v>
      </c>
      <c r="C88" s="4" t="s">
        <v>922</v>
      </c>
      <c r="D88" s="4" t="s">
        <v>1037</v>
      </c>
      <c r="E88" s="84" t="s">
        <v>1040</v>
      </c>
      <c r="F88" s="23" t="s">
        <v>1041</v>
      </c>
      <c r="G88" s="66"/>
      <c r="H88" s="19">
        <f>3*6*600</f>
        <v>10800</v>
      </c>
      <c r="I88" s="19">
        <f>H88-J88</f>
        <v>10800</v>
      </c>
      <c r="J88" s="19"/>
      <c r="L88" s="4"/>
      <c r="M88" s="4"/>
    </row>
    <row r="89" spans="1:13" ht="13.8" outlineLevel="2" thickBot="1">
      <c r="A89" s="4" t="str">
        <f>B89&amp;C89&amp;D89</f>
        <v>O&amp;M Mobilization BudgetOperating ExpensesMiscellaneous Office Expenses</v>
      </c>
      <c r="B89" s="4" t="s">
        <v>921</v>
      </c>
      <c r="C89" s="4" t="s">
        <v>922</v>
      </c>
      <c r="D89" s="4" t="s">
        <v>1037</v>
      </c>
      <c r="E89" s="84" t="s">
        <v>1042</v>
      </c>
      <c r="F89" s="23" t="s">
        <v>1043</v>
      </c>
      <c r="G89" s="66"/>
      <c r="H89" s="19">
        <f>5*6*100</f>
        <v>3000</v>
      </c>
      <c r="I89" s="19">
        <f>H89-J89</f>
        <v>3000</v>
      </c>
      <c r="J89" s="19"/>
      <c r="L89" s="4"/>
      <c r="M89" s="4"/>
    </row>
    <row r="90" spans="1:13" ht="13.8" outlineLevel="2" thickBot="1">
      <c r="A90" s="4" t="str">
        <f>B90&amp;C90&amp;D90</f>
        <v>O&amp;M Mobilization BudgetOperating ExpensesMiscellaneous Office Expenses</v>
      </c>
      <c r="B90" s="4" t="s">
        <v>921</v>
      </c>
      <c r="C90" s="4" t="s">
        <v>922</v>
      </c>
      <c r="D90" s="4" t="s">
        <v>1037</v>
      </c>
      <c r="E90" s="84" t="s">
        <v>1044</v>
      </c>
      <c r="G90" s="66"/>
      <c r="H90" s="19">
        <v>5000</v>
      </c>
      <c r="I90" s="19">
        <f>H90-J90</f>
        <v>5000</v>
      </c>
      <c r="J90" s="19"/>
      <c r="L90" s="4"/>
      <c r="M90" s="4"/>
    </row>
    <row r="91" spans="1:13" ht="13.8" hidden="1" outlineLevel="2" thickBot="1">
      <c r="E91" s="84" t="s">
        <v>1045</v>
      </c>
      <c r="F91" s="4" t="s">
        <v>1046</v>
      </c>
      <c r="G91" s="66"/>
      <c r="H91" s="19"/>
      <c r="I91" s="19">
        <f>H91-J91</f>
        <v>0</v>
      </c>
      <c r="J91" s="19"/>
      <c r="L91" s="4"/>
      <c r="M91" s="4"/>
    </row>
    <row r="92" spans="1:13" ht="13.8" hidden="1" outlineLevel="2" thickBot="1">
      <c r="E92" s="84"/>
      <c r="F92" s="23" t="s">
        <v>1047</v>
      </c>
      <c r="G92" s="66"/>
      <c r="H92" s="19"/>
      <c r="I92" s="19"/>
      <c r="J92" s="19"/>
      <c r="L92" s="4"/>
      <c r="M92" s="4"/>
    </row>
    <row r="93" spans="1:13" s="20" customFormat="1" ht="13.8" outlineLevel="1" collapsed="1" thickBot="1">
      <c r="A93" s="20" t="s">
        <v>1048</v>
      </c>
      <c r="B93" s="20" t="s">
        <v>921</v>
      </c>
      <c r="C93" s="20" t="s">
        <v>922</v>
      </c>
      <c r="D93" s="20" t="s">
        <v>1037</v>
      </c>
      <c r="E93" s="84"/>
      <c r="F93" s="23"/>
      <c r="G93" s="86" t="s">
        <v>941</v>
      </c>
      <c r="H93" s="87">
        <f>SUBTOTAL(9,H87:H91)</f>
        <v>18800</v>
      </c>
      <c r="I93" s="87">
        <f>SUBTOTAL(9,I87:I91)</f>
        <v>18800</v>
      </c>
      <c r="J93" s="87">
        <f>SUBTOTAL(9,J87:J91)</f>
        <v>0</v>
      </c>
    </row>
    <row r="94" spans="1:13" s="20" customFormat="1" ht="13.8" outlineLevel="1" thickBot="1">
      <c r="A94" s="4" t="s">
        <v>1049</v>
      </c>
      <c r="B94" s="4" t="s">
        <v>921</v>
      </c>
      <c r="C94" s="4" t="s">
        <v>922</v>
      </c>
      <c r="D94" s="4" t="s">
        <v>273</v>
      </c>
      <c r="E94" s="159" t="s">
        <v>273</v>
      </c>
      <c r="F94" s="145"/>
      <c r="G94" s="146"/>
      <c r="H94" s="88"/>
      <c r="I94" s="88"/>
      <c r="J94" s="88"/>
    </row>
    <row r="95" spans="1:13" ht="13.8" outlineLevel="2" thickBot="1">
      <c r="A95" s="4" t="str">
        <f t="shared" ref="A95:A108" si="6">B95&amp;C95&amp;D95</f>
        <v>O&amp;M Mobilization BudgetOperating ExpensesTraining</v>
      </c>
      <c r="B95" s="4" t="s">
        <v>921</v>
      </c>
      <c r="C95" s="4" t="s">
        <v>922</v>
      </c>
      <c r="D95" s="4" t="s">
        <v>273</v>
      </c>
      <c r="E95" s="84" t="s">
        <v>1050</v>
      </c>
      <c r="F95" s="23" t="s">
        <v>1051</v>
      </c>
      <c r="G95" s="66"/>
      <c r="H95" s="19">
        <f>Training!$F$51</f>
        <v>131827.5</v>
      </c>
      <c r="I95" s="19">
        <f>H95-J95</f>
        <v>0</v>
      </c>
      <c r="J95" s="19">
        <f>H95</f>
        <v>131827.5</v>
      </c>
      <c r="L95" s="4"/>
      <c r="M95" s="4"/>
    </row>
    <row r="96" spans="1:13" ht="13.8" hidden="1" outlineLevel="2" thickBot="1">
      <c r="A96" s="4" t="str">
        <f t="shared" si="6"/>
        <v>O&amp;M Mobilization BudgetOperating ExpensesTraining</v>
      </c>
      <c r="B96" s="4" t="s">
        <v>921</v>
      </c>
      <c r="C96" s="4" t="s">
        <v>922</v>
      </c>
      <c r="D96" s="4" t="s">
        <v>273</v>
      </c>
      <c r="E96" s="84" t="s">
        <v>1052</v>
      </c>
      <c r="F96" s="23"/>
      <c r="G96" s="66"/>
      <c r="H96" s="19"/>
      <c r="I96" s="19"/>
      <c r="J96" s="19"/>
      <c r="L96" s="4"/>
      <c r="M96" s="4"/>
    </row>
    <row r="97" spans="1:13" ht="13.8" hidden="1" outlineLevel="2" thickBot="1">
      <c r="A97" s="4" t="str">
        <f t="shared" si="6"/>
        <v>O&amp;M Mobilization BudgetOperating ExpensesTraining</v>
      </c>
      <c r="B97" s="4" t="s">
        <v>921</v>
      </c>
      <c r="C97" s="4" t="s">
        <v>922</v>
      </c>
      <c r="D97" s="4" t="s">
        <v>273</v>
      </c>
      <c r="E97" s="84" t="s">
        <v>1053</v>
      </c>
      <c r="F97" s="23"/>
      <c r="G97" s="66"/>
      <c r="H97" s="19"/>
      <c r="I97" s="19"/>
      <c r="J97" s="19"/>
      <c r="L97" s="4"/>
      <c r="M97" s="4"/>
    </row>
    <row r="98" spans="1:13" ht="13.8" hidden="1" outlineLevel="2" thickBot="1">
      <c r="A98" s="4" t="str">
        <f t="shared" si="6"/>
        <v>O&amp;M Mobilization BudgetOperating ExpensesTraining</v>
      </c>
      <c r="B98" s="4" t="s">
        <v>921</v>
      </c>
      <c r="C98" s="4" t="s">
        <v>922</v>
      </c>
      <c r="D98" s="4" t="s">
        <v>273</v>
      </c>
      <c r="E98" s="84" t="s">
        <v>1054</v>
      </c>
      <c r="F98" s="23"/>
      <c r="G98" s="66"/>
      <c r="H98" s="19"/>
      <c r="I98" s="19"/>
      <c r="J98" s="19"/>
      <c r="L98" s="4"/>
      <c r="M98" s="4"/>
    </row>
    <row r="99" spans="1:13" ht="13.8" hidden="1" outlineLevel="2" thickBot="1">
      <c r="A99" s="4" t="str">
        <f t="shared" si="6"/>
        <v>O&amp;M Mobilization BudgetOperating ExpensesTraining</v>
      </c>
      <c r="B99" s="4" t="s">
        <v>921</v>
      </c>
      <c r="C99" s="4" t="s">
        <v>922</v>
      </c>
      <c r="D99" s="4" t="s">
        <v>273</v>
      </c>
      <c r="E99" s="84" t="s">
        <v>1055</v>
      </c>
      <c r="F99" s="23"/>
      <c r="G99" s="66"/>
      <c r="H99" s="19"/>
      <c r="I99" s="19"/>
      <c r="J99" s="19"/>
      <c r="L99" s="4"/>
      <c r="M99" s="4"/>
    </row>
    <row r="100" spans="1:13" ht="13.8" hidden="1" outlineLevel="2" thickBot="1">
      <c r="A100" s="4" t="str">
        <f t="shared" si="6"/>
        <v>O&amp;M Mobilization BudgetOperating ExpensesTraining</v>
      </c>
      <c r="B100" s="4" t="s">
        <v>921</v>
      </c>
      <c r="C100" s="4" t="s">
        <v>922</v>
      </c>
      <c r="D100" s="4" t="s">
        <v>273</v>
      </c>
      <c r="E100" s="84" t="s">
        <v>1056</v>
      </c>
      <c r="F100" s="23"/>
      <c r="G100" s="66"/>
      <c r="H100" s="19"/>
      <c r="I100" s="19"/>
      <c r="J100" s="19"/>
      <c r="L100" s="4"/>
      <c r="M100" s="4"/>
    </row>
    <row r="101" spans="1:13" ht="13.8" hidden="1" outlineLevel="2" thickBot="1">
      <c r="A101" s="4" t="str">
        <f t="shared" si="6"/>
        <v>O&amp;M Mobilization BudgetOperating ExpensesTraining</v>
      </c>
      <c r="B101" s="4" t="s">
        <v>921</v>
      </c>
      <c r="C101" s="4" t="s">
        <v>922</v>
      </c>
      <c r="D101" s="4" t="s">
        <v>273</v>
      </c>
      <c r="E101" s="84" t="s">
        <v>1057</v>
      </c>
      <c r="F101" s="23"/>
      <c r="G101" s="66"/>
      <c r="H101" s="19"/>
      <c r="I101" s="19"/>
      <c r="J101" s="19"/>
      <c r="L101" s="4"/>
      <c r="M101" s="4"/>
    </row>
    <row r="102" spans="1:13" ht="13.8" hidden="1" outlineLevel="2" thickBot="1">
      <c r="A102" s="4" t="str">
        <f t="shared" si="6"/>
        <v>O&amp;M Mobilization BudgetOperating ExpensesTraining</v>
      </c>
      <c r="B102" s="4" t="s">
        <v>921</v>
      </c>
      <c r="C102" s="4" t="s">
        <v>922</v>
      </c>
      <c r="D102" s="4" t="s">
        <v>273</v>
      </c>
      <c r="E102" s="84" t="s">
        <v>1058</v>
      </c>
      <c r="F102" s="23"/>
      <c r="G102" s="66"/>
      <c r="H102" s="19"/>
      <c r="I102" s="19"/>
      <c r="J102" s="19"/>
      <c r="L102" s="4"/>
      <c r="M102" s="4"/>
    </row>
    <row r="103" spans="1:13" ht="13.8" hidden="1" outlineLevel="2" thickBot="1">
      <c r="A103" s="4" t="str">
        <f t="shared" si="6"/>
        <v>O&amp;M Mobilization BudgetOperating ExpensesTraining</v>
      </c>
      <c r="B103" s="4" t="s">
        <v>921</v>
      </c>
      <c r="C103" s="4" t="s">
        <v>922</v>
      </c>
      <c r="D103" s="4" t="s">
        <v>273</v>
      </c>
      <c r="E103" s="84" t="s">
        <v>1059</v>
      </c>
      <c r="F103" s="23"/>
      <c r="G103" s="66"/>
      <c r="H103" s="19"/>
      <c r="I103" s="19"/>
      <c r="J103" s="19"/>
      <c r="L103" s="4"/>
      <c r="M103" s="4"/>
    </row>
    <row r="104" spans="1:13" ht="13.8" hidden="1" outlineLevel="2" thickBot="1">
      <c r="A104" s="4" t="str">
        <f t="shared" si="6"/>
        <v>O&amp;M Mobilization BudgetOperating ExpensesTraining</v>
      </c>
      <c r="B104" s="4" t="s">
        <v>921</v>
      </c>
      <c r="C104" s="4" t="s">
        <v>922</v>
      </c>
      <c r="D104" s="4" t="s">
        <v>273</v>
      </c>
      <c r="E104" s="84" t="s">
        <v>1060</v>
      </c>
      <c r="F104" s="23"/>
      <c r="G104" s="66"/>
      <c r="H104" s="19"/>
      <c r="I104" s="19"/>
      <c r="J104" s="19"/>
      <c r="L104" s="4"/>
      <c r="M104" s="4"/>
    </row>
    <row r="105" spans="1:13" ht="13.8" hidden="1" outlineLevel="2" thickBot="1">
      <c r="A105" s="4" t="str">
        <f t="shared" si="6"/>
        <v>O&amp;M Mobilization BudgetOperating ExpensesTraining</v>
      </c>
      <c r="B105" s="4" t="s">
        <v>921</v>
      </c>
      <c r="C105" s="4" t="s">
        <v>922</v>
      </c>
      <c r="D105" s="4" t="s">
        <v>273</v>
      </c>
      <c r="E105" s="84" t="s">
        <v>1061</v>
      </c>
      <c r="F105" s="23"/>
      <c r="G105" s="66"/>
      <c r="H105" s="19"/>
      <c r="I105" s="19"/>
      <c r="J105" s="19"/>
      <c r="L105" s="4"/>
      <c r="M105" s="4"/>
    </row>
    <row r="106" spans="1:13" ht="13.8" hidden="1" outlineLevel="2" thickBot="1">
      <c r="A106" s="4" t="str">
        <f t="shared" si="6"/>
        <v>O&amp;M Mobilization BudgetOperating ExpensesTraining</v>
      </c>
      <c r="B106" s="4" t="s">
        <v>921</v>
      </c>
      <c r="C106" s="4" t="s">
        <v>922</v>
      </c>
      <c r="D106" s="4" t="s">
        <v>273</v>
      </c>
      <c r="E106" s="84" t="s">
        <v>1062</v>
      </c>
      <c r="F106" s="23"/>
      <c r="G106" s="66"/>
      <c r="H106" s="19"/>
      <c r="I106" s="19"/>
      <c r="J106" s="19"/>
      <c r="L106" s="4"/>
      <c r="M106" s="4"/>
    </row>
    <row r="107" spans="1:13" ht="13.5" hidden="1" customHeight="1" outlineLevel="2" thickBot="1">
      <c r="A107" s="4" t="str">
        <f t="shared" si="6"/>
        <v>O&amp;M Mobilization BudgetOperating ExpensesTraining</v>
      </c>
      <c r="B107" s="4" t="s">
        <v>921</v>
      </c>
      <c r="C107" s="4" t="s">
        <v>922</v>
      </c>
      <c r="D107" s="4" t="s">
        <v>273</v>
      </c>
      <c r="E107" s="84" t="s">
        <v>1063</v>
      </c>
      <c r="F107" s="23"/>
      <c r="G107" s="66"/>
      <c r="H107" s="19"/>
      <c r="I107" s="19"/>
      <c r="J107" s="19"/>
      <c r="L107" s="4"/>
      <c r="M107" s="4"/>
    </row>
    <row r="108" spans="1:13" ht="13.8" hidden="1" outlineLevel="2" thickBot="1">
      <c r="A108" s="4" t="str">
        <f t="shared" si="6"/>
        <v>O&amp;M Mobilization BudgetOperating ExpensesTraining</v>
      </c>
      <c r="B108" s="4" t="s">
        <v>921</v>
      </c>
      <c r="C108" s="4" t="s">
        <v>922</v>
      </c>
      <c r="D108" s="4" t="s">
        <v>273</v>
      </c>
      <c r="E108" s="84" t="s">
        <v>1064</v>
      </c>
      <c r="F108" s="23"/>
      <c r="G108" s="66"/>
      <c r="H108" s="19"/>
      <c r="I108" s="19"/>
      <c r="J108" s="19"/>
      <c r="L108" s="4"/>
      <c r="M108" s="4"/>
    </row>
    <row r="109" spans="1:13" ht="13.8" outlineLevel="2" thickBot="1">
      <c r="E109" s="84"/>
      <c r="F109" s="23"/>
      <c r="G109" s="66"/>
      <c r="H109" s="19"/>
      <c r="I109" s="19"/>
      <c r="J109" s="19"/>
      <c r="L109" s="4"/>
      <c r="M109" s="4"/>
    </row>
    <row r="110" spans="1:13" s="20" customFormat="1" ht="13.8" outlineLevel="1" thickBot="1">
      <c r="A110" s="20" t="s">
        <v>1065</v>
      </c>
      <c r="B110" s="20" t="s">
        <v>921</v>
      </c>
      <c r="C110" s="20" t="s">
        <v>922</v>
      </c>
      <c r="D110" s="20" t="s">
        <v>273</v>
      </c>
      <c r="E110" s="84" t="s">
        <v>36</v>
      </c>
      <c r="F110" s="23"/>
      <c r="G110" s="86" t="s">
        <v>941</v>
      </c>
      <c r="H110" s="87">
        <f>SUBTOTAL(9,H95:H108)</f>
        <v>131827.5</v>
      </c>
      <c r="I110" s="87">
        <f>SUBTOTAL(9,I95:I108)</f>
        <v>0</v>
      </c>
      <c r="J110" s="87">
        <f>SUBTOTAL(9,J95:J108)</f>
        <v>131827.5</v>
      </c>
    </row>
    <row r="111" spans="1:13" s="20" customFormat="1" ht="13.8" outlineLevel="1" thickBot="1">
      <c r="A111" s="4" t="s">
        <v>1067</v>
      </c>
      <c r="B111" s="4" t="s">
        <v>921</v>
      </c>
      <c r="C111" s="4" t="s">
        <v>922</v>
      </c>
      <c r="D111" s="4" t="s">
        <v>1068</v>
      </c>
      <c r="E111" s="160" t="s">
        <v>1068</v>
      </c>
      <c r="F111" s="147"/>
      <c r="G111" s="148"/>
      <c r="H111" s="88"/>
      <c r="I111" s="88"/>
      <c r="J111" s="88"/>
    </row>
    <row r="112" spans="1:13" ht="13.8" outlineLevel="2" thickBot="1">
      <c r="A112" s="4" t="str">
        <f t="shared" ref="A112:A120" si="7">B112&amp;C112&amp;D112</f>
        <v>O&amp;M Mobilization BudgetOperating ExpensesManuals/Operating Procedures</v>
      </c>
      <c r="B112" s="4" t="s">
        <v>921</v>
      </c>
      <c r="C112" s="4" t="s">
        <v>922</v>
      </c>
      <c r="D112" s="4" t="s">
        <v>1068</v>
      </c>
      <c r="E112" s="84" t="s">
        <v>1069</v>
      </c>
      <c r="F112" s="23" t="s">
        <v>1070</v>
      </c>
      <c r="G112" s="66"/>
      <c r="H112" s="19">
        <f>5*400</f>
        <v>2000</v>
      </c>
      <c r="I112" s="19">
        <f t="shared" ref="I112:I128" si="8">H112-J112</f>
        <v>0</v>
      </c>
      <c r="J112" s="19">
        <f>H112</f>
        <v>2000</v>
      </c>
      <c r="L112" s="4"/>
      <c r="M112" s="4"/>
    </row>
    <row r="113" spans="1:13" ht="13.8" outlineLevel="2" thickBot="1">
      <c r="A113" s="4" t="str">
        <f t="shared" si="7"/>
        <v>O&amp;M Mobilization BudgetOperating ExpensesManuals/Operating Procedures</v>
      </c>
      <c r="B113" s="4" t="s">
        <v>921</v>
      </c>
      <c r="C113" s="4" t="s">
        <v>922</v>
      </c>
      <c r="D113" s="4" t="s">
        <v>1068</v>
      </c>
      <c r="E113" s="84" t="s">
        <v>1071</v>
      </c>
      <c r="F113" s="23" t="s">
        <v>41</v>
      </c>
      <c r="G113" s="66"/>
      <c r="H113" s="19">
        <f>8*2*400</f>
        <v>6400</v>
      </c>
      <c r="I113" s="19">
        <f t="shared" si="8"/>
        <v>0</v>
      </c>
      <c r="J113" s="19">
        <f t="shared" ref="J113:J128" si="9">H113</f>
        <v>6400</v>
      </c>
      <c r="L113" s="4"/>
      <c r="M113" s="4"/>
    </row>
    <row r="114" spans="1:13" ht="13.8" outlineLevel="2" thickBot="1">
      <c r="E114" s="84" t="s">
        <v>1072</v>
      </c>
      <c r="F114" s="23" t="s">
        <v>1073</v>
      </c>
      <c r="G114" s="66"/>
      <c r="H114" s="19">
        <f>H113/2</f>
        <v>3200</v>
      </c>
      <c r="I114" s="19">
        <f t="shared" si="8"/>
        <v>0</v>
      </c>
      <c r="J114" s="19">
        <f t="shared" si="9"/>
        <v>3200</v>
      </c>
      <c r="L114" s="4"/>
      <c r="M114" s="4"/>
    </row>
    <row r="115" spans="1:13" ht="13.8" outlineLevel="2" thickBot="1">
      <c r="A115" s="4" t="str">
        <f t="shared" si="7"/>
        <v>O&amp;M Mobilization BudgetOperating ExpensesManuals/Operating Procedures</v>
      </c>
      <c r="B115" s="4" t="s">
        <v>921</v>
      </c>
      <c r="C115" s="4" t="s">
        <v>922</v>
      </c>
      <c r="D115" s="4" t="s">
        <v>1068</v>
      </c>
      <c r="E115" s="84" t="s">
        <v>1242</v>
      </c>
      <c r="F115" s="23" t="s">
        <v>1243</v>
      </c>
      <c r="G115" s="66"/>
      <c r="H115" s="19">
        <v>2000</v>
      </c>
      <c r="I115" s="19">
        <f t="shared" si="8"/>
        <v>0</v>
      </c>
      <c r="J115" s="19">
        <f t="shared" si="9"/>
        <v>2000</v>
      </c>
      <c r="L115" s="4"/>
      <c r="M115" s="4"/>
    </row>
    <row r="116" spans="1:13" ht="13.8" outlineLevel="2" thickBot="1">
      <c r="A116" s="4" t="str">
        <f t="shared" si="7"/>
        <v>O&amp;M Mobilization BudgetOperating ExpensesManuals/Operating Procedures</v>
      </c>
      <c r="B116" s="4" t="s">
        <v>921</v>
      </c>
      <c r="C116" s="4" t="s">
        <v>922</v>
      </c>
      <c r="D116" s="4" t="s">
        <v>1068</v>
      </c>
      <c r="E116" s="84" t="s">
        <v>1244</v>
      </c>
      <c r="F116" s="23" t="s">
        <v>1243</v>
      </c>
      <c r="G116" s="66"/>
      <c r="H116" s="19">
        <v>2000</v>
      </c>
      <c r="I116" s="19">
        <f t="shared" si="8"/>
        <v>0</v>
      </c>
      <c r="J116" s="19">
        <f t="shared" si="9"/>
        <v>2000</v>
      </c>
      <c r="L116" s="4"/>
      <c r="M116" s="4"/>
    </row>
    <row r="117" spans="1:13" ht="13.8" outlineLevel="2" thickBot="1">
      <c r="A117" s="4" t="str">
        <f t="shared" si="7"/>
        <v>O&amp;M Mobilization BudgetOperating ExpensesManuals/Operating Procedures</v>
      </c>
      <c r="B117" s="4" t="s">
        <v>921</v>
      </c>
      <c r="C117" s="4" t="s">
        <v>922</v>
      </c>
      <c r="D117" s="4" t="s">
        <v>1068</v>
      </c>
      <c r="E117" s="84" t="s">
        <v>1245</v>
      </c>
      <c r="F117" s="23" t="s">
        <v>1246</v>
      </c>
      <c r="G117" s="66"/>
      <c r="H117" s="19">
        <f>40*400</f>
        <v>16000</v>
      </c>
      <c r="I117" s="19">
        <f t="shared" si="8"/>
        <v>0</v>
      </c>
      <c r="J117" s="19">
        <f t="shared" si="9"/>
        <v>16000</v>
      </c>
      <c r="L117" s="4"/>
      <c r="M117" s="4"/>
    </row>
    <row r="118" spans="1:13" ht="13.8" outlineLevel="2" thickBot="1">
      <c r="A118" s="4" t="str">
        <f t="shared" si="7"/>
        <v>O&amp;M Mobilization BudgetOperating ExpensesManuals/Operating Procedures</v>
      </c>
      <c r="B118" s="4" t="s">
        <v>921</v>
      </c>
      <c r="C118" s="4" t="s">
        <v>922</v>
      </c>
      <c r="D118" s="4" t="s">
        <v>1068</v>
      </c>
      <c r="E118" s="84" t="s">
        <v>1247</v>
      </c>
      <c r="F118" s="23" t="s">
        <v>1243</v>
      </c>
      <c r="G118" s="66"/>
      <c r="H118" s="19">
        <v>2000</v>
      </c>
      <c r="I118" s="19">
        <f t="shared" si="8"/>
        <v>0</v>
      </c>
      <c r="J118" s="19">
        <f t="shared" si="9"/>
        <v>2000</v>
      </c>
      <c r="L118" s="4"/>
      <c r="M118" s="4"/>
    </row>
    <row r="119" spans="1:13" ht="13.8" outlineLevel="2" thickBot="1">
      <c r="A119" s="4" t="str">
        <f t="shared" si="7"/>
        <v>O&amp;M Mobilization BudgetOperating ExpensesManuals/Operating Procedures</v>
      </c>
      <c r="B119" s="4" t="s">
        <v>921</v>
      </c>
      <c r="C119" s="4" t="s">
        <v>922</v>
      </c>
      <c r="D119" s="4" t="s">
        <v>1068</v>
      </c>
      <c r="E119" s="84" t="s">
        <v>1248</v>
      </c>
      <c r="F119" s="23" t="s">
        <v>1249</v>
      </c>
      <c r="G119" s="66"/>
      <c r="H119" s="19">
        <v>8000</v>
      </c>
      <c r="I119" s="19">
        <f t="shared" si="8"/>
        <v>0</v>
      </c>
      <c r="J119" s="19">
        <f t="shared" si="9"/>
        <v>8000</v>
      </c>
      <c r="L119" s="4"/>
      <c r="M119" s="4"/>
    </row>
    <row r="120" spans="1:13" ht="13.8" outlineLevel="2" thickBot="1">
      <c r="A120" s="4" t="str">
        <f t="shared" si="7"/>
        <v>O&amp;M Mobilization BudgetOperating ExpensesManuals/Operating Procedures</v>
      </c>
      <c r="B120" s="4" t="s">
        <v>921</v>
      </c>
      <c r="C120" s="4" t="s">
        <v>922</v>
      </c>
      <c r="D120" s="4" t="s">
        <v>1068</v>
      </c>
      <c r="E120" s="84" t="s">
        <v>1250</v>
      </c>
      <c r="F120" s="23" t="s">
        <v>1251</v>
      </c>
      <c r="G120" s="66"/>
      <c r="H120" s="19">
        <f>10*400</f>
        <v>4000</v>
      </c>
      <c r="I120" s="19">
        <f t="shared" si="8"/>
        <v>0</v>
      </c>
      <c r="J120" s="19">
        <f t="shared" si="9"/>
        <v>4000</v>
      </c>
      <c r="L120" s="4"/>
      <c r="M120" s="4"/>
    </row>
    <row r="121" spans="1:13" ht="13.8" outlineLevel="2" thickBot="1">
      <c r="A121" s="4" t="str">
        <f t="shared" ref="A121:A127" si="10">B121&amp;C121&amp;D121</f>
        <v>O&amp;M Mobilization BudgetOperating ExpensesManuals/Operating Procedures</v>
      </c>
      <c r="B121" s="4" t="s">
        <v>921</v>
      </c>
      <c r="C121" s="4" t="s">
        <v>922</v>
      </c>
      <c r="D121" s="4" t="s">
        <v>1068</v>
      </c>
      <c r="E121" s="84" t="s">
        <v>1252</v>
      </c>
      <c r="F121" s="23" t="s">
        <v>1251</v>
      </c>
      <c r="G121" s="66"/>
      <c r="H121" s="19">
        <f>10*400</f>
        <v>4000</v>
      </c>
      <c r="I121" s="19">
        <f t="shared" si="8"/>
        <v>0</v>
      </c>
      <c r="J121" s="19">
        <f t="shared" si="9"/>
        <v>4000</v>
      </c>
      <c r="L121" s="4"/>
      <c r="M121" s="4"/>
    </row>
    <row r="122" spans="1:13" ht="13.8" outlineLevel="2" thickBot="1">
      <c r="A122" s="4" t="str">
        <f t="shared" si="10"/>
        <v>O&amp;M Mobilization BudgetOperating ExpensesManuals/Operating Procedures</v>
      </c>
      <c r="B122" s="4" t="s">
        <v>921</v>
      </c>
      <c r="C122" s="4" t="s">
        <v>922</v>
      </c>
      <c r="D122" s="4" t="s">
        <v>1068</v>
      </c>
      <c r="E122" s="84" t="s">
        <v>1253</v>
      </c>
      <c r="F122" s="23" t="s">
        <v>1243</v>
      </c>
      <c r="G122" s="66"/>
      <c r="H122" s="19">
        <f>5*400</f>
        <v>2000</v>
      </c>
      <c r="I122" s="19">
        <f t="shared" si="8"/>
        <v>0</v>
      </c>
      <c r="J122" s="19">
        <f t="shared" si="9"/>
        <v>2000</v>
      </c>
      <c r="L122" s="4"/>
      <c r="M122" s="4"/>
    </row>
    <row r="123" spans="1:13" ht="13.8" outlineLevel="2" thickBot="1">
      <c r="A123" s="4" t="str">
        <f t="shared" si="10"/>
        <v>O&amp;M Mobilization BudgetOperating ExpensesManuals/Operating Procedures</v>
      </c>
      <c r="B123" s="4" t="s">
        <v>921</v>
      </c>
      <c r="C123" s="4" t="s">
        <v>922</v>
      </c>
      <c r="D123" s="4" t="s">
        <v>1068</v>
      </c>
      <c r="E123" s="84" t="s">
        <v>1254</v>
      </c>
      <c r="F123" s="23" t="s">
        <v>1243</v>
      </c>
      <c r="G123" s="66"/>
      <c r="H123" s="19">
        <f>5*400</f>
        <v>2000</v>
      </c>
      <c r="I123" s="19">
        <f t="shared" si="8"/>
        <v>0</v>
      </c>
      <c r="J123" s="19">
        <f t="shared" si="9"/>
        <v>2000</v>
      </c>
      <c r="L123" s="4"/>
      <c r="M123" s="4"/>
    </row>
    <row r="124" spans="1:13" ht="13.8" outlineLevel="2" thickBot="1">
      <c r="E124" s="84" t="s">
        <v>986</v>
      </c>
      <c r="F124" s="23" t="s">
        <v>1251</v>
      </c>
      <c r="G124" s="66"/>
      <c r="H124" s="19">
        <f>10*400</f>
        <v>4000</v>
      </c>
      <c r="I124" s="19">
        <f t="shared" si="8"/>
        <v>0</v>
      </c>
      <c r="J124" s="19">
        <f t="shared" si="9"/>
        <v>4000</v>
      </c>
      <c r="L124" s="4"/>
      <c r="M124" s="4"/>
    </row>
    <row r="125" spans="1:13" ht="13.8" outlineLevel="2" thickBot="1">
      <c r="E125" s="84" t="s">
        <v>204</v>
      </c>
      <c r="F125" s="23" t="s">
        <v>1251</v>
      </c>
      <c r="G125" s="66"/>
      <c r="H125" s="19">
        <v>4000</v>
      </c>
      <c r="I125" s="19">
        <f t="shared" si="8"/>
        <v>0</v>
      </c>
      <c r="J125" s="19">
        <f t="shared" si="9"/>
        <v>4000</v>
      </c>
      <c r="L125" s="4"/>
      <c r="M125" s="4"/>
    </row>
    <row r="126" spans="1:13" ht="13.8" hidden="1" outlineLevel="2" thickBot="1">
      <c r="A126" s="4" t="str">
        <f t="shared" si="10"/>
        <v>O&amp;M Mobilization BudgetOperating ExpensesManuals/Operating Procedures</v>
      </c>
      <c r="B126" s="4" t="s">
        <v>921</v>
      </c>
      <c r="C126" s="4" t="s">
        <v>922</v>
      </c>
      <c r="D126" s="4" t="s">
        <v>1068</v>
      </c>
      <c r="E126" s="84" t="s">
        <v>1255</v>
      </c>
      <c r="F126" s="23" t="s">
        <v>1256</v>
      </c>
      <c r="G126" s="66"/>
      <c r="H126" s="19">
        <v>0</v>
      </c>
      <c r="I126" s="19">
        <f t="shared" si="8"/>
        <v>0</v>
      </c>
      <c r="J126" s="19">
        <f t="shared" si="9"/>
        <v>0</v>
      </c>
      <c r="L126" s="4"/>
      <c r="M126" s="4"/>
    </row>
    <row r="127" spans="1:13" ht="13.8" outlineLevel="2" thickBot="1">
      <c r="A127" s="4" t="str">
        <f t="shared" si="10"/>
        <v>O&amp;M Mobilization BudgetOperating ExpensesManuals/Operating Procedures</v>
      </c>
      <c r="B127" s="4" t="s">
        <v>921</v>
      </c>
      <c r="C127" s="4" t="s">
        <v>922</v>
      </c>
      <c r="D127" s="4" t="s">
        <v>1068</v>
      </c>
      <c r="E127" s="84" t="s">
        <v>1257</v>
      </c>
      <c r="F127" s="23"/>
      <c r="G127" s="66"/>
      <c r="H127" s="19">
        <v>10000</v>
      </c>
      <c r="I127" s="19">
        <f t="shared" si="8"/>
        <v>0</v>
      </c>
      <c r="J127" s="19">
        <f t="shared" si="9"/>
        <v>10000</v>
      </c>
      <c r="L127" s="4"/>
      <c r="M127" s="4"/>
    </row>
    <row r="128" spans="1:13" ht="13.8" outlineLevel="2" thickBot="1">
      <c r="E128" s="84" t="s">
        <v>1258</v>
      </c>
      <c r="F128" s="23" t="s">
        <v>1259</v>
      </c>
      <c r="G128" s="66"/>
      <c r="H128" s="19">
        <f>0.05*H127</f>
        <v>500</v>
      </c>
      <c r="I128" s="19">
        <f t="shared" si="8"/>
        <v>0</v>
      </c>
      <c r="J128" s="19">
        <f t="shared" si="9"/>
        <v>500</v>
      </c>
      <c r="L128" s="4"/>
      <c r="M128" s="4"/>
    </row>
    <row r="129" spans="1:13" ht="13.8" outlineLevel="2" thickBot="1">
      <c r="A129" s="4" t="str">
        <f>B129&amp;C129&amp;D129</f>
        <v>O&amp;M Mobilization BudgetOperating ExpensesManuals/Operating Procedures</v>
      </c>
      <c r="B129" s="4" t="s">
        <v>921</v>
      </c>
      <c r="C129" s="4" t="s">
        <v>922</v>
      </c>
      <c r="D129" s="4" t="s">
        <v>1068</v>
      </c>
      <c r="E129" s="84"/>
      <c r="F129" s="23"/>
      <c r="G129" s="66"/>
      <c r="H129" s="19"/>
      <c r="I129" s="19"/>
      <c r="J129" s="19"/>
      <c r="L129" s="4"/>
      <c r="M129" s="4"/>
    </row>
    <row r="130" spans="1:13" s="20" customFormat="1" ht="13.8" outlineLevel="1" thickBot="1">
      <c r="A130" s="20" t="s">
        <v>1260</v>
      </c>
      <c r="B130" s="20" t="s">
        <v>921</v>
      </c>
      <c r="C130" s="20" t="s">
        <v>922</v>
      </c>
      <c r="D130" s="20" t="s">
        <v>1068</v>
      </c>
      <c r="E130" s="84" t="s">
        <v>1066</v>
      </c>
      <c r="F130" s="23"/>
      <c r="G130" s="86" t="s">
        <v>941</v>
      </c>
      <c r="H130" s="87">
        <f>SUBTOTAL(9,H112:H129)</f>
        <v>72100</v>
      </c>
      <c r="I130" s="87">
        <f>SUBTOTAL(9,I112:I129)</f>
        <v>0</v>
      </c>
      <c r="J130" s="87">
        <f>SUBTOTAL(9,J112:J129)</f>
        <v>72100</v>
      </c>
    </row>
    <row r="131" spans="1:13" s="20" customFormat="1" ht="13.8" outlineLevel="1" thickBot="1">
      <c r="A131" s="4" t="s">
        <v>1261</v>
      </c>
      <c r="B131" s="4" t="s">
        <v>921</v>
      </c>
      <c r="C131" s="4" t="s">
        <v>922</v>
      </c>
      <c r="D131" s="4" t="s">
        <v>275</v>
      </c>
      <c r="E131" s="160" t="s">
        <v>275</v>
      </c>
      <c r="F131" s="147"/>
      <c r="G131" s="148"/>
      <c r="H131" s="88"/>
      <c r="I131" s="88"/>
      <c r="J131" s="88"/>
    </row>
    <row r="132" spans="1:13" ht="13.8" outlineLevel="2" thickBot="1">
      <c r="A132" s="4" t="str">
        <f>B132&amp;C132&amp;D132</f>
        <v>O&amp;M Mobilization BudgetOperating ExpensesPermits</v>
      </c>
      <c r="B132" s="4" t="s">
        <v>921</v>
      </c>
      <c r="C132" s="4" t="s">
        <v>922</v>
      </c>
      <c r="D132" s="4" t="s">
        <v>275</v>
      </c>
      <c r="E132" s="84"/>
      <c r="F132" s="23"/>
      <c r="G132" s="66"/>
      <c r="H132" s="19"/>
      <c r="I132" s="19">
        <f>H132-J132</f>
        <v>0</v>
      </c>
      <c r="J132" s="19"/>
      <c r="L132" s="4"/>
      <c r="M132" s="4"/>
    </row>
    <row r="133" spans="1:13" s="20" customFormat="1" ht="13.8" outlineLevel="1" thickBot="1">
      <c r="A133" s="20" t="s">
        <v>1262</v>
      </c>
      <c r="B133" s="20" t="s">
        <v>921</v>
      </c>
      <c r="C133" s="20" t="s">
        <v>922</v>
      </c>
      <c r="D133" s="20" t="s">
        <v>275</v>
      </c>
      <c r="E133" s="84"/>
      <c r="F133" s="23"/>
      <c r="G133" s="86" t="s">
        <v>941</v>
      </c>
      <c r="H133" s="87">
        <f>SUBTOTAL(9,H132:H132)</f>
        <v>0</v>
      </c>
      <c r="I133" s="87">
        <f>SUBTOTAL(9,I132:I132)</f>
        <v>0</v>
      </c>
      <c r="J133" s="87">
        <f>SUBTOTAL(9,J132:J132)</f>
        <v>0</v>
      </c>
    </row>
    <row r="134" spans="1:13" s="20" customFormat="1" ht="13.8" outlineLevel="1" thickBot="1">
      <c r="A134" s="4" t="s">
        <v>1263</v>
      </c>
      <c r="B134" s="4" t="s">
        <v>921</v>
      </c>
      <c r="C134" s="4" t="s">
        <v>922</v>
      </c>
      <c r="D134" s="4" t="s">
        <v>276</v>
      </c>
      <c r="E134" s="160" t="s">
        <v>1264</v>
      </c>
      <c r="F134" s="147"/>
      <c r="G134" s="148"/>
      <c r="H134" s="88"/>
      <c r="I134" s="88"/>
      <c r="J134" s="88"/>
    </row>
    <row r="135" spans="1:13" ht="13.8" hidden="1" outlineLevel="2" thickBot="1">
      <c r="A135" s="4" t="str">
        <f>B135&amp;C135&amp;D135</f>
        <v>O&amp;M Mobilization BudgetOperating ExpensesInsurance</v>
      </c>
      <c r="B135" s="4" t="s">
        <v>921</v>
      </c>
      <c r="C135" s="4" t="s">
        <v>922</v>
      </c>
      <c r="D135" s="4" t="s">
        <v>276</v>
      </c>
      <c r="E135" s="84"/>
      <c r="F135" s="23"/>
      <c r="G135" s="66"/>
      <c r="H135" s="19">
        <v>0</v>
      </c>
      <c r="I135" s="19">
        <f>H135-J135</f>
        <v>0</v>
      </c>
      <c r="J135" s="19"/>
      <c r="L135" s="4"/>
      <c r="M135" s="4"/>
    </row>
    <row r="136" spans="1:13" ht="13.8" outlineLevel="2" thickBot="1">
      <c r="A136" s="4" t="str">
        <f>B136&amp;C136&amp;D136</f>
        <v>O&amp;M Mobilization BudgetOperating ExpensesInsurance</v>
      </c>
      <c r="B136" s="4" t="s">
        <v>921</v>
      </c>
      <c r="C136" s="4" t="s">
        <v>922</v>
      </c>
      <c r="D136" s="4" t="s">
        <v>276</v>
      </c>
      <c r="E136" s="84"/>
      <c r="F136" s="23"/>
      <c r="G136" s="66"/>
      <c r="H136" s="19"/>
      <c r="I136" s="19"/>
      <c r="J136" s="19"/>
      <c r="L136" s="4"/>
      <c r="M136" s="4"/>
    </row>
    <row r="137" spans="1:13" s="20" customFormat="1" ht="13.8" outlineLevel="1" thickBot="1">
      <c r="A137" s="20" t="s">
        <v>1265</v>
      </c>
      <c r="B137" s="20" t="s">
        <v>921</v>
      </c>
      <c r="C137" s="20" t="s">
        <v>922</v>
      </c>
      <c r="D137" s="20" t="s">
        <v>276</v>
      </c>
      <c r="E137" s="84"/>
      <c r="F137" s="23"/>
      <c r="G137" s="86" t="s">
        <v>941</v>
      </c>
      <c r="H137" s="87">
        <f>SUBTOTAL(9,H135:H136)</f>
        <v>0</v>
      </c>
      <c r="I137" s="87">
        <f>SUBTOTAL(9,I135:I136)</f>
        <v>0</v>
      </c>
      <c r="J137" s="87">
        <f>SUBTOTAL(9,J135:J136)</f>
        <v>0</v>
      </c>
    </row>
    <row r="138" spans="1:13" s="20" customFormat="1" ht="13.8" outlineLevel="1" thickBot="1">
      <c r="E138" s="160" t="s">
        <v>277</v>
      </c>
      <c r="F138" s="147"/>
      <c r="G138" s="148"/>
      <c r="H138" s="88"/>
      <c r="I138" s="88"/>
      <c r="J138" s="88"/>
    </row>
    <row r="139" spans="1:13" s="20" customFormat="1" ht="13.8" outlineLevel="1" thickBot="1">
      <c r="E139" s="122" t="s">
        <v>277</v>
      </c>
      <c r="F139" s="89" t="s">
        <v>1266</v>
      </c>
      <c r="G139" s="123"/>
      <c r="H139" s="124">
        <f>1*350*30</f>
        <v>10500</v>
      </c>
      <c r="I139" s="19">
        <f>H139-J139</f>
        <v>0</v>
      </c>
      <c r="J139" s="242">
        <f>H139</f>
        <v>10500</v>
      </c>
    </row>
    <row r="140" spans="1:13" s="20" customFormat="1" ht="13.8" outlineLevel="1" thickBot="1">
      <c r="E140" s="122" t="s">
        <v>1267</v>
      </c>
      <c r="F140" s="89" t="s">
        <v>1268</v>
      </c>
      <c r="G140" s="123"/>
      <c r="H140" s="124">
        <v>3000</v>
      </c>
      <c r="I140" s="19">
        <f>H140-J140</f>
        <v>3000</v>
      </c>
      <c r="J140" s="242"/>
    </row>
    <row r="141" spans="1:13" s="20" customFormat="1" ht="13.8" outlineLevel="1" thickBot="1">
      <c r="E141" s="122" t="s">
        <v>1269</v>
      </c>
      <c r="F141" s="89" t="s">
        <v>1270</v>
      </c>
      <c r="G141" s="123"/>
      <c r="H141" s="124">
        <f>1*3000*1</f>
        <v>3000</v>
      </c>
      <c r="I141" s="19">
        <f>H141-J141</f>
        <v>0</v>
      </c>
      <c r="J141" s="242">
        <f>H141</f>
        <v>3000</v>
      </c>
    </row>
    <row r="142" spans="1:13" s="20" customFormat="1" ht="13.8" outlineLevel="1" thickBot="1">
      <c r="E142" s="122" t="s">
        <v>1271</v>
      </c>
      <c r="F142" s="89" t="s">
        <v>1272</v>
      </c>
      <c r="G142" s="123"/>
      <c r="H142" s="124"/>
      <c r="I142" s="19">
        <f>H142-J142</f>
        <v>0</v>
      </c>
      <c r="J142" s="242"/>
    </row>
    <row r="143" spans="1:13" s="20" customFormat="1" ht="13.8" outlineLevel="1" thickBot="1">
      <c r="E143" s="122"/>
      <c r="F143" s="89"/>
      <c r="G143" s="123"/>
      <c r="H143" s="124"/>
      <c r="I143" s="242"/>
      <c r="J143" s="242"/>
    </row>
    <row r="144" spans="1:13" s="20" customFormat="1" ht="13.8" outlineLevel="1" thickBot="1">
      <c r="E144" s="122" t="s">
        <v>599</v>
      </c>
      <c r="F144" s="89"/>
      <c r="G144" s="125" t="s">
        <v>941</v>
      </c>
      <c r="H144" s="113">
        <f>SUBTOTAL(9,H139:H142)</f>
        <v>16500</v>
      </c>
      <c r="I144" s="113">
        <f>SUBTOTAL(9,I139:I142)</f>
        <v>3000</v>
      </c>
      <c r="J144" s="113">
        <f>SUBTOTAL(9,J139:J142)</f>
        <v>13500</v>
      </c>
    </row>
    <row r="145" spans="1:13" s="20" customFormat="1" ht="13.8" outlineLevel="1" thickBot="1">
      <c r="A145" s="4" t="s">
        <v>1273</v>
      </c>
      <c r="B145" s="4" t="s">
        <v>921</v>
      </c>
      <c r="C145" s="4" t="s">
        <v>1274</v>
      </c>
      <c r="D145" s="4" t="s">
        <v>1275</v>
      </c>
      <c r="E145" s="160" t="s">
        <v>1275</v>
      </c>
      <c r="F145" s="147"/>
      <c r="G145" s="148"/>
      <c r="H145" s="88"/>
      <c r="I145" s="88"/>
      <c r="J145" s="88"/>
    </row>
    <row r="146" spans="1:13" ht="13.8" outlineLevel="2" thickBot="1">
      <c r="A146" s="4" t="str">
        <f t="shared" ref="A146:A158" si="11">B146&amp;C146&amp;D146</f>
        <v>O&amp;M Mobilization BudgetProcurement ExpensesOffice Furnishings, Equipment, Supplies</v>
      </c>
      <c r="B146" s="4" t="s">
        <v>921</v>
      </c>
      <c r="C146" s="4" t="s">
        <v>1274</v>
      </c>
      <c r="D146" s="4" t="s">
        <v>1275</v>
      </c>
      <c r="E146" s="84" t="s">
        <v>1276</v>
      </c>
      <c r="F146" s="23" t="s">
        <v>1011</v>
      </c>
      <c r="G146" s="66"/>
      <c r="H146" s="19">
        <f>3*800</f>
        <v>2400</v>
      </c>
      <c r="I146" s="19">
        <f t="shared" ref="I146:I178" si="12">H146-J146</f>
        <v>2400</v>
      </c>
      <c r="J146" s="19"/>
      <c r="L146" s="4"/>
      <c r="M146" s="4"/>
    </row>
    <row r="147" spans="1:13" ht="13.8" outlineLevel="2" thickBot="1">
      <c r="A147" s="4" t="str">
        <f t="shared" si="11"/>
        <v>O&amp;M Mobilization BudgetProcurement ExpensesOffice Furnishings, Equipment, Supplies</v>
      </c>
      <c r="B147" s="4" t="s">
        <v>921</v>
      </c>
      <c r="C147" s="4" t="s">
        <v>1274</v>
      </c>
      <c r="D147" s="4" t="s">
        <v>1275</v>
      </c>
      <c r="E147" s="84" t="s">
        <v>1277</v>
      </c>
      <c r="F147" s="23" t="s">
        <v>1012</v>
      </c>
      <c r="G147" s="66"/>
      <c r="H147" s="19">
        <f>6*100</f>
        <v>600</v>
      </c>
      <c r="I147" s="19">
        <f t="shared" si="12"/>
        <v>600</v>
      </c>
      <c r="J147" s="19"/>
      <c r="L147" s="4"/>
      <c r="M147" s="4"/>
    </row>
    <row r="148" spans="1:13" ht="13.8" outlineLevel="2" thickBot="1">
      <c r="A148" s="4" t="str">
        <f t="shared" si="11"/>
        <v>O&amp;M Mobilization BudgetProcurement ExpensesOffice Furnishings, Equipment, Supplies</v>
      </c>
      <c r="B148" s="4" t="s">
        <v>921</v>
      </c>
      <c r="C148" s="4" t="s">
        <v>1274</v>
      </c>
      <c r="D148" s="4" t="s">
        <v>1275</v>
      </c>
      <c r="E148" s="84" t="s">
        <v>1278</v>
      </c>
      <c r="F148" s="23" t="s">
        <v>1013</v>
      </c>
      <c r="G148" s="66"/>
      <c r="H148" s="19">
        <f>5*75</f>
        <v>375</v>
      </c>
      <c r="I148" s="19">
        <f t="shared" si="12"/>
        <v>375</v>
      </c>
      <c r="J148" s="19"/>
      <c r="L148" s="4"/>
      <c r="M148" s="4"/>
    </row>
    <row r="149" spans="1:13" ht="13.8" outlineLevel="2" thickBot="1">
      <c r="A149" s="4" t="str">
        <f t="shared" si="11"/>
        <v>O&amp;M Mobilization BudgetProcurement ExpensesOffice Furnishings, Equipment, Supplies</v>
      </c>
      <c r="B149" s="4" t="s">
        <v>921</v>
      </c>
      <c r="C149" s="4" t="s">
        <v>1274</v>
      </c>
      <c r="D149" s="4" t="s">
        <v>1275</v>
      </c>
      <c r="E149" s="84" t="s">
        <v>1279</v>
      </c>
      <c r="F149" s="23" t="s">
        <v>1014</v>
      </c>
      <c r="G149" s="66"/>
      <c r="H149" s="19">
        <f>5*200</f>
        <v>1000</v>
      </c>
      <c r="I149" s="19">
        <f t="shared" si="12"/>
        <v>1000</v>
      </c>
      <c r="J149" s="19"/>
      <c r="L149" s="4"/>
      <c r="M149" s="4"/>
    </row>
    <row r="150" spans="1:13" ht="13.8" outlineLevel="2" thickBot="1">
      <c r="A150" s="4" t="str">
        <f t="shared" si="11"/>
        <v>O&amp;M Mobilization BudgetProcurement ExpensesOffice Furnishings, Equipment, Supplies</v>
      </c>
      <c r="B150" s="4" t="s">
        <v>921</v>
      </c>
      <c r="C150" s="4" t="s">
        <v>1274</v>
      </c>
      <c r="D150" s="4" t="s">
        <v>1275</v>
      </c>
      <c r="E150" s="84" t="s">
        <v>1280</v>
      </c>
      <c r="F150" s="23" t="s">
        <v>1015</v>
      </c>
      <c r="G150" s="66"/>
      <c r="H150" s="19">
        <f>5*50</f>
        <v>250</v>
      </c>
      <c r="I150" s="19">
        <f t="shared" si="12"/>
        <v>250</v>
      </c>
      <c r="J150" s="19"/>
      <c r="L150" s="4"/>
      <c r="M150" s="4"/>
    </row>
    <row r="151" spans="1:13" ht="13.8" hidden="1" outlineLevel="2" thickBot="1">
      <c r="A151" s="4" t="str">
        <f t="shared" si="11"/>
        <v>O&amp;M Mobilization BudgetProcurement ExpensesOffice Furnishings, Equipment, Supplies</v>
      </c>
      <c r="B151" s="4" t="s">
        <v>921</v>
      </c>
      <c r="C151" s="4" t="s">
        <v>1274</v>
      </c>
      <c r="D151" s="4" t="s">
        <v>1275</v>
      </c>
      <c r="E151" s="84" t="s">
        <v>1281</v>
      </c>
      <c r="F151" s="23" t="s">
        <v>1016</v>
      </c>
      <c r="G151" s="66"/>
      <c r="H151" s="19">
        <v>0</v>
      </c>
      <c r="I151" s="19">
        <f t="shared" si="12"/>
        <v>0</v>
      </c>
      <c r="J151" s="19"/>
      <c r="L151" s="4"/>
      <c r="M151" s="4"/>
    </row>
    <row r="152" spans="1:13" ht="13.8" outlineLevel="2" thickBot="1">
      <c r="A152" s="4" t="str">
        <f t="shared" si="11"/>
        <v>O&amp;M Mobilization BudgetProcurement ExpensesOffice Furnishings, Equipment, Supplies</v>
      </c>
      <c r="B152" s="4" t="s">
        <v>921</v>
      </c>
      <c r="C152" s="4" t="s">
        <v>1274</v>
      </c>
      <c r="D152" s="4" t="s">
        <v>1275</v>
      </c>
      <c r="E152" s="84" t="s">
        <v>1282</v>
      </c>
      <c r="F152" s="23" t="s">
        <v>1017</v>
      </c>
      <c r="G152" s="66"/>
      <c r="H152" s="19">
        <f>1*150</f>
        <v>150</v>
      </c>
      <c r="I152" s="19">
        <f t="shared" si="12"/>
        <v>150</v>
      </c>
      <c r="J152" s="19"/>
      <c r="L152" s="4"/>
      <c r="M152" s="4"/>
    </row>
    <row r="153" spans="1:13" ht="13.8" outlineLevel="2" thickBot="1">
      <c r="A153" s="4" t="str">
        <f t="shared" si="11"/>
        <v>O&amp;M Mobilization BudgetProcurement ExpensesOffice Furnishings, Equipment, Supplies</v>
      </c>
      <c r="B153" s="4" t="s">
        <v>921</v>
      </c>
      <c r="C153" s="4" t="s">
        <v>1274</v>
      </c>
      <c r="D153" s="4" t="s">
        <v>1275</v>
      </c>
      <c r="E153" s="84" t="s">
        <v>1283</v>
      </c>
      <c r="F153" s="23" t="s">
        <v>1018</v>
      </c>
      <c r="G153" s="66"/>
      <c r="H153" s="19">
        <f>6*75</f>
        <v>450</v>
      </c>
      <c r="I153" s="19">
        <f t="shared" si="12"/>
        <v>450</v>
      </c>
      <c r="J153" s="19"/>
      <c r="L153" s="4"/>
      <c r="M153" s="4"/>
    </row>
    <row r="154" spans="1:13" ht="13.8" outlineLevel="2" thickBot="1">
      <c r="A154" s="4" t="str">
        <f t="shared" si="11"/>
        <v>O&amp;M Mobilization BudgetProcurement ExpensesOffice Furnishings, Equipment, Supplies</v>
      </c>
      <c r="B154" s="4" t="s">
        <v>921</v>
      </c>
      <c r="C154" s="4" t="s">
        <v>1274</v>
      </c>
      <c r="D154" s="4" t="s">
        <v>1275</v>
      </c>
      <c r="E154" s="84" t="s">
        <v>1284</v>
      </c>
      <c r="F154" s="23" t="s">
        <v>1019</v>
      </c>
      <c r="G154" s="66"/>
      <c r="H154" s="19">
        <f>1*300</f>
        <v>300</v>
      </c>
      <c r="I154" s="19">
        <f t="shared" si="12"/>
        <v>300</v>
      </c>
      <c r="J154" s="19"/>
      <c r="L154" s="4"/>
      <c r="M154" s="4"/>
    </row>
    <row r="155" spans="1:13" ht="13.8" outlineLevel="2" thickBot="1">
      <c r="A155" s="4" t="str">
        <f t="shared" si="11"/>
        <v>O&amp;M Mobilization BudgetProcurement ExpensesOffice Furnishings, Equipment, Supplies</v>
      </c>
      <c r="B155" s="4" t="s">
        <v>921</v>
      </c>
      <c r="C155" s="4" t="s">
        <v>1274</v>
      </c>
      <c r="D155" s="4" t="s">
        <v>1275</v>
      </c>
      <c r="E155" s="84" t="s">
        <v>1285</v>
      </c>
      <c r="F155" s="23" t="s">
        <v>491</v>
      </c>
      <c r="G155" s="66"/>
      <c r="H155" s="19">
        <f>2*50</f>
        <v>100</v>
      </c>
      <c r="I155" s="19">
        <f t="shared" si="12"/>
        <v>100</v>
      </c>
      <c r="J155" s="19"/>
      <c r="L155" s="4"/>
      <c r="M155" s="4"/>
    </row>
    <row r="156" spans="1:13" ht="13.8" outlineLevel="2" thickBot="1">
      <c r="A156" s="4" t="str">
        <f t="shared" si="11"/>
        <v>O&amp;M Mobilization BudgetProcurement ExpensesOffice Furnishings, Equipment, Supplies</v>
      </c>
      <c r="B156" s="4" t="s">
        <v>921</v>
      </c>
      <c r="C156" s="4" t="s">
        <v>1274</v>
      </c>
      <c r="D156" s="4" t="s">
        <v>1275</v>
      </c>
      <c r="E156" s="84" t="s">
        <v>1323</v>
      </c>
      <c r="F156" s="23" t="s">
        <v>490</v>
      </c>
      <c r="G156" s="66"/>
      <c r="H156" s="19">
        <f>1*750</f>
        <v>750</v>
      </c>
      <c r="I156" s="19">
        <f t="shared" si="12"/>
        <v>750</v>
      </c>
      <c r="J156" s="19"/>
      <c r="L156" s="4"/>
      <c r="M156" s="4"/>
    </row>
    <row r="157" spans="1:13" ht="13.8" hidden="1" outlineLevel="2" thickBot="1">
      <c r="A157" s="4" t="str">
        <f t="shared" si="11"/>
        <v>O&amp;M Mobilization BudgetProcurement ExpensesOffice Furnishings, Equipment, Supplies</v>
      </c>
      <c r="B157" s="4" t="s">
        <v>921</v>
      </c>
      <c r="C157" s="4" t="s">
        <v>1274</v>
      </c>
      <c r="D157" s="4" t="s">
        <v>1275</v>
      </c>
      <c r="E157" s="84" t="s">
        <v>1324</v>
      </c>
      <c r="F157" s="23" t="s">
        <v>489</v>
      </c>
      <c r="G157" s="66"/>
      <c r="H157" s="19">
        <v>0</v>
      </c>
      <c r="I157" s="19">
        <f t="shared" si="12"/>
        <v>0</v>
      </c>
      <c r="J157" s="19"/>
      <c r="L157" s="4"/>
      <c r="M157" s="4"/>
    </row>
    <row r="158" spans="1:13" ht="13.8" outlineLevel="2" thickBot="1">
      <c r="A158" s="4" t="str">
        <f t="shared" si="11"/>
        <v>O&amp;M Mobilization BudgetProcurement ExpensesOffice Furnishings, Equipment, Supplies</v>
      </c>
      <c r="B158" s="4" t="s">
        <v>921</v>
      </c>
      <c r="C158" s="4" t="s">
        <v>1274</v>
      </c>
      <c r="D158" s="4" t="s">
        <v>1275</v>
      </c>
      <c r="E158" s="84" t="s">
        <v>1325</v>
      </c>
      <c r="F158" s="23" t="s">
        <v>492</v>
      </c>
      <c r="G158" s="66"/>
      <c r="H158" s="19">
        <f>3*200</f>
        <v>600</v>
      </c>
      <c r="I158" s="19">
        <f t="shared" si="12"/>
        <v>600</v>
      </c>
      <c r="J158" s="19"/>
      <c r="L158" s="4"/>
      <c r="M158" s="4"/>
    </row>
    <row r="159" spans="1:13" ht="13.8" outlineLevel="2" thickBot="1">
      <c r="A159" s="4" t="str">
        <f>B159&amp;C159&amp;D159</f>
        <v>O&amp;M Mobilization BudgetProcurement ExpensesOffice Furnishings, Equipment, Supplies</v>
      </c>
      <c r="B159" s="4" t="s">
        <v>921</v>
      </c>
      <c r="C159" s="4" t="s">
        <v>1274</v>
      </c>
      <c r="D159" s="4" t="s">
        <v>1275</v>
      </c>
      <c r="E159" s="84" t="s">
        <v>1326</v>
      </c>
      <c r="F159" s="23" t="s">
        <v>493</v>
      </c>
      <c r="G159" s="66"/>
      <c r="H159" s="19">
        <f>3*2500</f>
        <v>7500</v>
      </c>
      <c r="I159" s="19">
        <f t="shared" si="12"/>
        <v>7500</v>
      </c>
      <c r="J159" s="19"/>
      <c r="L159" s="4"/>
      <c r="M159" s="4"/>
    </row>
    <row r="160" spans="1:13" ht="13.8" outlineLevel="2" thickBot="1">
      <c r="A160" s="4" t="str">
        <f>B160&amp;C160&amp;D160</f>
        <v>O&amp;M Mobilization BudgetProcurement ExpensesOffice Furnishings, Equipment, Supplies</v>
      </c>
      <c r="B160" s="4" t="s">
        <v>921</v>
      </c>
      <c r="C160" s="4" t="s">
        <v>1274</v>
      </c>
      <c r="D160" s="4" t="s">
        <v>1275</v>
      </c>
      <c r="E160" s="84" t="s">
        <v>1327</v>
      </c>
      <c r="F160" s="23" t="s">
        <v>494</v>
      </c>
      <c r="G160" s="66"/>
      <c r="H160" s="19">
        <f>3*500</f>
        <v>1500</v>
      </c>
      <c r="I160" s="19">
        <f t="shared" si="12"/>
        <v>1500</v>
      </c>
      <c r="J160" s="19"/>
      <c r="L160" s="4"/>
      <c r="M160" s="4"/>
    </row>
    <row r="161" spans="1:13" ht="13.8" outlineLevel="2" thickBot="1">
      <c r="E161" s="84" t="s">
        <v>1328</v>
      </c>
      <c r="F161" s="23" t="s">
        <v>495</v>
      </c>
      <c r="G161" s="66"/>
      <c r="H161" s="19">
        <v>20000</v>
      </c>
      <c r="I161" s="19">
        <f t="shared" si="12"/>
        <v>0</v>
      </c>
      <c r="J161" s="19">
        <f>H161</f>
        <v>20000</v>
      </c>
      <c r="L161" s="4"/>
      <c r="M161" s="4"/>
    </row>
    <row r="162" spans="1:13" ht="13.8" outlineLevel="2" thickBot="1">
      <c r="E162" s="84" t="s">
        <v>1329</v>
      </c>
      <c r="F162" s="23" t="s">
        <v>496</v>
      </c>
      <c r="G162" s="66"/>
      <c r="H162" s="19">
        <f>1*2500</f>
        <v>2500</v>
      </c>
      <c r="I162" s="19">
        <f t="shared" si="12"/>
        <v>2500</v>
      </c>
      <c r="J162" s="19"/>
      <c r="L162" s="4"/>
      <c r="M162" s="4"/>
    </row>
    <row r="163" spans="1:13" ht="13.8" hidden="1" outlineLevel="2" thickBot="1">
      <c r="E163" s="84" t="s">
        <v>1330</v>
      </c>
      <c r="F163" s="23" t="s">
        <v>1331</v>
      </c>
      <c r="G163" s="66"/>
      <c r="H163" s="19">
        <v>0</v>
      </c>
      <c r="I163" s="19">
        <f t="shared" si="12"/>
        <v>0</v>
      </c>
      <c r="J163" s="19">
        <f>H163</f>
        <v>0</v>
      </c>
      <c r="L163" s="4"/>
      <c r="M163" s="4"/>
    </row>
    <row r="164" spans="1:13" ht="13.8" outlineLevel="2" thickBot="1">
      <c r="E164" s="84" t="s">
        <v>44</v>
      </c>
      <c r="F164" s="23" t="s">
        <v>1332</v>
      </c>
      <c r="G164" s="66"/>
      <c r="H164" s="19">
        <v>30000</v>
      </c>
      <c r="I164" s="19">
        <f t="shared" si="12"/>
        <v>0</v>
      </c>
      <c r="J164" s="19">
        <f>H164</f>
        <v>30000</v>
      </c>
      <c r="L164" s="4"/>
      <c r="M164" s="4"/>
    </row>
    <row r="165" spans="1:13" ht="13.8" outlineLevel="2" thickBot="1">
      <c r="A165" s="4" t="str">
        <f t="shared" ref="A165:A175" si="13">B165&amp;C165&amp;D165</f>
        <v>O&amp;M Mobilization BudgetProcurement ExpensesOffice Furnishings, Equipment, Supplies</v>
      </c>
      <c r="B165" s="4" t="s">
        <v>921</v>
      </c>
      <c r="C165" s="4" t="s">
        <v>1274</v>
      </c>
      <c r="D165" s="4" t="s">
        <v>1275</v>
      </c>
      <c r="E165" s="84" t="s">
        <v>1333</v>
      </c>
      <c r="F165" s="23" t="s">
        <v>1334</v>
      </c>
      <c r="G165" s="66"/>
      <c r="H165" s="19">
        <v>8000</v>
      </c>
      <c r="I165" s="19">
        <f t="shared" si="12"/>
        <v>8000</v>
      </c>
      <c r="J165" s="19"/>
      <c r="L165" s="4"/>
      <c r="M165" s="4"/>
    </row>
    <row r="166" spans="1:13" ht="13.8" outlineLevel="2" thickBot="1">
      <c r="A166" s="4" t="str">
        <f t="shared" si="13"/>
        <v>O&amp;M Mobilization BudgetProcurement ExpensesOffice Furnishings, Equipment, Supplies</v>
      </c>
      <c r="B166" s="4" t="s">
        <v>921</v>
      </c>
      <c r="C166" s="4" t="s">
        <v>1274</v>
      </c>
      <c r="D166" s="4" t="s">
        <v>1275</v>
      </c>
      <c r="E166" s="84" t="s">
        <v>1335</v>
      </c>
      <c r="F166" s="23" t="s">
        <v>1336</v>
      </c>
      <c r="G166" s="66"/>
      <c r="H166" s="19">
        <v>750</v>
      </c>
      <c r="I166" s="19">
        <f t="shared" si="12"/>
        <v>750</v>
      </c>
      <c r="J166" s="19"/>
      <c r="L166" s="4"/>
      <c r="M166" s="4"/>
    </row>
    <row r="167" spans="1:13" ht="13.8" outlineLevel="2" thickBot="1">
      <c r="A167" s="4" t="str">
        <f t="shared" si="13"/>
        <v>O&amp;M Mobilization BudgetProcurement ExpensesOffice Furnishings, Equipment, Supplies</v>
      </c>
      <c r="B167" s="4" t="s">
        <v>921</v>
      </c>
      <c r="C167" s="4" t="s">
        <v>1274</v>
      </c>
      <c r="D167" s="4" t="s">
        <v>1275</v>
      </c>
      <c r="E167" s="84" t="s">
        <v>1337</v>
      </c>
      <c r="F167" s="23" t="s">
        <v>497</v>
      </c>
      <c r="G167" s="66"/>
      <c r="H167" s="19">
        <v>4000</v>
      </c>
      <c r="I167" s="19">
        <f t="shared" si="12"/>
        <v>4000</v>
      </c>
      <c r="J167" s="19"/>
      <c r="L167" s="4"/>
      <c r="M167" s="4"/>
    </row>
    <row r="168" spans="1:13" ht="13.8" outlineLevel="2" thickBot="1">
      <c r="A168" s="4" t="str">
        <f t="shared" si="13"/>
        <v>O&amp;M Mobilization BudgetProcurement ExpensesOffice Furnishings, Equipment, Supplies</v>
      </c>
      <c r="B168" s="4" t="s">
        <v>921</v>
      </c>
      <c r="C168" s="4" t="s">
        <v>1274</v>
      </c>
      <c r="D168" s="4" t="s">
        <v>1275</v>
      </c>
      <c r="E168" s="84" t="s">
        <v>1338</v>
      </c>
      <c r="F168" s="23" t="s">
        <v>498</v>
      </c>
      <c r="G168" s="66"/>
      <c r="H168" s="19">
        <f>3*20</f>
        <v>60</v>
      </c>
      <c r="I168" s="19">
        <f t="shared" si="12"/>
        <v>60</v>
      </c>
      <c r="J168" s="19"/>
      <c r="L168" s="4"/>
      <c r="M168" s="4"/>
    </row>
    <row r="169" spans="1:13" ht="13.8" outlineLevel="2" thickBot="1">
      <c r="A169" s="4" t="str">
        <f t="shared" si="13"/>
        <v>O&amp;M Mobilization BudgetProcurement ExpensesOffice Furnishings, Equipment, Supplies</v>
      </c>
      <c r="B169" s="4" t="s">
        <v>921</v>
      </c>
      <c r="C169" s="4" t="s">
        <v>1274</v>
      </c>
      <c r="D169" s="4" t="s">
        <v>1275</v>
      </c>
      <c r="E169" s="84" t="s">
        <v>1339</v>
      </c>
      <c r="F169" s="23" t="s">
        <v>1340</v>
      </c>
      <c r="G169" s="66"/>
      <c r="H169" s="19">
        <f>400+500+200</f>
        <v>1100</v>
      </c>
      <c r="I169" s="19">
        <f t="shared" si="12"/>
        <v>1100</v>
      </c>
      <c r="J169" s="19"/>
      <c r="L169" s="4"/>
      <c r="M169" s="4"/>
    </row>
    <row r="170" spans="1:13" ht="13.8" outlineLevel="2" thickBot="1">
      <c r="A170" s="4" t="str">
        <f t="shared" si="13"/>
        <v>O&amp;M Mobilization BudgetProcurement ExpensesOffice Furnishings, Equipment, Supplies</v>
      </c>
      <c r="B170" s="4" t="s">
        <v>921</v>
      </c>
      <c r="C170" s="4" t="s">
        <v>1274</v>
      </c>
      <c r="D170" s="4" t="s">
        <v>1275</v>
      </c>
      <c r="E170" s="84" t="s">
        <v>1341</v>
      </c>
      <c r="F170" s="23" t="s">
        <v>1342</v>
      </c>
      <c r="G170" s="66"/>
      <c r="H170" s="19">
        <v>2000</v>
      </c>
      <c r="I170" s="19">
        <f t="shared" si="12"/>
        <v>2000</v>
      </c>
      <c r="J170" s="19"/>
      <c r="L170" s="4"/>
      <c r="M170" s="4"/>
    </row>
    <row r="171" spans="1:13" ht="13.8" hidden="1" outlineLevel="2" thickBot="1">
      <c r="A171" s="4" t="str">
        <f t="shared" si="13"/>
        <v>O&amp;M Mobilization BudgetProcurement ExpensesOffice Furnishings, Equipment, Supplies</v>
      </c>
      <c r="B171" s="4" t="s">
        <v>921</v>
      </c>
      <c r="C171" s="4" t="s">
        <v>1274</v>
      </c>
      <c r="D171" s="4" t="s">
        <v>1275</v>
      </c>
      <c r="E171" s="84" t="s">
        <v>1343</v>
      </c>
      <c r="F171" s="23" t="s">
        <v>1344</v>
      </c>
      <c r="G171" s="66"/>
      <c r="H171" s="19">
        <v>0</v>
      </c>
      <c r="I171" s="19">
        <f t="shared" si="12"/>
        <v>0</v>
      </c>
      <c r="J171" s="19"/>
      <c r="L171" s="4"/>
      <c r="M171" s="4"/>
    </row>
    <row r="172" spans="1:13" ht="13.8" outlineLevel="2" thickBot="1">
      <c r="A172" s="4" t="str">
        <f t="shared" si="13"/>
        <v>O&amp;M Mobilization BudgetProcurement ExpensesOffice Furnishings, Equipment, Supplies</v>
      </c>
      <c r="B172" s="4" t="s">
        <v>921</v>
      </c>
      <c r="C172" s="4" t="s">
        <v>1274</v>
      </c>
      <c r="D172" s="4" t="s">
        <v>1275</v>
      </c>
      <c r="E172" s="84" t="s">
        <v>1345</v>
      </c>
      <c r="F172" s="23" t="s">
        <v>499</v>
      </c>
      <c r="G172" s="66"/>
      <c r="H172" s="19">
        <f>2*80</f>
        <v>160</v>
      </c>
      <c r="I172" s="19">
        <f t="shared" si="12"/>
        <v>160</v>
      </c>
      <c r="J172" s="19"/>
      <c r="L172" s="4"/>
      <c r="M172" s="4"/>
    </row>
    <row r="173" spans="1:13" ht="13.8" outlineLevel="2" thickBot="1">
      <c r="A173" s="4" t="str">
        <f t="shared" si="13"/>
        <v>O&amp;M Mobilization BudgetProcurement ExpensesOffice Furnishings, Equipment, Supplies</v>
      </c>
      <c r="B173" s="4" t="s">
        <v>921</v>
      </c>
      <c r="C173" s="4" t="s">
        <v>1274</v>
      </c>
      <c r="D173" s="4" t="s">
        <v>1275</v>
      </c>
      <c r="E173" s="84" t="s">
        <v>1346</v>
      </c>
      <c r="F173" s="23" t="s">
        <v>500</v>
      </c>
      <c r="G173" s="66"/>
      <c r="H173" s="19">
        <v>600</v>
      </c>
      <c r="I173" s="19">
        <f t="shared" si="12"/>
        <v>600</v>
      </c>
      <c r="J173" s="19"/>
      <c r="L173" s="4"/>
      <c r="M173" s="4"/>
    </row>
    <row r="174" spans="1:13" ht="13.8" outlineLevel="2" thickBot="1">
      <c r="E174" s="84" t="s">
        <v>1347</v>
      </c>
      <c r="F174" s="23" t="s">
        <v>1348</v>
      </c>
      <c r="G174" s="66"/>
      <c r="H174" s="19">
        <v>1500</v>
      </c>
      <c r="I174" s="19">
        <f t="shared" si="12"/>
        <v>1500</v>
      </c>
      <c r="J174" s="19"/>
      <c r="L174" s="4"/>
      <c r="M174" s="4"/>
    </row>
    <row r="175" spans="1:13" ht="13.8" outlineLevel="2" thickBot="1">
      <c r="A175" s="4" t="str">
        <f t="shared" si="13"/>
        <v>O&amp;M Mobilization BudgetProcurement ExpensesOffice Furnishings, Equipment, Supplies</v>
      </c>
      <c r="B175" s="4" t="s">
        <v>921</v>
      </c>
      <c r="C175" s="4" t="s">
        <v>1274</v>
      </c>
      <c r="D175" s="4" t="s">
        <v>1275</v>
      </c>
      <c r="E175" s="84" t="s">
        <v>1349</v>
      </c>
      <c r="F175" s="23" t="s">
        <v>45</v>
      </c>
      <c r="G175" s="66"/>
      <c r="H175" s="19">
        <f>4*200</f>
        <v>800</v>
      </c>
      <c r="I175" s="19">
        <f t="shared" si="12"/>
        <v>800</v>
      </c>
      <c r="J175" s="19"/>
      <c r="L175" s="4"/>
      <c r="M175" s="4"/>
    </row>
    <row r="176" spans="1:13" ht="13.8" hidden="1" outlineLevel="2" thickBot="1">
      <c r="E176" s="84" t="s">
        <v>1350</v>
      </c>
      <c r="F176" s="23" t="s">
        <v>1351</v>
      </c>
      <c r="G176" s="66"/>
      <c r="H176" s="19">
        <v>0</v>
      </c>
      <c r="I176" s="19">
        <f t="shared" si="12"/>
        <v>0</v>
      </c>
      <c r="J176" s="19"/>
      <c r="L176" s="4"/>
      <c r="M176" s="4"/>
    </row>
    <row r="177" spans="1:13" ht="13.8" outlineLevel="2" thickBot="1">
      <c r="E177" s="84" t="s">
        <v>1352</v>
      </c>
      <c r="F177" s="23"/>
      <c r="G177" s="66"/>
      <c r="H177" s="19">
        <v>3000</v>
      </c>
      <c r="I177" s="19">
        <f t="shared" si="12"/>
        <v>3000</v>
      </c>
      <c r="J177" s="19"/>
      <c r="L177" s="4"/>
      <c r="M177" s="4"/>
    </row>
    <row r="178" spans="1:13" ht="13.8" outlineLevel="2" thickBot="1">
      <c r="E178" s="84" t="s">
        <v>1258</v>
      </c>
      <c r="F178" s="23" t="s">
        <v>1353</v>
      </c>
      <c r="G178" s="66"/>
      <c r="H178" s="19">
        <f>SUM(H146:H177)*0.05</f>
        <v>4522.25</v>
      </c>
      <c r="I178" s="19">
        <f t="shared" si="12"/>
        <v>4522.25</v>
      </c>
      <c r="J178" s="19"/>
      <c r="L178" s="4"/>
      <c r="M178" s="4"/>
    </row>
    <row r="179" spans="1:13" ht="13.8" outlineLevel="2" thickBot="1">
      <c r="E179" s="84"/>
      <c r="F179" s="23"/>
      <c r="G179" s="66"/>
      <c r="H179" s="19"/>
      <c r="I179" s="19"/>
      <c r="J179" s="19"/>
      <c r="L179" s="4"/>
      <c r="M179" s="4"/>
    </row>
    <row r="180" spans="1:13" s="20" customFormat="1" ht="13.8" outlineLevel="1" thickBot="1">
      <c r="A180" s="20" t="s">
        <v>1354</v>
      </c>
      <c r="B180" s="20" t="s">
        <v>921</v>
      </c>
      <c r="C180" s="20" t="s">
        <v>1274</v>
      </c>
      <c r="D180" s="20" t="s">
        <v>1275</v>
      </c>
      <c r="E180" s="84" t="s">
        <v>599</v>
      </c>
      <c r="F180" s="23"/>
      <c r="G180" s="86" t="s">
        <v>941</v>
      </c>
      <c r="H180" s="87">
        <f>SUBTOTAL(9,H146:H179)</f>
        <v>94967.25</v>
      </c>
      <c r="I180" s="87">
        <f>SUBTOTAL(9,I146:I179)</f>
        <v>44967.25</v>
      </c>
      <c r="J180" s="87">
        <f>SUBTOTAL(9,J146:J179)</f>
        <v>50000</v>
      </c>
    </row>
    <row r="181" spans="1:13" s="20" customFormat="1" ht="13.8" outlineLevel="1" thickBot="1">
      <c r="A181" s="4" t="s">
        <v>1355</v>
      </c>
      <c r="B181" s="4" t="s">
        <v>921</v>
      </c>
      <c r="C181" s="4" t="s">
        <v>1274</v>
      </c>
      <c r="D181" s="4" t="s">
        <v>1356</v>
      </c>
      <c r="E181" s="160" t="s">
        <v>1357</v>
      </c>
      <c r="F181" s="147"/>
      <c r="G181" s="148"/>
      <c r="H181" s="88"/>
      <c r="I181" s="88"/>
      <c r="J181" s="88"/>
    </row>
    <row r="182" spans="1:13" ht="13.8" outlineLevel="2" thickBot="1">
      <c r="A182" s="4" t="str">
        <f>B182&amp;C182&amp;D182</f>
        <v>O&amp;M Mobilization BudgetProcurement ExpensesSafety Equipment &amp; Supplies</v>
      </c>
      <c r="B182" s="4" t="s">
        <v>921</v>
      </c>
      <c r="C182" s="4" t="s">
        <v>1274</v>
      </c>
      <c r="D182" s="4" t="s">
        <v>1356</v>
      </c>
      <c r="E182" s="84" t="s">
        <v>1358</v>
      </c>
      <c r="F182" s="23" t="s">
        <v>1359</v>
      </c>
      <c r="G182" s="66"/>
      <c r="H182" s="19"/>
      <c r="I182" s="19">
        <f t="shared" ref="I182:I192" si="14">H182-J182</f>
        <v>0</v>
      </c>
      <c r="J182" s="19"/>
      <c r="L182" s="4"/>
      <c r="M182" s="4"/>
    </row>
    <row r="183" spans="1:13" ht="13.8" outlineLevel="2" thickBot="1">
      <c r="E183" s="84"/>
      <c r="F183" s="23" t="s">
        <v>1360</v>
      </c>
      <c r="G183" s="66"/>
      <c r="H183" s="19">
        <v>10000</v>
      </c>
      <c r="I183" s="19">
        <f t="shared" si="14"/>
        <v>10000</v>
      </c>
      <c r="J183" s="19"/>
      <c r="L183" s="4"/>
      <c r="M183" s="4"/>
    </row>
    <row r="184" spans="1:13" ht="13.8" outlineLevel="2" thickBot="1">
      <c r="E184" s="84" t="s">
        <v>1361</v>
      </c>
      <c r="F184" s="23" t="s">
        <v>1362</v>
      </c>
      <c r="G184" s="66"/>
      <c r="H184" s="19">
        <f>30*120</f>
        <v>3600</v>
      </c>
      <c r="I184" s="19">
        <f t="shared" si="14"/>
        <v>3600</v>
      </c>
      <c r="J184" s="19"/>
      <c r="L184" s="4"/>
      <c r="M184" s="4"/>
    </row>
    <row r="185" spans="1:13" ht="13.8" outlineLevel="2" thickBot="1">
      <c r="E185" s="84" t="s">
        <v>1363</v>
      </c>
      <c r="F185" s="23"/>
      <c r="G185" s="66"/>
      <c r="H185" s="19">
        <v>7700</v>
      </c>
      <c r="I185" s="19">
        <f t="shared" si="14"/>
        <v>7700</v>
      </c>
      <c r="J185" s="19"/>
      <c r="L185" s="4"/>
      <c r="M185" s="4"/>
    </row>
    <row r="186" spans="1:13" ht="13.8" outlineLevel="2" thickBot="1">
      <c r="E186" s="84" t="s">
        <v>1364</v>
      </c>
      <c r="F186" s="23" t="s">
        <v>1365</v>
      </c>
      <c r="G186" s="66"/>
      <c r="H186" s="19">
        <v>6000</v>
      </c>
      <c r="I186" s="19">
        <f t="shared" si="14"/>
        <v>6000</v>
      </c>
      <c r="J186" s="19"/>
      <c r="L186" s="4"/>
      <c r="M186" s="4"/>
    </row>
    <row r="187" spans="1:13" ht="13.8" outlineLevel="2" thickBot="1">
      <c r="E187" s="84" t="s">
        <v>1366</v>
      </c>
      <c r="F187" s="23" t="s">
        <v>1367</v>
      </c>
      <c r="G187" s="66"/>
      <c r="H187" s="19">
        <v>2500</v>
      </c>
      <c r="I187" s="19">
        <f t="shared" si="14"/>
        <v>0</v>
      </c>
      <c r="J187" s="19">
        <f>H187</f>
        <v>2500</v>
      </c>
      <c r="L187" s="4"/>
      <c r="M187" s="4"/>
    </row>
    <row r="188" spans="1:13" ht="13.8" outlineLevel="2" thickBot="1">
      <c r="E188" s="84" t="s">
        <v>1368</v>
      </c>
      <c r="F188" s="23" t="s">
        <v>1369</v>
      </c>
      <c r="G188" s="66"/>
      <c r="H188" s="19">
        <v>800</v>
      </c>
      <c r="I188" s="19">
        <f t="shared" si="14"/>
        <v>0</v>
      </c>
      <c r="J188" s="19">
        <f>H188</f>
        <v>800</v>
      </c>
      <c r="L188" s="4"/>
      <c r="M188" s="4"/>
    </row>
    <row r="189" spans="1:13" ht="13.8" hidden="1" outlineLevel="2" thickBot="1">
      <c r="E189" s="84" t="s">
        <v>1370</v>
      </c>
      <c r="F189" s="23"/>
      <c r="G189" s="66">
        <v>44700</v>
      </c>
      <c r="H189" s="19"/>
      <c r="I189" s="19"/>
      <c r="J189" s="19"/>
      <c r="L189" s="4"/>
      <c r="M189" s="4"/>
    </row>
    <row r="190" spans="1:13" ht="13.8" hidden="1" outlineLevel="2" thickBot="1">
      <c r="E190" s="84" t="s">
        <v>1371</v>
      </c>
      <c r="F190" s="23"/>
      <c r="G190" s="66">
        <v>21000</v>
      </c>
      <c r="H190" s="19"/>
      <c r="I190" s="19"/>
      <c r="J190" s="19"/>
      <c r="L190" s="4"/>
      <c r="M190" s="4"/>
    </row>
    <row r="191" spans="1:13" ht="13.8" hidden="1" outlineLevel="2" thickBot="1">
      <c r="E191" s="84" t="s">
        <v>1372</v>
      </c>
      <c r="F191" s="23"/>
      <c r="G191" s="66">
        <v>17600</v>
      </c>
      <c r="H191" s="19"/>
      <c r="I191" s="19"/>
      <c r="J191" s="19"/>
      <c r="L191" s="4"/>
      <c r="M191" s="4"/>
    </row>
    <row r="192" spans="1:13" ht="13.8" outlineLevel="2" thickBot="1">
      <c r="E192" s="84" t="s">
        <v>1258</v>
      </c>
      <c r="F192" s="23" t="s">
        <v>1353</v>
      </c>
      <c r="G192" s="66"/>
      <c r="H192" s="19">
        <f>0.05*SUM(H182:H188)</f>
        <v>1530</v>
      </c>
      <c r="I192" s="19">
        <f t="shared" si="14"/>
        <v>1530</v>
      </c>
      <c r="J192" s="19"/>
      <c r="L192" s="4"/>
      <c r="M192" s="4"/>
    </row>
    <row r="193" spans="1:13" ht="13.8" outlineLevel="2" thickBot="1">
      <c r="E193" s="84"/>
      <c r="F193" s="23"/>
      <c r="G193" s="66"/>
      <c r="H193" s="19"/>
      <c r="I193" s="19"/>
      <c r="J193" s="19"/>
      <c r="L193" s="4"/>
      <c r="M193" s="4"/>
    </row>
    <row r="194" spans="1:13" s="20" customFormat="1" ht="13.8" outlineLevel="1" thickBot="1">
      <c r="A194" s="20" t="s">
        <v>1373</v>
      </c>
      <c r="B194" s="20" t="s">
        <v>921</v>
      </c>
      <c r="C194" s="20" t="s">
        <v>1274</v>
      </c>
      <c r="D194" s="20" t="s">
        <v>1356</v>
      </c>
      <c r="E194" s="84" t="s">
        <v>599</v>
      </c>
      <c r="F194" s="23"/>
      <c r="G194" s="86" t="s">
        <v>941</v>
      </c>
      <c r="H194" s="87">
        <f>SUBTOTAL(9,H182:H193)</f>
        <v>32130</v>
      </c>
      <c r="I194" s="87">
        <f>SUBTOTAL(9,I182:I193)</f>
        <v>28830</v>
      </c>
      <c r="J194" s="87">
        <f>SUBTOTAL(9,J182:J193)</f>
        <v>3300</v>
      </c>
    </row>
    <row r="195" spans="1:13" s="20" customFormat="1" ht="13.8" outlineLevel="1" thickBot="1">
      <c r="A195" s="4" t="s">
        <v>1374</v>
      </c>
      <c r="B195" s="4" t="s">
        <v>921</v>
      </c>
      <c r="C195" s="4" t="s">
        <v>1274</v>
      </c>
      <c r="D195" s="4" t="s">
        <v>468</v>
      </c>
      <c r="E195" s="160" t="s">
        <v>468</v>
      </c>
      <c r="F195" s="147"/>
      <c r="G195" s="148"/>
      <c r="H195" s="88"/>
      <c r="I195" s="88"/>
      <c r="J195" s="88"/>
    </row>
    <row r="196" spans="1:13" ht="13.8" hidden="1" outlineLevel="2" thickBot="1">
      <c r="A196" s="4" t="str">
        <f t="shared" ref="A196:A202" si="15">B196&amp;C196&amp;D196</f>
        <v>O&amp;M Mobilization BudgetProcurement ExpensesVehicles &amp; Mobile Equipment</v>
      </c>
      <c r="B196" s="4" t="s">
        <v>921</v>
      </c>
      <c r="C196" s="4" t="s">
        <v>1274</v>
      </c>
      <c r="D196" s="4" t="s">
        <v>468</v>
      </c>
      <c r="E196" s="84" t="s">
        <v>1375</v>
      </c>
      <c r="F196" s="23" t="s">
        <v>1376</v>
      </c>
      <c r="G196" s="66" t="s">
        <v>1377</v>
      </c>
      <c r="H196" s="19">
        <v>0</v>
      </c>
      <c r="I196" s="19">
        <f t="shared" ref="I196:I211" si="16">H196-J196</f>
        <v>0</v>
      </c>
      <c r="J196" s="19"/>
      <c r="L196" s="4"/>
      <c r="M196" s="4"/>
    </row>
    <row r="197" spans="1:13" ht="13.8" outlineLevel="2" thickBot="1">
      <c r="A197" s="4" t="str">
        <f t="shared" si="15"/>
        <v>O&amp;M Mobilization BudgetProcurement ExpensesVehicles &amp; Mobile Equipment</v>
      </c>
      <c r="B197" s="4" t="s">
        <v>921</v>
      </c>
      <c r="C197" s="4" t="s">
        <v>1274</v>
      </c>
      <c r="D197" s="4" t="s">
        <v>468</v>
      </c>
      <c r="E197" s="84" t="s">
        <v>1378</v>
      </c>
      <c r="F197" s="23" t="s">
        <v>46</v>
      </c>
      <c r="G197" s="66" t="s">
        <v>501</v>
      </c>
      <c r="H197" s="19">
        <f>9*600</f>
        <v>5400</v>
      </c>
      <c r="I197" s="19">
        <f t="shared" si="16"/>
        <v>5400</v>
      </c>
      <c r="J197" s="19"/>
      <c r="L197" s="4"/>
      <c r="M197" s="4"/>
    </row>
    <row r="198" spans="1:13" ht="13.8" hidden="1" outlineLevel="2" thickBot="1">
      <c r="E198" s="84" t="s">
        <v>1380</v>
      </c>
      <c r="F198" s="23" t="s">
        <v>1379</v>
      </c>
      <c r="G198" s="66" t="s">
        <v>1381</v>
      </c>
      <c r="H198" s="19">
        <v>0</v>
      </c>
      <c r="I198" s="19">
        <f t="shared" si="16"/>
        <v>0</v>
      </c>
      <c r="J198" s="19"/>
      <c r="L198" s="4"/>
      <c r="M198" s="4"/>
    </row>
    <row r="199" spans="1:13" ht="13.8" hidden="1" outlineLevel="2" thickBot="1">
      <c r="A199" s="4" t="str">
        <f t="shared" si="15"/>
        <v>O&amp;M Mobilization BudgetProcurement ExpensesVehicles &amp; Mobile Equipment</v>
      </c>
      <c r="B199" s="4" t="s">
        <v>921</v>
      </c>
      <c r="C199" s="4" t="s">
        <v>1274</v>
      </c>
      <c r="D199" s="4" t="s">
        <v>468</v>
      </c>
      <c r="E199" s="84" t="s">
        <v>1382</v>
      </c>
      <c r="F199" s="23" t="s">
        <v>1379</v>
      </c>
      <c r="G199" s="66" t="s">
        <v>1383</v>
      </c>
      <c r="H199" s="19">
        <v>0</v>
      </c>
      <c r="I199" s="19">
        <f t="shared" si="16"/>
        <v>0</v>
      </c>
      <c r="J199" s="19"/>
      <c r="L199" s="4"/>
      <c r="M199" s="4"/>
    </row>
    <row r="200" spans="1:13" ht="13.8" outlineLevel="2" thickBot="1">
      <c r="E200" s="84" t="s">
        <v>1384</v>
      </c>
      <c r="F200" s="23" t="s">
        <v>46</v>
      </c>
      <c r="G200" s="66" t="s">
        <v>502</v>
      </c>
      <c r="H200" s="19">
        <f>9*500</f>
        <v>4500</v>
      </c>
      <c r="I200" s="19">
        <f t="shared" si="16"/>
        <v>4500</v>
      </c>
      <c r="J200" s="19"/>
      <c r="L200" s="4"/>
      <c r="M200" s="4"/>
    </row>
    <row r="201" spans="1:13" ht="13.8" hidden="1" outlineLevel="2" thickBot="1">
      <c r="E201" s="84" t="s">
        <v>1385</v>
      </c>
      <c r="F201" s="23" t="s">
        <v>1379</v>
      </c>
      <c r="G201" s="66" t="s">
        <v>1386</v>
      </c>
      <c r="H201" s="19">
        <v>0</v>
      </c>
      <c r="I201" s="19">
        <f t="shared" si="16"/>
        <v>0</v>
      </c>
      <c r="J201" s="19"/>
      <c r="L201" s="4"/>
      <c r="M201" s="4"/>
    </row>
    <row r="202" spans="1:13" ht="13.8" hidden="1" outlineLevel="2" thickBot="1">
      <c r="A202" s="4" t="str">
        <f t="shared" si="15"/>
        <v>O&amp;M Mobilization BudgetProcurement ExpensesVehicles &amp; Mobile Equipment</v>
      </c>
      <c r="B202" s="4" t="s">
        <v>921</v>
      </c>
      <c r="C202" s="4" t="s">
        <v>1274</v>
      </c>
      <c r="D202" s="4" t="s">
        <v>468</v>
      </c>
      <c r="E202" s="84" t="s">
        <v>1387</v>
      </c>
      <c r="F202" s="23" t="s">
        <v>1388</v>
      </c>
      <c r="G202" s="66" t="s">
        <v>1389</v>
      </c>
      <c r="H202" s="19">
        <v>0</v>
      </c>
      <c r="I202" s="19">
        <f t="shared" si="16"/>
        <v>0</v>
      </c>
      <c r="J202" s="19">
        <f>H202</f>
        <v>0</v>
      </c>
      <c r="L202" s="4"/>
      <c r="M202" s="4"/>
    </row>
    <row r="203" spans="1:13" ht="13.8" outlineLevel="2" thickBot="1">
      <c r="E203" s="84" t="s">
        <v>1390</v>
      </c>
      <c r="F203" s="23" t="s">
        <v>47</v>
      </c>
      <c r="G203" s="66" t="s">
        <v>1391</v>
      </c>
      <c r="H203" s="19">
        <f>2*1000</f>
        <v>2000</v>
      </c>
      <c r="I203" s="19">
        <f t="shared" si="16"/>
        <v>2000</v>
      </c>
      <c r="J203" s="19"/>
      <c r="L203" s="4"/>
      <c r="M203" s="4"/>
    </row>
    <row r="204" spans="1:13" ht="13.8" hidden="1" outlineLevel="2" thickBot="1">
      <c r="E204" s="84" t="s">
        <v>1392</v>
      </c>
      <c r="F204" s="23"/>
      <c r="G204" s="66"/>
      <c r="H204" s="19">
        <v>0</v>
      </c>
      <c r="I204" s="19">
        <f t="shared" si="16"/>
        <v>0</v>
      </c>
      <c r="J204" s="19"/>
      <c r="L204" s="4"/>
      <c r="M204" s="4"/>
    </row>
    <row r="205" spans="1:13" ht="13.8" hidden="1" outlineLevel="2" thickBot="1">
      <c r="E205" s="84" t="s">
        <v>1393</v>
      </c>
      <c r="F205" s="23" t="s">
        <v>1379</v>
      </c>
      <c r="G205" s="66" t="s">
        <v>1394</v>
      </c>
      <c r="H205" s="19">
        <v>0</v>
      </c>
      <c r="I205" s="19">
        <f t="shared" si="16"/>
        <v>0</v>
      </c>
      <c r="J205" s="19"/>
      <c r="L205" s="4"/>
      <c r="M205" s="4"/>
    </row>
    <row r="206" spans="1:13" ht="13.8" hidden="1" outlineLevel="2" thickBot="1">
      <c r="E206" s="84" t="s">
        <v>1395</v>
      </c>
      <c r="F206" s="23" t="s">
        <v>1379</v>
      </c>
      <c r="G206" s="66" t="s">
        <v>1396</v>
      </c>
      <c r="H206" s="19">
        <v>0</v>
      </c>
      <c r="I206" s="19">
        <f t="shared" si="16"/>
        <v>0</v>
      </c>
      <c r="J206" s="19"/>
      <c r="L206" s="4"/>
      <c r="M206" s="4"/>
    </row>
    <row r="207" spans="1:13" ht="13.8" hidden="1" outlineLevel="2" thickBot="1">
      <c r="E207" s="84" t="s">
        <v>1397</v>
      </c>
      <c r="F207" s="23" t="s">
        <v>1379</v>
      </c>
      <c r="G207" s="66" t="s">
        <v>1398</v>
      </c>
      <c r="H207" s="19">
        <v>0</v>
      </c>
      <c r="I207" s="19">
        <f t="shared" si="16"/>
        <v>0</v>
      </c>
      <c r="J207" s="19"/>
      <c r="L207" s="4"/>
      <c r="M207" s="4"/>
    </row>
    <row r="208" spans="1:13" ht="13.8" outlineLevel="2" thickBot="1">
      <c r="A208" s="4" t="str">
        <f>B208&amp;C208&amp;D208</f>
        <v>O&amp;M Mobilization BudgetProcurement ExpensesVehicles &amp; Mobile Equipment</v>
      </c>
      <c r="B208" s="4" t="s">
        <v>921</v>
      </c>
      <c r="C208" s="4" t="s">
        <v>1274</v>
      </c>
      <c r="D208" s="4" t="s">
        <v>468</v>
      </c>
      <c r="E208" s="84" t="s">
        <v>1399</v>
      </c>
      <c r="F208" s="23" t="s">
        <v>1379</v>
      </c>
      <c r="G208" s="66" t="s">
        <v>1400</v>
      </c>
      <c r="H208" s="19">
        <v>0</v>
      </c>
      <c r="I208" s="19">
        <f t="shared" si="16"/>
        <v>0</v>
      </c>
      <c r="J208" s="19"/>
      <c r="L208" s="4"/>
      <c r="M208" s="4"/>
    </row>
    <row r="209" spans="1:13" ht="13.8" hidden="1" outlineLevel="2" thickBot="1">
      <c r="E209" s="84" t="s">
        <v>1401</v>
      </c>
      <c r="F209" s="23" t="s">
        <v>1379</v>
      </c>
      <c r="G209" s="66" t="s">
        <v>1402</v>
      </c>
      <c r="H209" s="19">
        <v>0</v>
      </c>
      <c r="I209" s="19">
        <f t="shared" si="16"/>
        <v>0</v>
      </c>
      <c r="J209" s="19"/>
      <c r="L209" s="4"/>
      <c r="M209" s="4"/>
    </row>
    <row r="210" spans="1:13" ht="13.8" hidden="1" outlineLevel="2" thickBot="1">
      <c r="E210" s="84" t="s">
        <v>1403</v>
      </c>
      <c r="F210" s="23" t="s">
        <v>1404</v>
      </c>
      <c r="G210" s="66" t="s">
        <v>1405</v>
      </c>
      <c r="H210" s="19">
        <v>0</v>
      </c>
      <c r="I210" s="19">
        <f t="shared" si="16"/>
        <v>0</v>
      </c>
      <c r="J210" s="19"/>
      <c r="L210" s="4"/>
      <c r="M210" s="4"/>
    </row>
    <row r="211" spans="1:13" ht="13.8" outlineLevel="2" thickBot="1">
      <c r="E211" s="84" t="s">
        <v>1258</v>
      </c>
      <c r="F211" s="23" t="s">
        <v>1353</v>
      </c>
      <c r="G211" s="66"/>
      <c r="H211" s="19">
        <f>0.05*SUM(H196:H209)</f>
        <v>595</v>
      </c>
      <c r="I211" s="19">
        <f t="shared" si="16"/>
        <v>595</v>
      </c>
      <c r="J211" s="19"/>
      <c r="L211" s="4"/>
      <c r="M211" s="4"/>
    </row>
    <row r="212" spans="1:13" ht="13.8" outlineLevel="2" thickBot="1">
      <c r="E212" s="84"/>
      <c r="F212" s="23"/>
      <c r="G212" s="66"/>
      <c r="H212" s="19"/>
      <c r="I212" s="19"/>
      <c r="J212" s="19"/>
      <c r="L212" s="4"/>
      <c r="M212" s="4"/>
    </row>
    <row r="213" spans="1:13" s="20" customFormat="1" ht="13.8" outlineLevel="1" thickBot="1">
      <c r="A213" s="20" t="s">
        <v>50</v>
      </c>
      <c r="B213" s="20" t="s">
        <v>921</v>
      </c>
      <c r="C213" s="20" t="s">
        <v>1274</v>
      </c>
      <c r="D213" s="20" t="s">
        <v>468</v>
      </c>
      <c r="E213" s="84" t="s">
        <v>51</v>
      </c>
      <c r="F213" s="23"/>
      <c r="G213" s="86" t="s">
        <v>941</v>
      </c>
      <c r="H213" s="87">
        <f>SUBTOTAL(9,H196:H212)</f>
        <v>12495</v>
      </c>
      <c r="I213" s="87">
        <f>SUBTOTAL(9,I196:I212)</f>
        <v>12495</v>
      </c>
      <c r="J213" s="87">
        <f>SUBTOTAL(9,J196:J212)</f>
        <v>0</v>
      </c>
    </row>
    <row r="214" spans="1:13" s="20" customFormat="1" ht="13.8" outlineLevel="1" thickBot="1">
      <c r="A214" s="4" t="s">
        <v>52</v>
      </c>
      <c r="B214" s="4" t="s">
        <v>921</v>
      </c>
      <c r="C214" s="4" t="s">
        <v>1274</v>
      </c>
      <c r="D214" s="4" t="s">
        <v>282</v>
      </c>
      <c r="E214" s="160" t="s">
        <v>282</v>
      </c>
      <c r="F214" s="147"/>
      <c r="G214" s="148"/>
      <c r="H214" s="88"/>
      <c r="I214" s="88"/>
      <c r="J214" s="88"/>
    </row>
    <row r="215" spans="1:13" ht="13.8" outlineLevel="2" thickBot="1">
      <c r="A215" s="4" t="str">
        <f>B215&amp;C215&amp;D215</f>
        <v>O&amp;M Mobilization BudgetProcurement ExpensesWarehouse Furnishings &amp; Equipment</v>
      </c>
      <c r="B215" s="4" t="s">
        <v>921</v>
      </c>
      <c r="C215" s="4" t="s">
        <v>1274</v>
      </c>
      <c r="D215" s="4" t="s">
        <v>282</v>
      </c>
      <c r="E215" s="84" t="s">
        <v>53</v>
      </c>
      <c r="F215" s="23" t="s">
        <v>54</v>
      </c>
      <c r="G215" s="66"/>
      <c r="H215" s="19">
        <v>14000</v>
      </c>
      <c r="I215" s="19">
        <f>H215-J215</f>
        <v>14000</v>
      </c>
      <c r="J215" s="19"/>
      <c r="L215" s="4"/>
      <c r="M215" s="4"/>
    </row>
    <row r="216" spans="1:13" ht="13.8" outlineLevel="2" thickBot="1">
      <c r="A216" s="4" t="str">
        <f>B216&amp;C216&amp;D216</f>
        <v>O&amp;M Mobilization BudgetProcurement ExpensesWarehouse Furnishings &amp; Equipment</v>
      </c>
      <c r="B216" s="4" t="s">
        <v>921</v>
      </c>
      <c r="C216" s="4" t="s">
        <v>1274</v>
      </c>
      <c r="D216" s="4" t="s">
        <v>282</v>
      </c>
      <c r="E216" s="84" t="s">
        <v>55</v>
      </c>
      <c r="F216" s="23" t="s">
        <v>56</v>
      </c>
      <c r="G216" s="66"/>
      <c r="H216" s="19">
        <v>3000</v>
      </c>
      <c r="I216" s="19">
        <f>H216-J216</f>
        <v>3000</v>
      </c>
      <c r="J216" s="19"/>
      <c r="L216" s="4"/>
      <c r="M216" s="4"/>
    </row>
    <row r="217" spans="1:13" ht="14.25" customHeight="1" outlineLevel="2" thickBot="1">
      <c r="A217" s="4" t="str">
        <f>B217&amp;C217&amp;D217</f>
        <v>O&amp;M Mobilization BudgetProcurement ExpensesWarehouse Furnishings &amp; Equipment</v>
      </c>
      <c r="B217" s="4" t="s">
        <v>921</v>
      </c>
      <c r="C217" s="4" t="s">
        <v>1274</v>
      </c>
      <c r="D217" s="4" t="s">
        <v>282</v>
      </c>
      <c r="E217" s="84" t="s">
        <v>57</v>
      </c>
      <c r="F217" s="23" t="s">
        <v>58</v>
      </c>
      <c r="G217" s="66"/>
      <c r="H217" s="19">
        <v>2000</v>
      </c>
      <c r="I217" s="19">
        <f>H217-J217</f>
        <v>2000</v>
      </c>
      <c r="J217" s="19"/>
      <c r="L217" s="4"/>
      <c r="M217" s="4"/>
    </row>
    <row r="218" spans="1:13" ht="13.8" outlineLevel="2" thickBot="1">
      <c r="A218" s="4" t="str">
        <f>B218&amp;C218&amp;D218</f>
        <v>O&amp;M Mobilization BudgetProcurement ExpensesWarehouse Furnishings &amp; Equipment</v>
      </c>
      <c r="B218" s="4" t="s">
        <v>921</v>
      </c>
      <c r="C218" s="4" t="s">
        <v>1274</v>
      </c>
      <c r="D218" s="4" t="s">
        <v>282</v>
      </c>
      <c r="E218" s="84" t="s">
        <v>59</v>
      </c>
      <c r="F218" s="23"/>
      <c r="G218" s="66"/>
      <c r="H218" s="19">
        <v>1000</v>
      </c>
      <c r="I218" s="19">
        <f>H218-J218</f>
        <v>1000</v>
      </c>
      <c r="J218" s="19"/>
      <c r="L218" s="4"/>
      <c r="M218" s="4"/>
    </row>
    <row r="219" spans="1:13" ht="13.8" outlineLevel="2" thickBot="1">
      <c r="E219" s="84" t="s">
        <v>1258</v>
      </c>
      <c r="F219" s="23" t="s">
        <v>1353</v>
      </c>
      <c r="G219" s="66"/>
      <c r="H219" s="19">
        <f>0.05*SUM(H215:H218)</f>
        <v>1000</v>
      </c>
      <c r="I219" s="19">
        <f>H219-J219</f>
        <v>1000</v>
      </c>
      <c r="J219" s="19"/>
      <c r="L219" s="4"/>
      <c r="M219" s="4"/>
    </row>
    <row r="220" spans="1:13" ht="13.8" outlineLevel="2" thickBot="1">
      <c r="E220" s="84"/>
      <c r="F220" s="23"/>
      <c r="G220" s="66"/>
      <c r="H220" s="19"/>
      <c r="I220" s="19"/>
      <c r="J220" s="19"/>
      <c r="L220" s="4"/>
      <c r="M220" s="4"/>
    </row>
    <row r="221" spans="1:13" s="20" customFormat="1" ht="13.8" outlineLevel="1" thickBot="1">
      <c r="A221" s="20" t="s">
        <v>60</v>
      </c>
      <c r="B221" s="20" t="s">
        <v>921</v>
      </c>
      <c r="C221" s="20" t="s">
        <v>1274</v>
      </c>
      <c r="D221" s="20" t="s">
        <v>282</v>
      </c>
      <c r="E221" s="84"/>
      <c r="F221" s="23"/>
      <c r="G221" s="86" t="s">
        <v>941</v>
      </c>
      <c r="H221" s="87">
        <f>SUBTOTAL(9,H215:H220)</f>
        <v>21000</v>
      </c>
      <c r="I221" s="87">
        <f>SUBTOTAL(9,I215:I220)</f>
        <v>21000</v>
      </c>
      <c r="J221" s="87">
        <f>SUBTOTAL(9,J215:J220)</f>
        <v>0</v>
      </c>
    </row>
    <row r="222" spans="1:13" s="20" customFormat="1" ht="13.8" outlineLevel="1" thickBot="1">
      <c r="A222" s="4" t="s">
        <v>61</v>
      </c>
      <c r="B222" s="4" t="s">
        <v>921</v>
      </c>
      <c r="C222" s="4" t="s">
        <v>1274</v>
      </c>
      <c r="D222" s="4" t="s">
        <v>283</v>
      </c>
      <c r="E222" s="160" t="s">
        <v>283</v>
      </c>
      <c r="F222" s="147"/>
      <c r="G222" s="148"/>
      <c r="H222" s="88"/>
      <c r="I222" s="88"/>
      <c r="J222" s="88"/>
    </row>
    <row r="223" spans="1:13" ht="13.8" outlineLevel="2" thickBot="1">
      <c r="A223" s="4" t="str">
        <f>B223&amp;C223&amp;D223</f>
        <v>O&amp;M Mobilization BudgetProcurement ExpensesLaboratory Equipment</v>
      </c>
      <c r="B223" s="4" t="s">
        <v>921</v>
      </c>
      <c r="C223" s="4" t="s">
        <v>1274</v>
      </c>
      <c r="D223" s="4" t="s">
        <v>283</v>
      </c>
      <c r="E223" s="84" t="s">
        <v>62</v>
      </c>
      <c r="F223" s="23"/>
      <c r="G223" s="66"/>
      <c r="H223" s="19">
        <v>8000</v>
      </c>
      <c r="I223" s="19">
        <f>H223-J223</f>
        <v>0</v>
      </c>
      <c r="J223" s="19">
        <f>H223</f>
        <v>8000</v>
      </c>
      <c r="L223" s="4"/>
      <c r="M223" s="4"/>
    </row>
    <row r="224" spans="1:13" ht="13.8" hidden="1" outlineLevel="2" thickBot="1">
      <c r="E224" s="84" t="s">
        <v>63</v>
      </c>
      <c r="F224" s="23"/>
      <c r="G224" s="66"/>
      <c r="H224" s="19">
        <v>0</v>
      </c>
      <c r="I224" s="19">
        <f>H224-J224</f>
        <v>0</v>
      </c>
      <c r="J224" s="19"/>
      <c r="L224" s="4"/>
      <c r="M224" s="4"/>
    </row>
    <row r="225" spans="1:13" ht="13.8" hidden="1" outlineLevel="2" thickBot="1">
      <c r="E225" s="84" t="s">
        <v>64</v>
      </c>
      <c r="F225" s="23"/>
      <c r="G225" s="66"/>
      <c r="H225" s="19">
        <v>0</v>
      </c>
      <c r="I225" s="19">
        <f>H225-J225</f>
        <v>0</v>
      </c>
      <c r="J225" s="19"/>
      <c r="L225" s="4"/>
      <c r="M225" s="4"/>
    </row>
    <row r="226" spans="1:13" ht="13.8" hidden="1" outlineLevel="2" thickBot="1">
      <c r="E226" s="84" t="s">
        <v>65</v>
      </c>
      <c r="F226" s="23" t="s">
        <v>66</v>
      </c>
      <c r="G226" s="66"/>
      <c r="H226" s="19">
        <v>0</v>
      </c>
      <c r="I226" s="19">
        <f>H226-J226</f>
        <v>0</v>
      </c>
      <c r="J226" s="19">
        <f>H226</f>
        <v>0</v>
      </c>
      <c r="L226" s="4"/>
      <c r="M226" s="4"/>
    </row>
    <row r="227" spans="1:13" ht="13.8" outlineLevel="2" thickBot="1">
      <c r="E227" s="84" t="s">
        <v>1258</v>
      </c>
      <c r="F227" s="23" t="s">
        <v>1353</v>
      </c>
      <c r="G227" s="66"/>
      <c r="H227" s="19">
        <f>0.05*SUM(H223:H226)</f>
        <v>400</v>
      </c>
      <c r="I227" s="19">
        <f>H227-J227</f>
        <v>0</v>
      </c>
      <c r="J227" s="19">
        <f>H227</f>
        <v>400</v>
      </c>
      <c r="L227" s="4"/>
      <c r="M227" s="4"/>
    </row>
    <row r="228" spans="1:13" ht="13.8" outlineLevel="2" thickBot="1">
      <c r="E228" s="84"/>
      <c r="F228" s="23"/>
      <c r="G228" s="66"/>
      <c r="H228" s="19"/>
      <c r="I228" s="19"/>
      <c r="J228" s="19"/>
      <c r="L228" s="4"/>
      <c r="M228" s="4"/>
    </row>
    <row r="229" spans="1:13" s="20" customFormat="1" ht="13.8" outlineLevel="1" thickBot="1">
      <c r="A229" s="20" t="s">
        <v>67</v>
      </c>
      <c r="B229" s="20" t="s">
        <v>921</v>
      </c>
      <c r="C229" s="20" t="s">
        <v>1274</v>
      </c>
      <c r="D229" s="20" t="s">
        <v>283</v>
      </c>
      <c r="E229" s="84" t="s">
        <v>599</v>
      </c>
      <c r="F229" s="23"/>
      <c r="G229" s="86" t="s">
        <v>941</v>
      </c>
      <c r="H229" s="87">
        <f>SUBTOTAL(9,H223:H228)</f>
        <v>8400</v>
      </c>
      <c r="I229" s="87">
        <f>SUBTOTAL(9,I223:I228)</f>
        <v>0</v>
      </c>
      <c r="J229" s="87">
        <f>SUBTOTAL(9,J223:J228)</f>
        <v>8400</v>
      </c>
    </row>
    <row r="230" spans="1:13" s="20" customFormat="1" ht="13.8" outlineLevel="1" thickBot="1">
      <c r="A230" s="4" t="s">
        <v>68</v>
      </c>
      <c r="B230" s="4" t="s">
        <v>921</v>
      </c>
      <c r="C230" s="4" t="s">
        <v>1274</v>
      </c>
      <c r="D230" s="4" t="s">
        <v>284</v>
      </c>
      <c r="E230" s="160" t="s">
        <v>284</v>
      </c>
      <c r="F230" s="147"/>
      <c r="G230" s="148"/>
      <c r="H230" s="88"/>
      <c r="I230" s="88"/>
      <c r="J230" s="88"/>
    </row>
    <row r="231" spans="1:13" ht="13.8" outlineLevel="2" thickBot="1">
      <c r="A231" s="4" t="str">
        <f t="shared" ref="A231:A243" si="17">B231&amp;C231&amp;D231</f>
        <v>O&amp;M Mobilization BudgetProcurement ExpensesShop Tools &amp; Equipment</v>
      </c>
      <c r="B231" s="4" t="s">
        <v>921</v>
      </c>
      <c r="C231" s="4" t="s">
        <v>1274</v>
      </c>
      <c r="D231" s="4" t="s">
        <v>284</v>
      </c>
      <c r="E231" s="312" t="s">
        <v>69</v>
      </c>
      <c r="F231" s="275" t="s">
        <v>70</v>
      </c>
      <c r="G231" s="313" t="s">
        <v>71</v>
      </c>
      <c r="H231" s="255">
        <f>2*1200</f>
        <v>2400</v>
      </c>
      <c r="I231" s="255"/>
      <c r="J231" s="255"/>
      <c r="K231"/>
      <c r="L231"/>
      <c r="M231" s="4"/>
    </row>
    <row r="232" spans="1:13" ht="13.8" outlineLevel="2" thickBot="1">
      <c r="A232" s="4" t="str">
        <f t="shared" si="17"/>
        <v>O&amp;M Mobilization BudgetProcurement ExpensesShop Tools &amp; Equipment</v>
      </c>
      <c r="B232" s="4" t="s">
        <v>921</v>
      </c>
      <c r="C232" s="4" t="s">
        <v>1274</v>
      </c>
      <c r="D232" s="4" t="s">
        <v>284</v>
      </c>
      <c r="E232" s="312" t="s">
        <v>72</v>
      </c>
      <c r="F232" s="275" t="s">
        <v>70</v>
      </c>
      <c r="G232" s="325" t="s">
        <v>73</v>
      </c>
      <c r="H232" s="255">
        <f>1*1500</f>
        <v>1500</v>
      </c>
      <c r="I232" s="255"/>
      <c r="J232" s="255"/>
      <c r="K232"/>
      <c r="L232"/>
      <c r="M232" s="4"/>
    </row>
    <row r="233" spans="1:13" ht="13.8" outlineLevel="2" thickBot="1">
      <c r="A233" s="4" t="str">
        <f t="shared" si="17"/>
        <v>O&amp;M Mobilization BudgetProcurement ExpensesShop Tools &amp; Equipment</v>
      </c>
      <c r="B233" s="4" t="s">
        <v>921</v>
      </c>
      <c r="C233" s="4" t="s">
        <v>1274</v>
      </c>
      <c r="D233" s="4" t="s">
        <v>284</v>
      </c>
      <c r="E233" s="312" t="s">
        <v>74</v>
      </c>
      <c r="F233" s="275"/>
      <c r="G233" s="326">
        <v>8000</v>
      </c>
      <c r="H233" s="255">
        <v>8000</v>
      </c>
      <c r="I233" s="255"/>
      <c r="J233" s="255"/>
      <c r="K233"/>
      <c r="L233"/>
      <c r="M233" s="4"/>
    </row>
    <row r="234" spans="1:13" ht="13.8" outlineLevel="2" thickBot="1">
      <c r="A234" s="4" t="str">
        <f t="shared" si="17"/>
        <v>O&amp;M Mobilization BudgetProcurement ExpensesShop Tools &amp; Equipment</v>
      </c>
      <c r="B234" s="4" t="s">
        <v>921</v>
      </c>
      <c r="C234" s="4" t="s">
        <v>1274</v>
      </c>
      <c r="D234" s="4" t="s">
        <v>284</v>
      </c>
      <c r="E234" s="312" t="s">
        <v>75</v>
      </c>
      <c r="F234" s="275"/>
      <c r="G234" s="313" t="s">
        <v>76</v>
      </c>
      <c r="H234" s="255">
        <f>4*1000</f>
        <v>4000</v>
      </c>
      <c r="I234" s="255"/>
      <c r="J234" s="255"/>
      <c r="K234"/>
      <c r="L234"/>
      <c r="M234" s="4"/>
    </row>
    <row r="235" spans="1:13" ht="13.8" outlineLevel="2" thickBot="1">
      <c r="E235" s="312" t="s">
        <v>77</v>
      </c>
      <c r="F235" s="275"/>
      <c r="G235" s="313" t="s">
        <v>92</v>
      </c>
      <c r="H235" s="255">
        <v>900</v>
      </c>
      <c r="I235" s="255"/>
      <c r="J235" s="255"/>
      <c r="K235"/>
      <c r="L235"/>
      <c r="M235" s="4"/>
    </row>
    <row r="236" spans="1:13" ht="13.8" outlineLevel="2" thickBot="1">
      <c r="A236" s="4" t="str">
        <f t="shared" si="17"/>
        <v>O&amp;M Mobilization BudgetProcurement ExpensesShop Tools &amp; Equipment</v>
      </c>
      <c r="B236" s="4" t="s">
        <v>921</v>
      </c>
      <c r="C236" s="4" t="s">
        <v>1274</v>
      </c>
      <c r="D236" s="4" t="s">
        <v>284</v>
      </c>
      <c r="E236" s="312" t="s">
        <v>78</v>
      </c>
      <c r="F236" s="314" t="s">
        <v>79</v>
      </c>
      <c r="G236" s="315" t="s">
        <v>71</v>
      </c>
      <c r="H236" s="255">
        <v>1200</v>
      </c>
      <c r="I236" s="255"/>
      <c r="J236" s="255"/>
      <c r="K236"/>
      <c r="L236"/>
      <c r="M236" s="4"/>
    </row>
    <row r="237" spans="1:13" ht="13.8" hidden="1" outlineLevel="2" thickBot="1">
      <c r="A237" s="4" t="str">
        <f t="shared" si="17"/>
        <v>O&amp;M Mobilization BudgetProcurement ExpensesShop Tools &amp; Equipment</v>
      </c>
      <c r="B237" s="4" t="s">
        <v>921</v>
      </c>
      <c r="C237" s="4" t="s">
        <v>1274</v>
      </c>
      <c r="D237" s="4" t="s">
        <v>284</v>
      </c>
      <c r="E237" s="312"/>
      <c r="F237" s="314" t="s">
        <v>80</v>
      </c>
      <c r="G237" s="315" t="s">
        <v>81</v>
      </c>
      <c r="H237" s="255">
        <v>0</v>
      </c>
      <c r="I237" s="255"/>
      <c r="J237" s="255"/>
      <c r="K237"/>
      <c r="L237"/>
      <c r="M237" s="4"/>
    </row>
    <row r="238" spans="1:13" ht="13.8" hidden="1" outlineLevel="2" thickBot="1">
      <c r="A238" s="4" t="str">
        <f t="shared" si="17"/>
        <v>O&amp;M Mobilization BudgetProcurement ExpensesShop Tools &amp; Equipment</v>
      </c>
      <c r="B238" s="4" t="s">
        <v>921</v>
      </c>
      <c r="C238" s="4" t="s">
        <v>1274</v>
      </c>
      <c r="D238" s="4" t="s">
        <v>284</v>
      </c>
      <c r="E238" s="312"/>
      <c r="F238" s="314" t="s">
        <v>82</v>
      </c>
      <c r="G238" s="315" t="s">
        <v>83</v>
      </c>
      <c r="H238" s="255">
        <v>0</v>
      </c>
      <c r="I238" s="255"/>
      <c r="J238" s="255"/>
      <c r="K238"/>
      <c r="L238"/>
      <c r="M238" s="4"/>
    </row>
    <row r="239" spans="1:13" ht="13.8" hidden="1" outlineLevel="2" thickBot="1">
      <c r="E239" s="316"/>
      <c r="F239" s="317" t="s">
        <v>84</v>
      </c>
      <c r="G239" s="318" t="s">
        <v>85</v>
      </c>
      <c r="H239" s="255">
        <v>0</v>
      </c>
      <c r="I239" s="255"/>
      <c r="J239" s="255"/>
      <c r="K239"/>
      <c r="L239"/>
      <c r="M239" s="4"/>
    </row>
    <row r="240" spans="1:13" ht="13.8" outlineLevel="2" thickBot="1">
      <c r="E240" s="319"/>
      <c r="F240" s="317" t="s">
        <v>86</v>
      </c>
      <c r="G240" s="318" t="s">
        <v>87</v>
      </c>
      <c r="H240" s="255">
        <v>2500</v>
      </c>
      <c r="I240" s="255"/>
      <c r="J240" s="255"/>
      <c r="K240"/>
      <c r="L240"/>
      <c r="M240" s="4"/>
    </row>
    <row r="241" spans="1:13" ht="13.8" outlineLevel="2" thickBot="1">
      <c r="E241" s="319"/>
      <c r="F241" s="317" t="s">
        <v>88</v>
      </c>
      <c r="G241" s="318" t="s">
        <v>76</v>
      </c>
      <c r="H241" s="255">
        <v>1000</v>
      </c>
      <c r="I241" s="255"/>
      <c r="J241" s="255"/>
      <c r="K241"/>
      <c r="L241"/>
      <c r="M241" s="4"/>
    </row>
    <row r="242" spans="1:13" ht="13.8" hidden="1" outlineLevel="2" thickBot="1">
      <c r="E242" s="312"/>
      <c r="F242" s="317" t="s">
        <v>89</v>
      </c>
      <c r="G242" s="318" t="s">
        <v>90</v>
      </c>
      <c r="H242" s="255">
        <v>0</v>
      </c>
      <c r="I242" s="255"/>
      <c r="J242" s="255"/>
      <c r="K242"/>
      <c r="L242"/>
      <c r="M242" s="4"/>
    </row>
    <row r="243" spans="1:13" ht="13.8" hidden="1" outlineLevel="2" thickBot="1">
      <c r="A243" s="4" t="str">
        <f t="shared" si="17"/>
        <v>O&amp;M Mobilization BudgetProcurement ExpensesShop Tools &amp; Equipment</v>
      </c>
      <c r="B243" s="4" t="s">
        <v>921</v>
      </c>
      <c r="C243" s="4" t="s">
        <v>1274</v>
      </c>
      <c r="D243" s="4" t="s">
        <v>284</v>
      </c>
      <c r="E243" s="312"/>
      <c r="F243" s="317" t="s">
        <v>91</v>
      </c>
      <c r="G243" s="318" t="s">
        <v>92</v>
      </c>
      <c r="H243" s="255">
        <v>0</v>
      </c>
      <c r="I243" s="255"/>
      <c r="J243" s="255"/>
      <c r="K243"/>
      <c r="L243"/>
      <c r="M243" s="4"/>
    </row>
    <row r="244" spans="1:13" ht="13.8" outlineLevel="2" thickBot="1">
      <c r="E244" s="312"/>
      <c r="F244" s="317" t="s">
        <v>93</v>
      </c>
      <c r="G244" s="318" t="s">
        <v>94</v>
      </c>
      <c r="H244" s="255">
        <v>600</v>
      </c>
      <c r="I244" s="255"/>
      <c r="J244" s="255"/>
      <c r="K244"/>
      <c r="L244"/>
      <c r="M244" s="4"/>
    </row>
    <row r="245" spans="1:13" ht="13.8" outlineLevel="2" thickBot="1">
      <c r="E245" s="319"/>
      <c r="F245" s="317" t="s">
        <v>95</v>
      </c>
      <c r="G245" s="318" t="s">
        <v>96</v>
      </c>
      <c r="H245" s="255">
        <v>1400</v>
      </c>
      <c r="I245" s="255"/>
      <c r="J245" s="255"/>
      <c r="K245"/>
      <c r="L245"/>
      <c r="M245" s="4"/>
    </row>
    <row r="246" spans="1:13" s="20" customFormat="1" ht="13.8" hidden="1" outlineLevel="1" thickBot="1">
      <c r="A246" s="20" t="s">
        <v>97</v>
      </c>
      <c r="B246" s="20" t="s">
        <v>921</v>
      </c>
      <c r="C246" s="20" t="s">
        <v>1274</v>
      </c>
      <c r="D246" s="20" t="s">
        <v>284</v>
      </c>
      <c r="E246" s="319"/>
      <c r="F246" s="317" t="s">
        <v>98</v>
      </c>
      <c r="G246" s="318" t="s">
        <v>71</v>
      </c>
      <c r="H246" s="255">
        <v>0</v>
      </c>
      <c r="I246" s="255"/>
      <c r="J246" s="255"/>
      <c r="K246"/>
      <c r="L246"/>
    </row>
    <row r="247" spans="1:13" s="20" customFormat="1" ht="13.8" outlineLevel="1" thickBot="1">
      <c r="A247" s="4" t="s">
        <v>99</v>
      </c>
      <c r="B247" s="4" t="s">
        <v>921</v>
      </c>
      <c r="C247" s="4" t="s">
        <v>1274</v>
      </c>
      <c r="D247" s="4" t="s">
        <v>285</v>
      </c>
      <c r="E247" s="319"/>
      <c r="F247" s="317" t="s">
        <v>100</v>
      </c>
      <c r="G247" s="318" t="s">
        <v>101</v>
      </c>
      <c r="H247" s="255">
        <v>160</v>
      </c>
      <c r="I247" s="255"/>
      <c r="J247" s="255"/>
      <c r="K247"/>
      <c r="L247"/>
    </row>
    <row r="248" spans="1:13" ht="13.8" outlineLevel="2" thickBot="1">
      <c r="A248" s="4" t="str">
        <f>B248&amp;C248&amp;D248</f>
        <v>O&amp;M Mobilization BudgetProcurement ExpensesChemicals, Lubricants, Hydraulic Fluids</v>
      </c>
      <c r="B248" s="4" t="s">
        <v>921</v>
      </c>
      <c r="C248" s="4" t="s">
        <v>1274</v>
      </c>
      <c r="D248" s="4" t="s">
        <v>285</v>
      </c>
      <c r="E248" s="319"/>
      <c r="F248" s="317" t="s">
        <v>102</v>
      </c>
      <c r="G248" s="318" t="s">
        <v>103</v>
      </c>
      <c r="H248" s="255">
        <f>250*6</f>
        <v>1500</v>
      </c>
      <c r="I248" s="255"/>
      <c r="J248" s="255"/>
      <c r="K248"/>
      <c r="L248"/>
      <c r="M248" s="4"/>
    </row>
    <row r="249" spans="1:13" ht="13.8" outlineLevel="2" thickBot="1">
      <c r="A249" s="4" t="str">
        <f>B249&amp;C249&amp;D249</f>
        <v>O&amp;M Mobilization BudgetProcurement ExpensesChemicals, Lubricants, Hydraulic Fluids</v>
      </c>
      <c r="B249" s="4" t="s">
        <v>921</v>
      </c>
      <c r="C249" s="4" t="s">
        <v>1274</v>
      </c>
      <c r="D249" s="4" t="s">
        <v>285</v>
      </c>
      <c r="E249" s="312"/>
      <c r="F249" s="317" t="s">
        <v>104</v>
      </c>
      <c r="G249" s="318" t="s">
        <v>105</v>
      </c>
      <c r="H249" s="255">
        <v>300</v>
      </c>
      <c r="I249" s="255"/>
      <c r="J249" s="255"/>
      <c r="K249"/>
      <c r="L249"/>
      <c r="M249" s="4"/>
    </row>
    <row r="250" spans="1:13" ht="13.8" outlineLevel="2" thickBot="1">
      <c r="E250" s="312"/>
      <c r="F250" s="317" t="s">
        <v>106</v>
      </c>
      <c r="G250" s="318" t="s">
        <v>76</v>
      </c>
      <c r="H250" s="255">
        <v>1000</v>
      </c>
      <c r="I250" s="255"/>
      <c r="J250" s="255"/>
      <c r="K250"/>
      <c r="L250"/>
      <c r="M250" s="4"/>
    </row>
    <row r="251" spans="1:13" ht="13.8" outlineLevel="2" thickBot="1">
      <c r="E251" s="312"/>
      <c r="F251" s="317" t="s">
        <v>107</v>
      </c>
      <c r="G251" s="318" t="s">
        <v>108</v>
      </c>
      <c r="H251" s="255">
        <v>400</v>
      </c>
      <c r="I251" s="255"/>
      <c r="J251" s="255"/>
      <c r="K251"/>
      <c r="L251"/>
      <c r="M251" s="4"/>
    </row>
    <row r="252" spans="1:13" s="20" customFormat="1" ht="13.8" outlineLevel="1" thickBot="1">
      <c r="A252" s="20" t="s">
        <v>109</v>
      </c>
      <c r="B252" s="20" t="s">
        <v>921</v>
      </c>
      <c r="C252" s="20" t="s">
        <v>1274</v>
      </c>
      <c r="D252" s="20" t="s">
        <v>285</v>
      </c>
      <c r="E252" s="312"/>
      <c r="F252" s="317" t="s">
        <v>110</v>
      </c>
      <c r="G252" s="318" t="s">
        <v>111</v>
      </c>
      <c r="H252" s="255">
        <v>2375</v>
      </c>
      <c r="I252" s="255"/>
      <c r="J252" s="255"/>
      <c r="K252"/>
      <c r="L252"/>
    </row>
    <row r="253" spans="1:13" s="20" customFormat="1" ht="13.8" outlineLevel="1" thickBot="1">
      <c r="A253" s="4" t="s">
        <v>112</v>
      </c>
      <c r="B253" s="4" t="s">
        <v>921</v>
      </c>
      <c r="C253" s="4" t="s">
        <v>885</v>
      </c>
      <c r="D253" s="4"/>
      <c r="E253" s="312"/>
      <c r="F253" s="317" t="s">
        <v>113</v>
      </c>
      <c r="G253" s="318" t="s">
        <v>114</v>
      </c>
      <c r="H253" s="255">
        <v>3100</v>
      </c>
      <c r="I253" s="255"/>
      <c r="J253" s="255"/>
      <c r="K253"/>
      <c r="L253"/>
    </row>
    <row r="254" spans="1:13" ht="13.8" hidden="1" outlineLevel="2" thickBot="1">
      <c r="A254" s="4" t="str">
        <f>B254&amp;C254&amp;D254</f>
        <v>O&amp;M Mobilization BudgetO&amp;M Mobilization Fee</v>
      </c>
      <c r="B254" s="4" t="s">
        <v>921</v>
      </c>
      <c r="C254" s="4" t="s">
        <v>885</v>
      </c>
      <c r="E254" s="312"/>
      <c r="F254" s="317" t="s">
        <v>115</v>
      </c>
      <c r="G254" s="318" t="s">
        <v>116</v>
      </c>
      <c r="H254" s="255">
        <v>0</v>
      </c>
      <c r="I254" s="255"/>
      <c r="J254" s="255"/>
      <c r="K254"/>
      <c r="L254"/>
      <c r="M254" s="4"/>
    </row>
    <row r="255" spans="1:13" ht="13.8" outlineLevel="2" thickBot="1">
      <c r="E255" s="312"/>
      <c r="F255" s="317" t="s">
        <v>117</v>
      </c>
      <c r="G255" s="318" t="s">
        <v>103</v>
      </c>
      <c r="H255" s="255">
        <v>250</v>
      </c>
      <c r="I255" s="255"/>
      <c r="J255" s="255"/>
      <c r="K255"/>
      <c r="L255"/>
      <c r="M255" s="4"/>
    </row>
    <row r="256" spans="1:13" ht="13.8" outlineLevel="2" thickBot="1">
      <c r="E256" s="312"/>
      <c r="F256" s="317" t="s">
        <v>118</v>
      </c>
      <c r="G256" s="318" t="s">
        <v>76</v>
      </c>
      <c r="H256" s="255">
        <v>1000</v>
      </c>
      <c r="I256" s="255"/>
      <c r="J256" s="255"/>
      <c r="K256"/>
      <c r="L256"/>
      <c r="M256" s="4"/>
    </row>
    <row r="257" spans="1:13" ht="13.8" outlineLevel="2" thickBot="1">
      <c r="E257" s="312"/>
      <c r="F257" s="317" t="s">
        <v>119</v>
      </c>
      <c r="G257" s="318" t="s">
        <v>120</v>
      </c>
      <c r="H257" s="255">
        <v>5000</v>
      </c>
      <c r="I257" s="255"/>
      <c r="J257" s="255"/>
      <c r="K257"/>
      <c r="L257"/>
      <c r="M257" s="4"/>
    </row>
    <row r="258" spans="1:13" s="20" customFormat="1" ht="13.8" outlineLevel="1" thickBot="1">
      <c r="A258" s="20" t="s">
        <v>121</v>
      </c>
      <c r="B258" s="20" t="s">
        <v>921</v>
      </c>
      <c r="C258" s="20" t="s">
        <v>885</v>
      </c>
      <c r="E258" s="312" t="s">
        <v>122</v>
      </c>
      <c r="F258" s="317" t="s">
        <v>123</v>
      </c>
      <c r="G258" s="318" t="s">
        <v>124</v>
      </c>
      <c r="H258" s="255">
        <v>500</v>
      </c>
      <c r="I258" s="255"/>
      <c r="J258" s="255"/>
      <c r="K258"/>
      <c r="L258"/>
    </row>
    <row r="259" spans="1:13" s="20" customFormat="1" ht="13.8" outlineLevel="1" thickBot="1">
      <c r="A259" s="4" t="s">
        <v>125</v>
      </c>
      <c r="B259" s="4" t="s">
        <v>921</v>
      </c>
      <c r="C259" s="4" t="s">
        <v>126</v>
      </c>
      <c r="D259" s="4"/>
      <c r="E259" s="312"/>
      <c r="F259" s="317" t="s">
        <v>127</v>
      </c>
      <c r="G259" s="318" t="s">
        <v>120</v>
      </c>
      <c r="H259" s="255">
        <v>5000</v>
      </c>
      <c r="I259" s="255"/>
      <c r="J259" s="255"/>
      <c r="K259"/>
      <c r="L259"/>
    </row>
    <row r="260" spans="1:13" ht="13.8" outlineLevel="2" thickBot="1">
      <c r="A260" s="4" t="str">
        <f>B260&amp;C260&amp;D260</f>
        <v>O&amp;M Mobilization BudgetOwner Optional Items</v>
      </c>
      <c r="B260" s="4" t="s">
        <v>921</v>
      </c>
      <c r="C260" s="4" t="s">
        <v>126</v>
      </c>
      <c r="E260" s="312"/>
      <c r="F260" s="317" t="s">
        <v>128</v>
      </c>
      <c r="G260" s="318" t="s">
        <v>90</v>
      </c>
      <c r="H260" s="255">
        <v>1800</v>
      </c>
      <c r="I260" s="255"/>
      <c r="J260" s="255"/>
      <c r="K260"/>
      <c r="L260"/>
      <c r="M260" s="4"/>
    </row>
    <row r="261" spans="1:13" ht="13.8" hidden="1" outlineLevel="2" thickBot="1">
      <c r="E261" s="312"/>
      <c r="F261" s="317" t="s">
        <v>129</v>
      </c>
      <c r="G261" s="318" t="s">
        <v>85</v>
      </c>
      <c r="H261" s="255">
        <v>0</v>
      </c>
      <c r="I261" s="255"/>
      <c r="J261" s="255"/>
      <c r="K261"/>
      <c r="L261"/>
      <c r="M261" s="4"/>
    </row>
    <row r="262" spans="1:13" ht="13.8" hidden="1" outlineLevel="2" thickBot="1">
      <c r="E262" s="312"/>
      <c r="F262" s="317" t="s">
        <v>130</v>
      </c>
      <c r="G262" s="318" t="s">
        <v>131</v>
      </c>
      <c r="H262" s="255">
        <v>0</v>
      </c>
      <c r="I262" s="255"/>
      <c r="J262" s="255"/>
      <c r="K262"/>
      <c r="L262"/>
      <c r="M262" s="4"/>
    </row>
    <row r="263" spans="1:13" ht="13.8" outlineLevel="2" thickBot="1">
      <c r="E263" s="312"/>
      <c r="F263" s="317" t="s">
        <v>132</v>
      </c>
      <c r="G263" s="318" t="s">
        <v>133</v>
      </c>
      <c r="H263" s="255">
        <v>350</v>
      </c>
      <c r="I263" s="255"/>
      <c r="J263" s="255"/>
      <c r="K263"/>
      <c r="L263"/>
      <c r="M263" s="4"/>
    </row>
    <row r="264" spans="1:13" s="20" customFormat="1" ht="13.8" outlineLevel="1" thickBot="1">
      <c r="A264" s="20" t="s">
        <v>134</v>
      </c>
      <c r="B264" s="20" t="s">
        <v>921</v>
      </c>
      <c r="C264" s="20" t="s">
        <v>126</v>
      </c>
      <c r="E264" s="312"/>
      <c r="F264" s="317" t="s">
        <v>135</v>
      </c>
      <c r="G264" s="318" t="s">
        <v>136</v>
      </c>
      <c r="H264" s="255">
        <v>950</v>
      </c>
      <c r="I264" s="255"/>
      <c r="J264" s="255"/>
      <c r="K264"/>
      <c r="L264"/>
    </row>
    <row r="265" spans="1:13" s="20" customFormat="1" ht="13.8" outlineLevel="1" thickBot="1">
      <c r="E265" s="312"/>
      <c r="F265" s="317" t="s">
        <v>137</v>
      </c>
      <c r="G265" s="318" t="s">
        <v>138</v>
      </c>
      <c r="H265" s="255">
        <v>5700</v>
      </c>
      <c r="I265" s="255"/>
      <c r="J265" s="255"/>
      <c r="K265"/>
      <c r="L265"/>
    </row>
    <row r="266" spans="1:13" s="20" customFormat="1" ht="13.8" hidden="1" outlineLevel="1" thickBot="1">
      <c r="E266" s="312"/>
      <c r="F266" s="317" t="s">
        <v>139</v>
      </c>
      <c r="G266" s="318" t="s">
        <v>105</v>
      </c>
      <c r="H266" s="255">
        <v>0</v>
      </c>
      <c r="I266" s="255"/>
      <c r="J266" s="255"/>
      <c r="K266"/>
      <c r="L266"/>
    </row>
    <row r="267" spans="1:13" s="20" customFormat="1" ht="13.8" outlineLevel="1" thickBot="1">
      <c r="E267" s="312"/>
      <c r="F267" s="317" t="s">
        <v>140</v>
      </c>
      <c r="G267" s="318" t="s">
        <v>141</v>
      </c>
      <c r="H267" s="255">
        <v>700</v>
      </c>
      <c r="I267" s="255"/>
      <c r="J267" s="255"/>
      <c r="K267"/>
      <c r="L267"/>
    </row>
    <row r="268" spans="1:13" s="20" customFormat="1" ht="13.8" outlineLevel="1" thickBot="1">
      <c r="E268" s="312"/>
      <c r="F268" s="317" t="s">
        <v>142</v>
      </c>
      <c r="G268" s="318" t="s">
        <v>143</v>
      </c>
      <c r="H268" s="255">
        <v>1000</v>
      </c>
      <c r="I268" s="255"/>
      <c r="J268" s="255"/>
      <c r="K268"/>
      <c r="L268"/>
    </row>
    <row r="269" spans="1:13" s="20" customFormat="1" ht="13.8" hidden="1" outlineLevel="1" thickBot="1">
      <c r="E269" s="312"/>
      <c r="F269" s="317" t="s">
        <v>144</v>
      </c>
      <c r="G269" s="318" t="s">
        <v>145</v>
      </c>
      <c r="H269" s="255">
        <v>0</v>
      </c>
      <c r="I269" s="255"/>
      <c r="J269" s="255"/>
      <c r="K269"/>
      <c r="L269"/>
    </row>
    <row r="270" spans="1:13" s="20" customFormat="1" ht="13.8" outlineLevel="1" thickBot="1">
      <c r="E270" s="319"/>
      <c r="F270" s="317" t="s">
        <v>146</v>
      </c>
      <c r="G270" s="318" t="s">
        <v>147</v>
      </c>
      <c r="H270" s="255">
        <v>4065</v>
      </c>
      <c r="I270" s="255"/>
      <c r="J270" s="255"/>
      <c r="K270"/>
      <c r="L270"/>
    </row>
    <row r="271" spans="1:13" s="20" customFormat="1" ht="13.8" hidden="1" outlineLevel="1" thickBot="1">
      <c r="E271" s="319"/>
      <c r="F271" s="317" t="s">
        <v>148</v>
      </c>
      <c r="G271" s="318" t="s">
        <v>149</v>
      </c>
      <c r="H271" s="255">
        <v>0</v>
      </c>
      <c r="I271" s="255"/>
      <c r="J271" s="255"/>
      <c r="K271"/>
      <c r="L271"/>
    </row>
    <row r="272" spans="1:13" s="20" customFormat="1" ht="13.8" hidden="1" outlineLevel="1" thickBot="1">
      <c r="E272" s="312" t="s">
        <v>150</v>
      </c>
      <c r="F272" s="317" t="s">
        <v>151</v>
      </c>
      <c r="G272" s="318" t="s">
        <v>152</v>
      </c>
      <c r="H272" s="255">
        <v>0</v>
      </c>
      <c r="I272" s="255"/>
      <c r="J272" s="255"/>
      <c r="K272"/>
      <c r="L272"/>
    </row>
    <row r="273" spans="1:13" s="20" customFormat="1" ht="13.8" outlineLevel="1" thickBot="1">
      <c r="A273" s="4" t="s">
        <v>153</v>
      </c>
      <c r="B273" s="4" t="s">
        <v>921</v>
      </c>
      <c r="C273" s="4" t="s">
        <v>154</v>
      </c>
      <c r="D273" s="4"/>
      <c r="E273" s="312"/>
      <c r="F273" s="317" t="s">
        <v>155</v>
      </c>
      <c r="G273" s="318" t="s">
        <v>156</v>
      </c>
      <c r="H273" s="255">
        <v>3000</v>
      </c>
      <c r="I273" s="255"/>
      <c r="J273" s="255"/>
      <c r="K273"/>
      <c r="L273"/>
    </row>
    <row r="274" spans="1:13" ht="13.8" outlineLevel="2" thickBot="1">
      <c r="A274" s="4" t="str">
        <f>B274&amp;C274&amp;D274</f>
        <v>O&amp;M Mobilization BudgetCapital, Operating and BOP Spares (1998$)</v>
      </c>
      <c r="B274" s="4" t="s">
        <v>921</v>
      </c>
      <c r="C274" s="4" t="s">
        <v>157</v>
      </c>
      <c r="E274" s="312"/>
      <c r="F274" s="317" t="s">
        <v>158</v>
      </c>
      <c r="G274" s="318" t="s">
        <v>159</v>
      </c>
      <c r="H274" s="255">
        <v>15000</v>
      </c>
      <c r="I274" s="255"/>
      <c r="J274" s="255"/>
      <c r="K274"/>
      <c r="L274"/>
      <c r="M274" s="4"/>
    </row>
    <row r="275" spans="1:13" ht="13.8" outlineLevel="2" thickBot="1">
      <c r="E275" s="312"/>
      <c r="F275" s="317" t="s">
        <v>160</v>
      </c>
      <c r="G275" s="318" t="s">
        <v>161</v>
      </c>
      <c r="H275" s="255">
        <v>1795</v>
      </c>
      <c r="I275" s="255"/>
      <c r="J275" s="255"/>
      <c r="K275"/>
      <c r="L275"/>
      <c r="M275" s="4"/>
    </row>
    <row r="276" spans="1:13" ht="13.8" hidden="1" outlineLevel="2" thickBot="1">
      <c r="E276" s="312"/>
      <c r="F276" s="275"/>
      <c r="G276" s="313"/>
      <c r="H276" s="255"/>
      <c r="I276" s="255"/>
      <c r="J276" s="255"/>
      <c r="K276"/>
      <c r="L276"/>
      <c r="M276" s="4"/>
    </row>
    <row r="277" spans="1:13" ht="13.8" outlineLevel="2" thickBot="1">
      <c r="E277" s="312" t="s">
        <v>1258</v>
      </c>
      <c r="F277" s="320">
        <v>0.05</v>
      </c>
      <c r="G277" s="313"/>
      <c r="H277" s="255">
        <f>0.05*SUM(H231:H276)</f>
        <v>3922.25</v>
      </c>
      <c r="I277" s="255"/>
      <c r="J277" s="255"/>
      <c r="K277"/>
      <c r="L277"/>
      <c r="M277" s="4"/>
    </row>
    <row r="278" spans="1:13" s="20" customFormat="1" ht="13.8" outlineLevel="1" thickBot="1">
      <c r="A278" s="20" t="s">
        <v>162</v>
      </c>
      <c r="B278" s="20" t="s">
        <v>921</v>
      </c>
      <c r="C278" s="20" t="s">
        <v>157</v>
      </c>
      <c r="E278" s="312"/>
      <c r="F278" s="275"/>
      <c r="G278" s="313"/>
      <c r="H278" s="255"/>
      <c r="I278" s="255"/>
      <c r="J278" s="255"/>
      <c r="K278"/>
      <c r="L278"/>
    </row>
    <row r="279" spans="1:13" s="20" customFormat="1" ht="13.8" thickBot="1">
      <c r="E279" s="321" t="s">
        <v>476</v>
      </c>
      <c r="F279" s="322"/>
      <c r="G279" s="323" t="s">
        <v>941</v>
      </c>
      <c r="H279" s="324">
        <f>SUBTOTAL(9,H231:H278)</f>
        <v>82367.25</v>
      </c>
      <c r="I279" s="242"/>
      <c r="J279" s="324"/>
      <c r="K279"/>
      <c r="L279"/>
    </row>
    <row r="280" spans="1:13" ht="13.8" thickBot="1">
      <c r="E280" s="160" t="s">
        <v>285</v>
      </c>
      <c r="F280" s="147"/>
      <c r="G280" s="148"/>
      <c r="H280" s="88"/>
      <c r="I280" s="88"/>
      <c r="J280" s="88"/>
      <c r="K280" s="20"/>
    </row>
    <row r="281" spans="1:13" ht="13.8" thickBot="1">
      <c r="E281" s="84" t="s">
        <v>163</v>
      </c>
      <c r="F281" s="23" t="s">
        <v>164</v>
      </c>
      <c r="G281" s="66"/>
      <c r="H281" s="19">
        <f>'O&amp;M_Backup'!D131/12</f>
        <v>4161.3</v>
      </c>
      <c r="I281" s="19">
        <f>H281-J281</f>
        <v>4161.3</v>
      </c>
      <c r="J281" s="19"/>
    </row>
    <row r="282" spans="1:13" ht="13.8" thickBot="1">
      <c r="E282" s="84"/>
      <c r="F282" s="23"/>
      <c r="G282" s="66"/>
      <c r="H282" s="19"/>
      <c r="I282" s="19">
        <f>H282-J282</f>
        <v>0</v>
      </c>
      <c r="J282" s="19"/>
    </row>
    <row r="283" spans="1:13" ht="13.8" thickBot="1">
      <c r="E283" s="84" t="s">
        <v>1258</v>
      </c>
      <c r="F283" s="23" t="s">
        <v>165</v>
      </c>
      <c r="G283" s="66"/>
      <c r="H283" s="19"/>
      <c r="I283" s="19">
        <f>H283-J283</f>
        <v>0</v>
      </c>
      <c r="J283" s="19"/>
    </row>
    <row r="284" spans="1:13" ht="13.8" thickBot="1">
      <c r="E284" s="84"/>
      <c r="F284" s="23"/>
      <c r="G284" s="66"/>
      <c r="H284" s="19"/>
      <c r="I284" s="19"/>
      <c r="J284" s="19"/>
    </row>
    <row r="285" spans="1:13" ht="13.8" thickBot="1">
      <c r="E285" s="84" t="s">
        <v>599</v>
      </c>
      <c r="F285" s="23"/>
      <c r="G285" s="86" t="s">
        <v>941</v>
      </c>
      <c r="H285" s="87">
        <f>SUBTOTAL(9,H281:H284)</f>
        <v>4161.3</v>
      </c>
      <c r="I285" s="87">
        <f>SUBTOTAL(9,I281:I284)</f>
        <v>4161.3</v>
      </c>
      <c r="J285" s="87">
        <f>SUBTOTAL(9,J281:J284)</f>
        <v>0</v>
      </c>
      <c r="K285" s="20"/>
    </row>
    <row r="286" spans="1:13" ht="13.8" thickBot="1">
      <c r="E286" s="160" t="s">
        <v>885</v>
      </c>
      <c r="F286" s="147"/>
      <c r="G286" s="148"/>
      <c r="H286" s="88"/>
      <c r="I286" s="88"/>
      <c r="J286" s="88"/>
      <c r="K286" s="20"/>
    </row>
    <row r="287" spans="1:13" ht="13.8" thickBot="1">
      <c r="E287" s="84" t="s">
        <v>166</v>
      </c>
      <c r="F287" s="23"/>
      <c r="G287" s="66"/>
      <c r="H287" s="477">
        <v>0.1</v>
      </c>
      <c r="I287" s="19">
        <f>H287-J287</f>
        <v>0</v>
      </c>
      <c r="J287" s="19">
        <f>H287</f>
        <v>0.1</v>
      </c>
    </row>
    <row r="288" spans="1:13" ht="13.8" thickBot="1">
      <c r="E288" s="84" t="s">
        <v>167</v>
      </c>
      <c r="F288" s="23"/>
      <c r="G288" s="66"/>
      <c r="H288" s="19"/>
      <c r="I288" s="19">
        <f>H288-J288</f>
        <v>0</v>
      </c>
      <c r="J288" s="19"/>
    </row>
    <row r="289" spans="5:11" ht="13.8" thickBot="1">
      <c r="E289" s="84" t="s">
        <v>168</v>
      </c>
      <c r="F289" s="23"/>
      <c r="G289" s="66"/>
      <c r="H289" s="19"/>
      <c r="I289" s="19">
        <f>H289-J289</f>
        <v>0</v>
      </c>
      <c r="J289" s="19"/>
    </row>
    <row r="290" spans="5:11" ht="13.8" thickBot="1">
      <c r="E290" s="84"/>
      <c r="F290" s="23"/>
      <c r="G290" s="66"/>
      <c r="H290" s="19"/>
      <c r="I290" s="19"/>
      <c r="J290" s="19"/>
    </row>
    <row r="291" spans="5:11" ht="13.8" thickBot="1">
      <c r="E291" s="150"/>
      <c r="F291" s="151"/>
      <c r="G291" s="86" t="s">
        <v>941</v>
      </c>
      <c r="H291" s="299">
        <f>SUBTOTAL(9,H287:H289)</f>
        <v>0.1</v>
      </c>
      <c r="I291" s="87">
        <f>SUBTOTAL(9,I287:I287)</f>
        <v>0</v>
      </c>
      <c r="J291" s="87">
        <f>SUBTOTAL(9,J287:J287)</f>
        <v>0.1</v>
      </c>
      <c r="K291" s="20"/>
    </row>
    <row r="292" spans="5:11" ht="13.8" thickBot="1">
      <c r="E292" s="160" t="s">
        <v>250</v>
      </c>
      <c r="F292" s="147"/>
      <c r="G292" s="148"/>
      <c r="H292" s="88"/>
      <c r="I292" s="88"/>
      <c r="J292" s="88"/>
      <c r="K292" s="20"/>
    </row>
    <row r="293" spans="5:11" ht="13.8" thickBot="1">
      <c r="E293" s="84" t="s">
        <v>166</v>
      </c>
      <c r="F293" s="23" t="s">
        <v>169</v>
      </c>
      <c r="G293" s="297">
        <v>0.1</v>
      </c>
      <c r="H293" s="298">
        <f>$G$293</f>
        <v>0.1</v>
      </c>
      <c r="I293" s="19">
        <f>H293-J293</f>
        <v>0</v>
      </c>
      <c r="J293" s="19">
        <f>H293</f>
        <v>0.1</v>
      </c>
    </row>
    <row r="294" spans="5:11" ht="13.8" thickBot="1">
      <c r="E294" s="84" t="s">
        <v>170</v>
      </c>
      <c r="F294" s="23"/>
      <c r="G294" s="297"/>
      <c r="H294" s="298">
        <f>G294</f>
        <v>0</v>
      </c>
      <c r="I294" s="19"/>
      <c r="J294" s="19"/>
    </row>
    <row r="295" spans="5:11" ht="13.8" thickBot="1">
      <c r="E295" s="84" t="s">
        <v>172</v>
      </c>
      <c r="F295" s="23"/>
      <c r="G295" s="297"/>
      <c r="H295" s="298"/>
      <c r="I295" s="19"/>
      <c r="J295" s="19"/>
    </row>
    <row r="296" spans="5:11" ht="13.8" thickBot="1">
      <c r="E296" s="84"/>
      <c r="F296" s="23"/>
      <c r="G296" s="66"/>
      <c r="H296" s="19"/>
      <c r="I296" s="19"/>
      <c r="J296" s="19"/>
    </row>
    <row r="297" spans="5:11" ht="13.8" thickBot="1">
      <c r="E297" s="84" t="s">
        <v>174</v>
      </c>
      <c r="F297" s="23"/>
      <c r="G297" s="86" t="s">
        <v>941</v>
      </c>
      <c r="H297" s="299">
        <f>SUBTOTAL(9,H293:H296)</f>
        <v>0.1</v>
      </c>
      <c r="I297" s="87">
        <f>SUBTOTAL(9,I293:I293)</f>
        <v>0</v>
      </c>
      <c r="J297" s="87">
        <f>SUBTOTAL(9,J293:J293)</f>
        <v>0.1</v>
      </c>
      <c r="K297" s="20"/>
    </row>
    <row r="298" spans="5:11" ht="13.8" thickBot="1">
      <c r="E298" s="160" t="s">
        <v>288</v>
      </c>
      <c r="F298" s="147"/>
      <c r="G298" s="148"/>
      <c r="H298" s="88"/>
      <c r="I298" s="88"/>
      <c r="J298" s="88"/>
      <c r="K298" s="20"/>
    </row>
    <row r="299" spans="5:11" ht="13.8" hidden="1" thickBot="1">
      <c r="E299" s="84" t="s">
        <v>175</v>
      </c>
      <c r="F299" s="23"/>
      <c r="G299" s="66"/>
      <c r="H299" s="19">
        <v>0</v>
      </c>
      <c r="I299" s="19">
        <f>H299-J299</f>
        <v>0</v>
      </c>
      <c r="J299" s="19">
        <f>H299</f>
        <v>0</v>
      </c>
      <c r="K299" s="20"/>
    </row>
    <row r="300" spans="5:11" ht="13.8" thickBot="1">
      <c r="E300" s="84"/>
      <c r="F300" s="23"/>
      <c r="G300" s="66"/>
      <c r="H300" s="19"/>
      <c r="I300" s="87"/>
      <c r="J300" s="87"/>
      <c r="K300" s="20"/>
    </row>
    <row r="301" spans="5:11" ht="13.8" thickBot="1">
      <c r="E301" s="84" t="s">
        <v>176</v>
      </c>
      <c r="F301" s="23"/>
      <c r="G301" s="86" t="s">
        <v>941</v>
      </c>
      <c r="H301" s="87">
        <f>SUBTOTAL(9,H299:H300)</f>
        <v>0</v>
      </c>
      <c r="I301" s="87">
        <f>SUBTOTAL(9,I299:I300)</f>
        <v>0</v>
      </c>
      <c r="J301" s="87">
        <f>SUBTOTAL(9,J299:J300)</f>
        <v>0</v>
      </c>
      <c r="K301" s="20"/>
    </row>
    <row r="302" spans="5:11" ht="13.8" thickBot="1">
      <c r="E302" s="160" t="s">
        <v>205</v>
      </c>
      <c r="F302" s="147"/>
      <c r="G302" s="148"/>
      <c r="H302" s="88"/>
      <c r="I302" s="88"/>
      <c r="J302" s="88"/>
      <c r="K302" s="20"/>
    </row>
    <row r="303" spans="5:11" ht="13.8" hidden="1" thickBot="1">
      <c r="E303" s="84" t="s">
        <v>177</v>
      </c>
      <c r="F303" s="23" t="s">
        <v>178</v>
      </c>
      <c r="G303" s="66"/>
      <c r="H303" s="19">
        <v>0</v>
      </c>
      <c r="I303" s="19">
        <f>H303-J303</f>
        <v>0</v>
      </c>
      <c r="J303" s="19">
        <f>0.25*H303</f>
        <v>0</v>
      </c>
      <c r="K303" s="20"/>
    </row>
    <row r="304" spans="5:11" ht="13.8" thickBot="1">
      <c r="E304" s="84"/>
      <c r="F304" s="23"/>
      <c r="G304" s="66"/>
      <c r="H304" s="19"/>
      <c r="I304" s="87"/>
      <c r="J304" s="87"/>
      <c r="K304" s="20"/>
    </row>
    <row r="305" spans="2:11" ht="13.8" thickBot="1">
      <c r="E305" s="84" t="s">
        <v>476</v>
      </c>
      <c r="F305" s="23"/>
      <c r="G305" s="86" t="s">
        <v>941</v>
      </c>
      <c r="H305" s="87">
        <f>SUBTOTAL(9,H303:H304)</f>
        <v>0</v>
      </c>
      <c r="I305" s="87">
        <f>SUBTOTAL(9,I303:I304)</f>
        <v>0</v>
      </c>
      <c r="J305" s="87">
        <f>SUBTOTAL(9,J303:J304)</f>
        <v>0</v>
      </c>
      <c r="K305" s="20"/>
    </row>
    <row r="306" spans="2:11" ht="13.8" thickBot="1">
      <c r="E306" s="160" t="s">
        <v>1076</v>
      </c>
      <c r="F306" s="147"/>
      <c r="G306" s="148"/>
      <c r="H306" s="88"/>
      <c r="I306" s="88"/>
      <c r="J306" s="88"/>
      <c r="K306" s="20"/>
    </row>
    <row r="307" spans="2:11" ht="13.8" thickBot="1">
      <c r="E307" s="84" t="s">
        <v>1077</v>
      </c>
      <c r="F307" s="23"/>
      <c r="G307" s="66"/>
      <c r="H307" s="19">
        <f>'Cap Spares'!$C$18</f>
        <v>974407.6</v>
      </c>
      <c r="I307" s="19">
        <f>H307-J307</f>
        <v>0</v>
      </c>
      <c r="J307" s="19">
        <f>H307</f>
        <v>974407.6</v>
      </c>
    </row>
    <row r="308" spans="2:11" ht="13.8" thickBot="1">
      <c r="E308" s="84"/>
      <c r="F308" s="23"/>
      <c r="G308" s="66"/>
      <c r="H308" s="19"/>
      <c r="I308" s="19"/>
      <c r="J308" s="19">
        <f>H308</f>
        <v>0</v>
      </c>
    </row>
    <row r="309" spans="2:11" ht="13.8" thickBot="1">
      <c r="E309" s="84" t="s">
        <v>1258</v>
      </c>
      <c r="F309" s="23" t="s">
        <v>1078</v>
      </c>
      <c r="G309" s="66"/>
      <c r="H309" s="19">
        <f>H307*0.03</f>
        <v>29232.227999999999</v>
      </c>
      <c r="I309" s="19">
        <f>H309-J309</f>
        <v>0</v>
      </c>
      <c r="J309" s="19">
        <f>H309</f>
        <v>29232.227999999999</v>
      </c>
    </row>
    <row r="310" spans="2:11" ht="13.8" thickBot="1">
      <c r="E310" s="84" t="s">
        <v>276</v>
      </c>
      <c r="F310" s="243" t="s">
        <v>1079</v>
      </c>
      <c r="G310" s="66"/>
      <c r="H310" s="19">
        <f>H307*0.0025</f>
        <v>2436.0189999999998</v>
      </c>
      <c r="I310" s="19">
        <f>H310-J310</f>
        <v>0</v>
      </c>
      <c r="J310" s="19">
        <f>H310</f>
        <v>2436.0189999999998</v>
      </c>
    </row>
    <row r="311" spans="2:11" ht="13.8" thickBot="1">
      <c r="E311" s="176" t="s">
        <v>476</v>
      </c>
      <c r="F311" s="177"/>
      <c r="G311" s="178" t="s">
        <v>941</v>
      </c>
      <c r="H311" s="87">
        <f>SUBTOTAL(9,H307:H310)</f>
        <v>1006075.847</v>
      </c>
      <c r="I311" s="87">
        <f>SUBTOTAL(9,I307:I310)</f>
        <v>0</v>
      </c>
      <c r="J311" s="87">
        <f>SUBTOTAL(9,J307:J310)</f>
        <v>1006075.847</v>
      </c>
      <c r="K311" s="20"/>
    </row>
    <row r="312" spans="2:11">
      <c r="E312" s="20"/>
      <c r="F312" s="20"/>
      <c r="G312" s="20"/>
      <c r="H312" s="20"/>
      <c r="I312" s="20"/>
      <c r="J312" s="20"/>
    </row>
    <row r="319" spans="2:11">
      <c r="B319" s="42"/>
      <c r="E319" s="21"/>
    </row>
    <row r="320" spans="2:11">
      <c r="B320" s="42"/>
      <c r="F320" s="21"/>
      <c r="G320" s="21"/>
    </row>
    <row r="864" spans="1:4">
      <c r="A864" s="21"/>
      <c r="B864" s="21"/>
      <c r="C864" s="21"/>
      <c r="D864" s="21"/>
    </row>
    <row r="912" spans="5:5">
      <c r="E912" s="21"/>
    </row>
    <row r="913" spans="6:10">
      <c r="F913" s="21"/>
      <c r="G913" s="21"/>
      <c r="H913" s="21"/>
      <c r="I913" s="21"/>
      <c r="J913" s="21"/>
    </row>
  </sheetData>
  <dataConsolidate/>
  <printOptions horizontalCentered="1"/>
  <pageMargins left="0.75" right="0.75" top="1" bottom="1" header="0.5" footer="0.5"/>
  <pageSetup scale="75" firstPageNumber="13" fitToHeight="5" orientation="portrait" horizontalDpi="4294967292" verticalDpi="4294967292" r:id="rId1"/>
  <headerFooter alignWithMargins="0">
    <oddFooter>&amp;LRichard Bickings
&amp;D&amp;CPage &amp;P&amp;R&amp;F
&amp;A</oddFooter>
  </headerFooter>
  <rowBreaks count="3" manualBreakCount="3">
    <brk id="68" min="4" max="9" man="1"/>
    <brk id="130" min="4" max="9" man="1"/>
    <brk id="192" min="4" max="9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R370"/>
  <sheetViews>
    <sheetView zoomScale="75" zoomScaleNormal="25" zoomScaleSheetLayoutView="100" workbookViewId="0">
      <selection activeCell="F28" sqref="F28"/>
    </sheetView>
  </sheetViews>
  <sheetFormatPr defaultColWidth="9.109375" defaultRowHeight="13.2"/>
  <cols>
    <col min="1" max="1" width="4.6640625" style="3" customWidth="1"/>
    <col min="2" max="2" width="49.88671875" style="3" customWidth="1"/>
    <col min="3" max="3" width="9.5546875" style="3" customWidth="1"/>
    <col min="4" max="6" width="11.44140625" style="3" customWidth="1"/>
    <col min="7" max="7" width="12.88671875" style="3" customWidth="1"/>
    <col min="8" max="8" width="10.88671875" style="3" customWidth="1"/>
    <col min="9" max="10" width="9.109375" style="3"/>
    <col min="11" max="16384" width="9.109375" style="2"/>
  </cols>
  <sheetData>
    <row r="1" spans="1:44" ht="15.6">
      <c r="A1" s="1" t="str">
        <f>Scope!A1</f>
        <v>Santee Cooper 5 x LM6000 PC Power Project (236 MW)</v>
      </c>
      <c r="B1" s="69"/>
      <c r="C1" s="69"/>
      <c r="D1" s="69"/>
      <c r="E1" s="69"/>
      <c r="F1" s="69"/>
      <c r="G1" s="69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</row>
    <row r="2" spans="1:44" ht="15.6">
      <c r="A2" s="33" t="s">
        <v>206</v>
      </c>
      <c r="B2" s="69"/>
      <c r="C2" s="69"/>
      <c r="D2" s="69"/>
      <c r="E2" s="69"/>
      <c r="F2" s="69"/>
      <c r="G2" s="69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</row>
    <row r="3" spans="1:44">
      <c r="A3" s="34"/>
      <c r="B3" s="34"/>
      <c r="C3" s="34"/>
      <c r="D3" s="34"/>
      <c r="E3" s="32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</row>
    <row r="4" spans="1:44" ht="13.8" thickBot="1">
      <c r="A4" s="34"/>
      <c r="B4" s="32"/>
      <c r="C4" s="32"/>
      <c r="D4" s="586"/>
      <c r="E4" s="588"/>
      <c r="G4" s="587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</row>
    <row r="5" spans="1:44">
      <c r="A5" s="34"/>
      <c r="B5" s="32"/>
      <c r="C5" s="32"/>
      <c r="D5" s="167"/>
      <c r="E5" s="589" t="s">
        <v>881</v>
      </c>
      <c r="G5" s="586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</row>
    <row r="6" spans="1:44" ht="13.8" thickBot="1">
      <c r="A6" s="34"/>
      <c r="B6" s="32"/>
      <c r="C6" s="161"/>
      <c r="D6" s="586"/>
      <c r="E6" s="183" t="s">
        <v>252</v>
      </c>
      <c r="G6" s="586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</row>
    <row r="7" spans="1:44">
      <c r="A7" s="42"/>
      <c r="B7" s="23"/>
      <c r="C7" s="23"/>
      <c r="D7" s="23"/>
      <c r="E7" s="592"/>
      <c r="G7" s="23"/>
      <c r="H7" s="4"/>
      <c r="I7" s="4"/>
      <c r="J7" s="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</row>
    <row r="8" spans="1:44">
      <c r="A8" s="39" t="s">
        <v>1080</v>
      </c>
      <c r="B8" s="23"/>
      <c r="C8" s="152"/>
      <c r="D8" s="32"/>
      <c r="E8" s="593">
        <f>Ops_Staff!$G$17</f>
        <v>406043.19160615373</v>
      </c>
      <c r="G8" s="304"/>
      <c r="H8" s="4"/>
      <c r="I8" s="4"/>
      <c r="J8" s="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</row>
    <row r="9" spans="1:44">
      <c r="A9" s="42"/>
      <c r="B9" s="23"/>
      <c r="C9" s="144"/>
      <c r="D9" s="23"/>
      <c r="E9" s="594"/>
      <c r="G9" s="32"/>
      <c r="H9" s="4"/>
      <c r="I9" s="4"/>
      <c r="J9" s="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</row>
    <row r="10" spans="1:44">
      <c r="A10" s="42" t="s">
        <v>1081</v>
      </c>
      <c r="B10"/>
      <c r="C10" s="144"/>
      <c r="D10" s="32"/>
      <c r="E10" s="593"/>
      <c r="G10" s="32"/>
      <c r="H10" s="4"/>
      <c r="I10" s="4"/>
      <c r="J10" s="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</row>
    <row r="11" spans="1:44">
      <c r="A11" s="4"/>
      <c r="B11" s="23" t="str">
        <f>'O&amp;M_Backup'!A14</f>
        <v>Employee Expenses</v>
      </c>
      <c r="C11" s="152"/>
      <c r="D11" s="32"/>
      <c r="E11" s="593">
        <f>'O&amp;M_Backup'!$D$23</f>
        <v>24400</v>
      </c>
      <c r="G11" s="304"/>
      <c r="H11" s="4"/>
      <c r="I11" s="4"/>
      <c r="J11" s="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</row>
    <row r="12" spans="1:44">
      <c r="A12" s="4"/>
      <c r="B12" s="23" t="str">
        <f>'O&amp;M_Backup'!A24</f>
        <v>Permanent Contract Labor</v>
      </c>
      <c r="C12" s="152"/>
      <c r="D12" s="32"/>
      <c r="E12" s="593">
        <v>50000</v>
      </c>
      <c r="G12" s="304"/>
      <c r="H12" s="4"/>
      <c r="I12" s="4"/>
      <c r="J12" s="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1:44">
      <c r="A13" s="4"/>
      <c r="B13" s="23" t="str">
        <f>'O&amp;M_Backup'!A29</f>
        <v>Environmental Expense (including permit fees)</v>
      </c>
      <c r="C13" s="152"/>
      <c r="D13" s="32"/>
      <c r="E13" s="593">
        <f>'O&amp;M_Backup'!$D$39</f>
        <v>26000</v>
      </c>
      <c r="G13" s="304"/>
      <c r="H13" s="4"/>
      <c r="I13" s="4"/>
      <c r="J13" s="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</row>
    <row r="14" spans="1:44">
      <c r="A14" s="4"/>
      <c r="B14" s="23" t="str">
        <f>'O&amp;M_Backup'!A40</f>
        <v>Safety Expense</v>
      </c>
      <c r="C14" s="152"/>
      <c r="D14" s="32"/>
      <c r="E14" s="593">
        <f>'O&amp;M_Backup'!$D$48</f>
        <v>7000</v>
      </c>
      <c r="G14" s="304"/>
      <c r="H14" s="4"/>
      <c r="I14" s="4"/>
      <c r="J14" s="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</row>
    <row r="15" spans="1:44">
      <c r="A15" s="4"/>
      <c r="B15" s="23" t="str">
        <f>'O&amp;M_Backup'!A49</f>
        <v>Buildings &amp; Grounds</v>
      </c>
      <c r="C15" s="152"/>
      <c r="D15" s="32"/>
      <c r="E15" s="593">
        <f>'O&amp;M_Backup'!$D$59</f>
        <v>11000</v>
      </c>
      <c r="G15" s="304"/>
      <c r="H15" s="4"/>
      <c r="I15" s="4"/>
      <c r="J15" s="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</row>
    <row r="16" spans="1:44">
      <c r="A16" s="4"/>
      <c r="B16" s="23" t="str">
        <f>'O&amp;M_Backup'!A60</f>
        <v>Other Supplies &amp; Expenses</v>
      </c>
      <c r="C16" s="152"/>
      <c r="D16" s="32"/>
      <c r="E16" s="593">
        <f>'O&amp;M_Backup'!$D$89</f>
        <v>40000</v>
      </c>
      <c r="G16" s="304"/>
      <c r="H16" s="4"/>
      <c r="I16" s="4"/>
      <c r="J16" s="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</row>
    <row r="17" spans="1:44">
      <c r="A17" s="4"/>
      <c r="B17" s="23" t="str">
        <f>'O&amp;M_Backup'!A90</f>
        <v>Communications</v>
      </c>
      <c r="C17" s="152"/>
      <c r="D17" s="32"/>
      <c r="E17" s="593">
        <f>'O&amp;M_Backup'!$D$95</f>
        <v>21000</v>
      </c>
      <c r="G17" s="304"/>
      <c r="H17" s="4"/>
      <c r="I17" s="4"/>
      <c r="J17" s="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</row>
    <row r="18" spans="1:44" ht="12.75" hidden="1" customHeight="1" thickBot="1">
      <c r="A18" s="4"/>
      <c r="B18" s="89" t="str">
        <f>'O&amp;M_Backup'!A96</f>
        <v>Operating Insurance</v>
      </c>
      <c r="C18" s="152"/>
      <c r="D18" s="32"/>
      <c r="E18" s="593"/>
      <c r="G18" s="304"/>
      <c r="H18" s="4"/>
      <c r="I18" s="4"/>
      <c r="J18" s="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</row>
    <row r="19" spans="1:44" ht="12.75" customHeight="1">
      <c r="A19" s="4"/>
      <c r="B19" s="23" t="str">
        <f>'O&amp;M_Backup'!A100</f>
        <v>Control Room/Laboratory Expenses</v>
      </c>
      <c r="C19" s="152"/>
      <c r="D19" s="32"/>
      <c r="E19" s="593">
        <f>'O&amp;M_Backup'!$D$109</f>
        <v>1000</v>
      </c>
      <c r="G19" s="304"/>
      <c r="H19" s="4"/>
      <c r="I19" s="4"/>
      <c r="J19" s="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</row>
    <row r="20" spans="1:44" hidden="1">
      <c r="A20" s="4"/>
      <c r="B20" s="23" t="str">
        <f>'O&amp;M_Backup'!A110</f>
        <v>Operations Support (Year 1 Only)</v>
      </c>
      <c r="C20" s="152"/>
      <c r="D20" s="32"/>
      <c r="E20" s="593">
        <v>0</v>
      </c>
      <c r="G20" s="304"/>
      <c r="H20" s="4"/>
      <c r="I20" s="4"/>
      <c r="J20" s="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</row>
    <row r="21" spans="1:44" ht="12.75" customHeight="1">
      <c r="A21" s="4"/>
      <c r="B21" s="23"/>
      <c r="C21" s="152"/>
      <c r="D21" s="23"/>
      <c r="E21" s="594"/>
      <c r="G21" s="32"/>
      <c r="H21" s="4"/>
      <c r="I21" s="4"/>
      <c r="J21" s="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</row>
    <row r="22" spans="1:44" ht="12.75" customHeight="1">
      <c r="A22" s="4"/>
      <c r="B22" s="39" t="s">
        <v>1082</v>
      </c>
      <c r="C22" s="139"/>
      <c r="D22" s="32"/>
      <c r="E22" s="593">
        <f>SUM(E11:E19)</f>
        <v>180400</v>
      </c>
      <c r="G22" s="304"/>
      <c r="H22" s="4"/>
      <c r="I22" s="4"/>
      <c r="J22" s="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</row>
    <row r="23" spans="1:44" ht="12.75" customHeight="1">
      <c r="A23" s="4"/>
      <c r="B23" s="23"/>
      <c r="C23" s="152"/>
      <c r="D23" s="23"/>
      <c r="E23" s="594"/>
      <c r="G23" s="32"/>
      <c r="H23" s="4"/>
      <c r="I23" s="4"/>
      <c r="J23" s="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</row>
    <row r="24" spans="1:44" ht="12.75" customHeight="1">
      <c r="A24" s="39" t="s">
        <v>880</v>
      </c>
      <c r="B24" s="23"/>
      <c r="C24" s="152"/>
      <c r="D24" s="32"/>
      <c r="E24" s="593">
        <f>'O&amp;M_Backup'!$D$131</f>
        <v>49935.6</v>
      </c>
      <c r="G24" s="304"/>
      <c r="H24" s="4"/>
      <c r="I24" s="4"/>
      <c r="J24" s="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</row>
    <row r="25" spans="1:44" ht="12.75" customHeight="1">
      <c r="A25" s="39"/>
      <c r="B25" s="209" t="s">
        <v>378</v>
      </c>
      <c r="C25" s="152"/>
      <c r="D25" s="32"/>
      <c r="E25" s="593"/>
      <c r="G25" s="304"/>
      <c r="H25" s="4"/>
      <c r="I25" s="4"/>
      <c r="J25" s="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</row>
    <row r="26" spans="1:44" ht="12.75" customHeight="1">
      <c r="A26" s="42"/>
      <c r="B26" s="23"/>
      <c r="C26" s="152"/>
      <c r="D26" s="23"/>
      <c r="E26" s="594"/>
      <c r="G26" s="32"/>
      <c r="H26" s="4"/>
      <c r="I26" s="4"/>
      <c r="J26" s="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</row>
    <row r="27" spans="1:44" ht="12.75" customHeight="1">
      <c r="A27" s="39" t="s">
        <v>1083</v>
      </c>
      <c r="B27"/>
      <c r="C27" s="144"/>
      <c r="D27" s="32"/>
      <c r="E27" s="593"/>
      <c r="G27" s="32"/>
      <c r="H27" s="4"/>
      <c r="I27" s="4"/>
      <c r="J27" s="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</row>
    <row r="28" spans="1:44">
      <c r="A28" s="4"/>
      <c r="B28" s="23" t="str">
        <f>'O&amp;M_Backup'!A132</f>
        <v>Painting</v>
      </c>
      <c r="C28" s="152"/>
      <c r="D28" s="32"/>
      <c r="E28" s="593">
        <f>'O&amp;M_Backup'!D139</f>
        <v>58795.095664265558</v>
      </c>
      <c r="G28" s="304"/>
      <c r="H28" s="4"/>
      <c r="I28" s="4"/>
      <c r="J28" s="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</row>
    <row r="29" spans="1:44">
      <c r="A29" s="4"/>
      <c r="B29" s="23" t="str">
        <f>'O&amp;M_Backup'!A140</f>
        <v>Electrical &amp; Controls</v>
      </c>
      <c r="C29" s="152"/>
      <c r="D29" s="32"/>
      <c r="E29" s="593">
        <f>'O&amp;M_Backup'!D149</f>
        <v>28000</v>
      </c>
      <c r="G29" s="304"/>
      <c r="H29" s="4"/>
      <c r="I29" s="4"/>
      <c r="J29" s="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</row>
    <row r="30" spans="1:44">
      <c r="A30" s="4"/>
      <c r="B30" s="23" t="str">
        <f>'O&amp;M_Backup'!A150</f>
        <v>Water Treatment System</v>
      </c>
      <c r="C30" s="152"/>
      <c r="D30" s="32"/>
      <c r="E30" s="593">
        <v>25000</v>
      </c>
      <c r="G30" s="304"/>
      <c r="H30" s="4"/>
      <c r="I30" s="4"/>
      <c r="J30" s="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</row>
    <row r="31" spans="1:44">
      <c r="A31" s="4"/>
      <c r="B31" s="23" t="str">
        <f>'O&amp;M_Backup'!A159</f>
        <v>Cooling System</v>
      </c>
      <c r="C31" s="152"/>
      <c r="D31" s="32"/>
      <c r="E31" s="593">
        <v>25000</v>
      </c>
      <c r="G31" s="304"/>
      <c r="H31" s="4"/>
      <c r="I31" s="4"/>
      <c r="J31" s="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</row>
    <row r="32" spans="1:44">
      <c r="A32" s="4"/>
      <c r="B32" s="23" t="str">
        <f>'O&amp;M_Backup'!A169</f>
        <v>Substation/Interconnects</v>
      </c>
      <c r="C32" s="152"/>
      <c r="D32" s="32"/>
      <c r="E32" s="593">
        <v>10000</v>
      </c>
      <c r="G32" s="304"/>
      <c r="H32" s="4"/>
      <c r="I32" s="4"/>
      <c r="J32" s="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</row>
    <row r="33" spans="1:44">
      <c r="A33" s="4"/>
      <c r="B33" s="23" t="str">
        <f>'O&amp;M_Backup'!A180</f>
        <v>Gas Turbines (excluding scheduled maint.)</v>
      </c>
      <c r="C33" s="152"/>
      <c r="D33" s="32"/>
      <c r="E33" s="593">
        <f>'O&amp;M_Backup'!D189</f>
        <v>225000</v>
      </c>
      <c r="G33" s="304"/>
      <c r="H33" s="4"/>
      <c r="I33" s="4"/>
      <c r="J33" s="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</row>
    <row r="34" spans="1:44">
      <c r="A34" s="4"/>
      <c r="B34" s="23" t="str">
        <f>'O&amp;M_Backup'!A190</f>
        <v>Boilers</v>
      </c>
      <c r="C34" s="152"/>
      <c r="D34" s="32"/>
      <c r="E34" s="593">
        <f>'O&amp;M_Backup'!D199</f>
        <v>0</v>
      </c>
      <c r="G34" s="304"/>
      <c r="H34" s="4"/>
      <c r="I34" s="4"/>
      <c r="J34" s="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</row>
    <row r="35" spans="1:44">
      <c r="A35" s="4"/>
      <c r="B35" s="23" t="str">
        <f>'O&amp;M_Backup'!A200</f>
        <v>Steam Turbine (including Scheduled Maint.)</v>
      </c>
      <c r="C35" s="152"/>
      <c r="D35" s="32"/>
      <c r="E35" s="593">
        <f>'O&amp;M_Backup'!D210</f>
        <v>0</v>
      </c>
      <c r="G35" s="304"/>
      <c r="H35" s="4"/>
      <c r="I35" s="4"/>
      <c r="J35" s="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spans="1:44">
      <c r="A36" s="4"/>
      <c r="B36" s="23" t="str">
        <f>'O&amp;M_Backup'!A211</f>
        <v>Water Supply Pipeline and Booster Station</v>
      </c>
      <c r="C36" s="152"/>
      <c r="D36" s="32"/>
      <c r="E36" s="593">
        <f>'O&amp;M_Backup'!D220</f>
        <v>0</v>
      </c>
      <c r="G36" s="304"/>
      <c r="H36" s="4"/>
      <c r="I36" s="4"/>
      <c r="J36" s="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</row>
    <row r="37" spans="1:44">
      <c r="A37" s="4"/>
      <c r="B37" s="23" t="str">
        <f>'O&amp;M_Backup'!A221</f>
        <v>Fuel Facility</v>
      </c>
      <c r="C37" s="152"/>
      <c r="D37" s="32"/>
      <c r="E37" s="593">
        <f>'O&amp;M_Backup'!D230</f>
        <v>0</v>
      </c>
      <c r="G37" s="304"/>
      <c r="H37" s="4"/>
      <c r="I37" s="4"/>
      <c r="J37" s="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</row>
    <row r="38" spans="1:44">
      <c r="A38" s="4"/>
      <c r="B38" s="23" t="str">
        <f>'O&amp;M_Backup'!A231</f>
        <v>Miscellaneous Maintenance Expense</v>
      </c>
      <c r="C38" s="152"/>
      <c r="D38" s="32"/>
      <c r="E38" s="593">
        <f>'O&amp;M_Backup'!D249</f>
        <v>31850</v>
      </c>
      <c r="G38" s="304"/>
      <c r="H38" s="4"/>
      <c r="I38" s="4"/>
      <c r="J38" s="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</row>
    <row r="39" spans="1:44">
      <c r="A39" s="4"/>
      <c r="B39" s="23"/>
      <c r="C39" s="152"/>
      <c r="D39" s="23"/>
      <c r="E39" s="594"/>
      <c r="G39" s="32"/>
      <c r="H39" s="4"/>
      <c r="I39" s="4"/>
      <c r="J39" s="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</row>
    <row r="40" spans="1:44">
      <c r="A40" s="4"/>
      <c r="B40" s="39" t="s">
        <v>1084</v>
      </c>
      <c r="C40" s="139"/>
      <c r="D40" s="32"/>
      <c r="E40" s="593">
        <f>SUBTOTAL(9,E28:E39)</f>
        <v>403645.09566426557</v>
      </c>
      <c r="G40" s="304"/>
      <c r="H40" s="4"/>
      <c r="I40" s="4"/>
      <c r="J40" s="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</row>
    <row r="41" spans="1:44">
      <c r="A41" s="4"/>
      <c r="B41" s="39"/>
      <c r="C41" s="139"/>
      <c r="D41" s="32"/>
      <c r="E41" s="593"/>
      <c r="G41" s="32"/>
      <c r="H41" s="4"/>
      <c r="I41" s="4"/>
      <c r="J41" s="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</row>
    <row r="42" spans="1:44">
      <c r="A42" s="223" t="s">
        <v>257</v>
      </c>
      <c r="B42" s="39"/>
      <c r="C42" s="139"/>
      <c r="D42" s="32"/>
      <c r="E42" s="593">
        <f>'O&amp;M_Backup'!$D$281</f>
        <v>25552.080000000002</v>
      </c>
      <c r="G42" s="304"/>
      <c r="H42" s="4"/>
      <c r="I42" s="4"/>
      <c r="J42" s="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</row>
    <row r="43" spans="1:44">
      <c r="A43" s="4"/>
      <c r="B43" s="39"/>
      <c r="C43" s="139"/>
      <c r="D43" s="32"/>
      <c r="E43" s="593"/>
      <c r="G43" s="32"/>
      <c r="H43" s="4"/>
      <c r="I43" s="4"/>
      <c r="J43" s="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</row>
    <row r="44" spans="1:44" ht="13.8" thickBot="1">
      <c r="A44" s="42" t="s">
        <v>1085</v>
      </c>
      <c r="B44" s="39"/>
      <c r="C44" s="139"/>
      <c r="D44" s="32"/>
      <c r="E44" s="595">
        <f>E42+E40+E24+E22+E8</f>
        <v>1065575.9672704192</v>
      </c>
      <c r="G44" s="32"/>
      <c r="H44" s="4"/>
      <c r="I44" s="4"/>
      <c r="J44" s="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</row>
    <row r="45" spans="1:44">
      <c r="A45" s="42"/>
      <c r="B45" s="39"/>
      <c r="C45" s="139"/>
      <c r="D45" s="32"/>
      <c r="E45" s="32"/>
      <c r="F45" s="32"/>
      <c r="G45" s="32"/>
      <c r="H45" s="4"/>
      <c r="I45" s="4"/>
      <c r="J45" s="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</row>
    <row r="46" spans="1:44" ht="13.8" thickBot="1">
      <c r="A46" s="42"/>
      <c r="B46" s="4"/>
      <c r="C46" s="18"/>
      <c r="D46" s="4"/>
      <c r="E46" s="4"/>
      <c r="F46" s="4"/>
      <c r="G46" s="34"/>
      <c r="H46" s="4"/>
      <c r="I46" s="4"/>
      <c r="J46" s="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</row>
    <row r="47" spans="1:44" ht="13.8" thickBot="1">
      <c r="A47" s="42" t="s">
        <v>1086</v>
      </c>
      <c r="B47" s="4"/>
      <c r="C47" s="18" t="s">
        <v>1087</v>
      </c>
      <c r="D47" s="200">
        <f>'O&amp;M_Backup'!D272</f>
        <v>11090544</v>
      </c>
      <c r="E47" s="308"/>
      <c r="F47" s="308" t="s">
        <v>1088</v>
      </c>
      <c r="G47" s="184">
        <f>D47/20</f>
        <v>554527.19999999995</v>
      </c>
      <c r="H47" s="4"/>
      <c r="I47" s="4"/>
      <c r="J47" s="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8" spans="1:44" ht="13.8" thickBot="1">
      <c r="A48" s="42"/>
      <c r="B48" s="4"/>
      <c r="C48" s="18"/>
      <c r="D48" s="203"/>
      <c r="E48" s="311" t="s">
        <v>878</v>
      </c>
      <c r="F48" s="308"/>
      <c r="G48" s="305">
        <f>G47/(1200*450)</f>
        <v>1.0269022222222222</v>
      </c>
      <c r="H48" s="4"/>
      <c r="I48" s="4"/>
      <c r="J48" s="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</row>
    <row r="49" spans="1:44" ht="13.8" thickBot="1">
      <c r="A49" s="42"/>
      <c r="B49" s="4"/>
      <c r="C49" s="18"/>
      <c r="D49" s="203"/>
      <c r="E49" s="308"/>
      <c r="F49" s="308"/>
      <c r="G49" s="307"/>
      <c r="H49" s="4"/>
      <c r="I49" s="4"/>
      <c r="J49" s="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</row>
    <row r="50" spans="1:44" ht="13.8" thickBot="1">
      <c r="A50" s="42" t="s">
        <v>1089</v>
      </c>
      <c r="B50" s="4"/>
      <c r="C50" s="18"/>
      <c r="D50" s="203"/>
      <c r="E50" s="308"/>
      <c r="F50" s="308" t="s">
        <v>1088</v>
      </c>
      <c r="G50" s="200">
        <f>G47+E44</f>
        <v>1620103.1672704192</v>
      </c>
      <c r="H50" s="4"/>
      <c r="I50" s="4"/>
      <c r="J50" s="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</row>
    <row r="51" spans="1:44" ht="13.8" thickBot="1">
      <c r="A51" s="42"/>
      <c r="B51" s="4"/>
      <c r="C51" s="18"/>
      <c r="D51" s="203"/>
      <c r="E51" s="311" t="s">
        <v>878</v>
      </c>
      <c r="G51" s="305">
        <f>G50/(1200*450)</f>
        <v>3.0001910505007761</v>
      </c>
      <c r="H51" s="4"/>
      <c r="I51" s="4"/>
      <c r="J51" s="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</row>
    <row r="52" spans="1:44" ht="13.8" thickBot="1">
      <c r="A52" s="42"/>
      <c r="B52" s="4"/>
      <c r="C52" s="18"/>
      <c r="D52" s="203"/>
      <c r="E52" s="308"/>
      <c r="F52" s="308"/>
      <c r="G52" s="304"/>
      <c r="H52" s="4"/>
      <c r="I52" s="4"/>
      <c r="J52" s="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</row>
    <row r="53" spans="1:44" ht="13.8" hidden="1" thickBot="1">
      <c r="A53" s="42"/>
      <c r="B53" s="4"/>
      <c r="C53" s="152"/>
      <c r="D53" s="32"/>
      <c r="E53" s="32"/>
      <c r="F53" s="32"/>
      <c r="G53" s="34"/>
      <c r="H53" s="4"/>
      <c r="I53" s="4"/>
      <c r="J53" s="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</row>
    <row r="54" spans="1:44" ht="13.8" hidden="1" thickBot="1">
      <c r="A54" s="42" t="s">
        <v>260</v>
      </c>
      <c r="B54" s="4"/>
      <c r="C54" s="152"/>
      <c r="D54" s="28"/>
      <c r="E54" s="28"/>
      <c r="F54" s="28"/>
      <c r="G54" s="184"/>
      <c r="H54" s="4"/>
      <c r="I54" s="4"/>
      <c r="J54" s="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</row>
    <row r="55" spans="1:44" ht="13.8" hidden="1" thickBot="1">
      <c r="A55" s="42"/>
      <c r="B55" s="4"/>
      <c r="C55" s="152"/>
      <c r="D55" s="32"/>
      <c r="E55" s="32"/>
      <c r="F55" s="32"/>
      <c r="G55" s="34"/>
      <c r="H55" s="4"/>
      <c r="I55" s="4"/>
      <c r="J55" s="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</row>
    <row r="56" spans="1:44" ht="13.8" hidden="1" thickBot="1">
      <c r="A56" s="42" t="s">
        <v>261</v>
      </c>
      <c r="B56" s="23"/>
      <c r="C56" s="152"/>
      <c r="D56" s="28"/>
      <c r="E56" s="28"/>
      <c r="F56" s="28"/>
      <c r="G56" s="184"/>
      <c r="H56" s="4"/>
      <c r="I56" s="4"/>
      <c r="J56" s="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</row>
    <row r="57" spans="1:44" hidden="1">
      <c r="A57" s="42"/>
      <c r="B57" s="23"/>
      <c r="C57" s="152"/>
      <c r="D57" s="32"/>
      <c r="E57" s="32"/>
      <c r="F57" s="32"/>
      <c r="G57" s="304"/>
      <c r="H57" s="4"/>
      <c r="I57" s="4"/>
      <c r="J57" s="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</row>
    <row r="58" spans="1:44" ht="13.8" hidden="1" thickBot="1">
      <c r="A58" s="42"/>
      <c r="B58" s="23"/>
      <c r="C58" s="23"/>
      <c r="D58"/>
      <c r="E58"/>
      <c r="F58"/>
      <c r="G58" s="4"/>
      <c r="H58" s="4"/>
      <c r="I58" s="4"/>
      <c r="J58" s="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</row>
    <row r="59" spans="1:44" ht="13.8" hidden="1" thickBot="1">
      <c r="A59" s="42" t="s">
        <v>877</v>
      </c>
      <c r="B59" s="23"/>
      <c r="C59" s="23"/>
      <c r="D59"/>
      <c r="E59"/>
      <c r="F59" s="308" t="s">
        <v>1088</v>
      </c>
      <c r="G59" s="28">
        <f>G56+G54+G47+G44</f>
        <v>554527.19999999995</v>
      </c>
      <c r="H59" s="4"/>
      <c r="I59" s="4"/>
      <c r="J59" s="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0" spans="1:44" ht="13.8" hidden="1" thickBot="1">
      <c r="A60" s="42"/>
      <c r="B60" s="23"/>
      <c r="C60" s="23"/>
      <c r="D60"/>
      <c r="E60" s="311" t="s">
        <v>879</v>
      </c>
      <c r="F60" s="308"/>
      <c r="G60" s="305">
        <f>G59/(1200*450)</f>
        <v>1.0269022222222222</v>
      </c>
      <c r="H60" s="4"/>
      <c r="I60" s="4"/>
      <c r="J60" s="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</row>
    <row r="61" spans="1:44" hidden="1">
      <c r="A61" s="42"/>
      <c r="B61" s="23"/>
      <c r="C61" s="23"/>
      <c r="D61"/>
      <c r="E61"/>
      <c r="F61"/>
      <c r="G61" s="4"/>
      <c r="H61" s="4"/>
      <c r="I61" s="4"/>
      <c r="J61" s="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</row>
    <row r="62" spans="1:44" ht="13.8" hidden="1" thickBot="1">
      <c r="A62"/>
      <c r="B62"/>
      <c r="C62"/>
      <c r="D62"/>
      <c r="E62"/>
      <c r="F62"/>
      <c r="G62" s="74"/>
      <c r="H62" s="4"/>
      <c r="I62" s="4"/>
      <c r="J62" s="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</row>
    <row r="63" spans="1:44" ht="13.8" thickBot="1">
      <c r="A63" s="42" t="s">
        <v>876</v>
      </c>
      <c r="B63" s="4"/>
      <c r="C63" s="4"/>
      <c r="D63" s="200">
        <f>ROUND(0.1*(G56+G54+G47+E44),-4)</f>
        <v>160000</v>
      </c>
      <c r="E63" s="308"/>
      <c r="F63" s="308"/>
      <c r="G63" s="304"/>
      <c r="H63" s="4"/>
      <c r="I63" s="4"/>
      <c r="J63" s="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</row>
    <row r="64" spans="1:44" ht="13.8" thickBot="1">
      <c r="A64" s="223" t="s">
        <v>250</v>
      </c>
      <c r="B64" s="4"/>
      <c r="C64" s="4"/>
      <c r="D64" s="200">
        <f>ROUND('O&amp;M_Backup'!$D$264*'O&amp;M_Estimate'!E8,-4)</f>
        <v>60000</v>
      </c>
      <c r="E64" s="203"/>
      <c r="F64" s="203"/>
      <c r="G64" s="304"/>
      <c r="H64" s="4"/>
      <c r="I64" s="4"/>
      <c r="J64" s="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</row>
    <row r="65" spans="1:44">
      <c r="A65" s="140"/>
      <c r="B65" s="4"/>
      <c r="C65" s="4"/>
      <c r="D65" s="4"/>
      <c r="E65" s="4"/>
      <c r="F65" s="4"/>
      <c r="G65" s="4"/>
      <c r="H65" s="4"/>
      <c r="I65" s="4"/>
      <c r="J65" s="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</row>
    <row r="66" spans="1:44">
      <c r="A66" s="162"/>
      <c r="B66" s="4"/>
      <c r="C66" s="4"/>
      <c r="D66" s="4"/>
      <c r="E66" s="4"/>
      <c r="F66" s="4"/>
      <c r="G66" s="4"/>
      <c r="H66" s="4"/>
      <c r="I66" s="4"/>
      <c r="J66" s="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</row>
    <row r="67" spans="1:44">
      <c r="A67" s="162"/>
      <c r="B67" s="4"/>
      <c r="C67" s="4"/>
      <c r="D67" s="4"/>
      <c r="E67" s="4"/>
      <c r="F67" s="4"/>
      <c r="G67" s="4"/>
      <c r="H67" s="4"/>
      <c r="I67" s="4"/>
      <c r="J67" s="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</row>
    <row r="68" spans="1:44">
      <c r="A68" s="162"/>
      <c r="B68" s="4"/>
      <c r="C68" s="4"/>
      <c r="D68" s="4"/>
      <c r="E68" s="4"/>
      <c r="F68" s="4"/>
      <c r="G68" s="4"/>
      <c r="H68" s="4"/>
      <c r="I68" s="4"/>
      <c r="J68" s="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 spans="1:44">
      <c r="A69" s="105"/>
      <c r="B69" s="4"/>
      <c r="C69" s="4"/>
      <c r="D69" s="4"/>
      <c r="E69" s="4"/>
      <c r="F69" s="4"/>
      <c r="G69" s="4"/>
      <c r="H69" s="4"/>
      <c r="I69" s="4"/>
      <c r="J69" s="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</row>
    <row r="70" spans="1:44">
      <c r="A70" s="105"/>
      <c r="B70" s="4"/>
      <c r="C70" s="4"/>
      <c r="D70" s="4"/>
      <c r="E70" s="4"/>
      <c r="F70" s="4"/>
      <c r="G70" s="4"/>
      <c r="H70" s="4"/>
      <c r="I70" s="4"/>
      <c r="J70" s="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</row>
    <row r="71" spans="1:44">
      <c r="A71" s="4"/>
      <c r="B71" s="4"/>
      <c r="C71" s="4"/>
      <c r="D71" s="4"/>
      <c r="E71" s="4"/>
      <c r="F71" s="4"/>
      <c r="G71" s="4"/>
      <c r="H71" s="4"/>
      <c r="I71" s="4"/>
      <c r="J71" s="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</row>
    <row r="72" spans="1:44">
      <c r="A72" s="4"/>
      <c r="B72" s="4"/>
      <c r="C72" s="4"/>
      <c r="D72" s="4"/>
      <c r="E72" s="4"/>
      <c r="F72" s="4"/>
      <c r="G72" s="4"/>
      <c r="H72" s="4"/>
      <c r="I72" s="4"/>
      <c r="J72" s="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</row>
    <row r="73" spans="1:44">
      <c r="A73" s="4"/>
      <c r="B73" s="4"/>
      <c r="C73" s="4"/>
      <c r="D73" s="4"/>
      <c r="E73" s="4"/>
      <c r="F73" s="4"/>
      <c r="G73" s="4"/>
      <c r="H73" s="4"/>
      <c r="I73" s="4"/>
      <c r="J73" s="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</row>
    <row r="74" spans="1:44">
      <c r="A74" s="4"/>
      <c r="B74" s="4"/>
      <c r="C74" s="4"/>
      <c r="D74" s="4"/>
      <c r="E74" s="4"/>
      <c r="F74" s="4"/>
      <c r="G74" s="4"/>
      <c r="H74" s="4"/>
      <c r="I74" s="4"/>
      <c r="J74" s="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</row>
    <row r="75" spans="1:44">
      <c r="A75" s="4"/>
      <c r="B75" s="4"/>
      <c r="C75" s="4"/>
      <c r="D75" s="4"/>
      <c r="E75" s="4"/>
      <c r="F75" s="4"/>
      <c r="G75" s="4"/>
      <c r="H75" s="4"/>
      <c r="I75" s="4"/>
      <c r="J75" s="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</row>
    <row r="76" spans="1:44">
      <c r="A76" s="4"/>
      <c r="B76" s="4"/>
      <c r="C76" s="4"/>
      <c r="D76" s="4"/>
      <c r="E76" s="4"/>
      <c r="F76" s="4"/>
      <c r="G76" s="4"/>
      <c r="H76" s="4"/>
      <c r="I76" s="4"/>
      <c r="J76" s="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</row>
    <row r="77" spans="1:44">
      <c r="A77" s="4"/>
      <c r="B77" s="4"/>
      <c r="C77" s="4"/>
      <c r="D77" s="4"/>
      <c r="E77" s="4"/>
      <c r="F77" s="4"/>
      <c r="G77" s="4"/>
      <c r="H77" s="4"/>
      <c r="I77" s="4"/>
      <c r="J77" s="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</row>
    <row r="78" spans="1:44">
      <c r="A78" s="4"/>
      <c r="B78" s="4"/>
      <c r="C78" s="4"/>
      <c r="D78" s="4"/>
      <c r="E78" s="4"/>
      <c r="F78" s="4"/>
      <c r="G78" s="4"/>
      <c r="H78" s="4"/>
      <c r="I78" s="4"/>
      <c r="J78" s="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</row>
    <row r="79" spans="1:44">
      <c r="A79" s="4"/>
      <c r="B79" s="4"/>
      <c r="C79" s="4"/>
      <c r="D79" s="4"/>
      <c r="E79" s="4"/>
      <c r="F79" s="4"/>
      <c r="G79" s="4"/>
      <c r="H79" s="4"/>
      <c r="I79" s="4"/>
      <c r="J79" s="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</row>
    <row r="80" spans="1:44">
      <c r="A80" s="4"/>
      <c r="B80" s="4"/>
      <c r="C80" s="4"/>
      <c r="D80" s="4"/>
      <c r="E80" s="4"/>
      <c r="F80" s="4"/>
      <c r="G80" s="4"/>
      <c r="H80" s="4"/>
      <c r="I80" s="4"/>
      <c r="J80" s="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</row>
    <row r="81" spans="1:44">
      <c r="A81" s="4"/>
      <c r="B81" s="4"/>
      <c r="C81" s="4"/>
      <c r="D81" s="4"/>
      <c r="E81" s="4"/>
      <c r="F81" s="4"/>
      <c r="G81" s="4"/>
      <c r="H81" s="4"/>
      <c r="I81" s="4"/>
      <c r="J81" s="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</row>
    <row r="82" spans="1:44">
      <c r="A82" s="4"/>
      <c r="B82" s="4"/>
      <c r="C82" s="4"/>
      <c r="D82" s="4"/>
      <c r="E82" s="4"/>
      <c r="F82" s="4"/>
      <c r="G82" s="4"/>
      <c r="H82" s="4"/>
      <c r="I82" s="4"/>
      <c r="J82" s="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</row>
    <row r="83" spans="1:44">
      <c r="A83" s="4"/>
      <c r="B83" s="4"/>
      <c r="C83" s="4"/>
      <c r="D83" s="4"/>
      <c r="E83" s="4"/>
      <c r="F83" s="4"/>
      <c r="G83" s="4"/>
      <c r="H83" s="4"/>
      <c r="I83" s="4"/>
      <c r="J83" s="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</row>
    <row r="84" spans="1:44">
      <c r="A84" s="4"/>
      <c r="B84" s="4"/>
      <c r="C84" s="4"/>
      <c r="D84" s="4"/>
      <c r="E84" s="4"/>
      <c r="F84" s="4"/>
      <c r="G84" s="4"/>
      <c r="H84" s="4"/>
      <c r="I84" s="4"/>
      <c r="J84" s="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</row>
    <row r="85" spans="1:44">
      <c r="A85" s="4"/>
      <c r="B85" s="4"/>
      <c r="C85" s="4"/>
      <c r="D85" s="4"/>
      <c r="E85" s="4"/>
      <c r="F85" s="4"/>
      <c r="G85" s="4"/>
      <c r="H85" s="4"/>
      <c r="I85" s="4"/>
      <c r="J85" s="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</row>
    <row r="86" spans="1:44">
      <c r="A86" s="4"/>
      <c r="B86" s="4"/>
      <c r="C86" s="4"/>
      <c r="D86" s="4"/>
      <c r="E86" s="4"/>
      <c r="F86" s="4"/>
      <c r="G86" s="4"/>
      <c r="H86" s="4"/>
      <c r="I86" s="4"/>
      <c r="J86" s="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</row>
    <row r="87" spans="1:44">
      <c r="A87" s="4"/>
      <c r="B87" s="4"/>
      <c r="C87" s="4"/>
      <c r="D87" s="4"/>
      <c r="E87" s="4"/>
      <c r="F87" s="4"/>
      <c r="G87" s="4"/>
      <c r="H87" s="4"/>
      <c r="I87" s="4"/>
      <c r="J87" s="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</row>
    <row r="88" spans="1:44">
      <c r="A88" s="4"/>
      <c r="B88" s="4"/>
      <c r="C88" s="4"/>
      <c r="D88" s="4"/>
      <c r="E88" s="4"/>
      <c r="F88" s="4"/>
      <c r="G88" s="4"/>
      <c r="H88" s="4"/>
      <c r="I88" s="4"/>
      <c r="J88" s="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</row>
    <row r="89" spans="1:44">
      <c r="A89" s="4"/>
      <c r="B89" s="4"/>
      <c r="C89" s="4"/>
      <c r="D89" s="4"/>
      <c r="E89" s="4"/>
      <c r="F89" s="4"/>
      <c r="G89" s="4"/>
      <c r="H89" s="4"/>
      <c r="I89" s="4"/>
      <c r="J89" s="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</row>
    <row r="90" spans="1:44">
      <c r="A90" s="4"/>
      <c r="B90" s="4"/>
      <c r="C90" s="4"/>
      <c r="D90" s="4"/>
      <c r="E90" s="4"/>
      <c r="F90" s="4"/>
      <c r="G90" s="4"/>
      <c r="H90" s="4"/>
      <c r="I90" s="4"/>
      <c r="J90" s="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</row>
    <row r="91" spans="1:44">
      <c r="A91" s="4"/>
      <c r="B91" s="4"/>
      <c r="C91" s="4"/>
      <c r="D91" s="4"/>
      <c r="E91" s="4"/>
      <c r="F91" s="4"/>
      <c r="G91" s="4"/>
      <c r="H91" s="4"/>
      <c r="I91" s="4"/>
      <c r="J91" s="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</row>
    <row r="92" spans="1:44">
      <c r="A92" s="4"/>
      <c r="B92" s="4"/>
      <c r="C92" s="4"/>
      <c r="D92" s="4"/>
      <c r="E92" s="4"/>
      <c r="F92" s="4"/>
      <c r="G92" s="4"/>
      <c r="H92" s="4"/>
      <c r="I92" s="4"/>
      <c r="J92" s="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</row>
    <row r="93" spans="1:44">
      <c r="A93" s="4"/>
      <c r="B93" s="4"/>
      <c r="C93" s="4"/>
      <c r="D93" s="4"/>
      <c r="E93" s="4"/>
      <c r="F93" s="4"/>
      <c r="G93" s="4"/>
      <c r="H93" s="4"/>
      <c r="I93" s="4"/>
      <c r="J93" s="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</row>
    <row r="94" spans="1:44">
      <c r="A94" s="4"/>
      <c r="B94" s="4"/>
      <c r="C94" s="4"/>
      <c r="D94" s="4"/>
      <c r="E94" s="4"/>
      <c r="F94" s="4"/>
      <c r="G94" s="4"/>
      <c r="H94" s="4"/>
      <c r="I94" s="4"/>
      <c r="J94" s="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</row>
    <row r="95" spans="1:44">
      <c r="A95" s="4"/>
      <c r="B95" s="4"/>
      <c r="C95" s="4"/>
      <c r="D95" s="4"/>
      <c r="E95" s="4"/>
      <c r="F95" s="4"/>
      <c r="G95" s="4"/>
      <c r="H95" s="4"/>
      <c r="I95" s="4"/>
      <c r="J95" s="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</row>
    <row r="96" spans="1:44">
      <c r="A96" s="4"/>
      <c r="B96" s="4"/>
      <c r="C96" s="4"/>
      <c r="D96" s="4"/>
      <c r="E96" s="4"/>
      <c r="F96" s="4"/>
      <c r="G96" s="4"/>
      <c r="H96" s="4"/>
      <c r="I96" s="4"/>
      <c r="J96" s="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</row>
    <row r="97" spans="1:44">
      <c r="A97" s="4"/>
      <c r="B97" s="4"/>
      <c r="C97" s="4"/>
      <c r="D97" s="4"/>
      <c r="E97" s="4"/>
      <c r="F97" s="4"/>
      <c r="G97" s="4"/>
      <c r="H97" s="4"/>
      <c r="I97" s="4"/>
      <c r="J97" s="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</row>
    <row r="98" spans="1:44">
      <c r="A98" s="4"/>
      <c r="B98" s="4"/>
      <c r="C98" s="4"/>
      <c r="D98" s="4"/>
      <c r="E98" s="4"/>
      <c r="F98" s="4"/>
      <c r="G98" s="4"/>
      <c r="H98" s="4"/>
      <c r="I98" s="4"/>
      <c r="J98" s="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</row>
    <row r="99" spans="1:44">
      <c r="A99" s="4"/>
      <c r="B99" s="4"/>
      <c r="C99" s="4"/>
      <c r="D99" s="4"/>
      <c r="E99" s="4"/>
      <c r="F99" s="4"/>
      <c r="G99" s="4"/>
      <c r="H99" s="4"/>
      <c r="I99" s="4"/>
      <c r="J99" s="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</row>
    <row r="100" spans="1:4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</row>
    <row r="101" spans="1:4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</row>
    <row r="102" spans="1:4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</row>
    <row r="103" spans="1:4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</row>
    <row r="104" spans="1:4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</row>
    <row r="105" spans="1:4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</row>
    <row r="106" spans="1:4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</row>
    <row r="107" spans="1:4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</row>
    <row r="108" spans="1:4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</row>
    <row r="109" spans="1:4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</row>
    <row r="110" spans="1:4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</row>
    <row r="111" spans="1:4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</row>
    <row r="112" spans="1:4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</row>
    <row r="113" spans="1:4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</row>
    <row r="114" spans="1:4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</row>
    <row r="115" spans="1:4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</row>
    <row r="116" spans="1:4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</row>
    <row r="117" spans="1:4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</row>
    <row r="118" spans="1:4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</row>
    <row r="119" spans="1:4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</row>
    <row r="120" spans="1:4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</row>
    <row r="121" spans="1:4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</row>
    <row r="122" spans="1:4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</row>
    <row r="123" spans="1:4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</row>
    <row r="124" spans="1:4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</row>
    <row r="125" spans="1:4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</row>
    <row r="126" spans="1:4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</row>
    <row r="127" spans="1:4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</row>
    <row r="128" spans="1:4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</row>
    <row r="129" spans="1:4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</row>
    <row r="130" spans="1:4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</row>
    <row r="131" spans="1:4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</row>
    <row r="132" spans="1:4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</row>
    <row r="133" spans="1:4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</row>
    <row r="134" spans="1:4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</row>
    <row r="135" spans="1:4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</row>
    <row r="136" spans="1:4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</row>
    <row r="137" spans="1:4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</row>
    <row r="138" spans="1:4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</row>
    <row r="139" spans="1:4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</row>
    <row r="140" spans="1:4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</row>
    <row r="141" spans="1:4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</row>
    <row r="142" spans="1:4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</row>
    <row r="143" spans="1:4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</row>
    <row r="144" spans="1: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</row>
    <row r="145" spans="1:4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</row>
    <row r="146" spans="1:4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</row>
    <row r="147" spans="1:4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</row>
    <row r="148" spans="1:4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</row>
    <row r="149" spans="1:4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</row>
    <row r="150" spans="1:4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</row>
    <row r="151" spans="1:4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</row>
    <row r="152" spans="1:4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</row>
    <row r="153" spans="1:4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</row>
    <row r="154" spans="1:4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</row>
    <row r="155" spans="1:4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</row>
    <row r="156" spans="1:4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</row>
    <row r="157" spans="1:4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</row>
    <row r="158" spans="1:4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</row>
    <row r="159" spans="1:4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</row>
    <row r="160" spans="1:4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</row>
    <row r="161" spans="1:4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</row>
    <row r="162" spans="1:4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</row>
    <row r="163" spans="1:4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</row>
    <row r="164" spans="1:4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</row>
    <row r="165" spans="1:4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</row>
    <row r="166" spans="1:4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</row>
    <row r="167" spans="1:4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</row>
    <row r="168" spans="1:4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</row>
    <row r="169" spans="1:4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</row>
    <row r="170" spans="1:4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</row>
    <row r="171" spans="1:4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</row>
    <row r="172" spans="1:4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</row>
    <row r="173" spans="1:4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</row>
    <row r="174" spans="1:4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</row>
    <row r="175" spans="1:4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</row>
    <row r="176" spans="1:4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</row>
    <row r="177" spans="1:4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</row>
    <row r="178" spans="1:4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</row>
    <row r="179" spans="1:4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</row>
    <row r="180" spans="1:4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</row>
    <row r="181" spans="1:4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</row>
    <row r="182" spans="1:4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</row>
    <row r="183" spans="1:4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</row>
    <row r="184" spans="1:4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</row>
    <row r="185" spans="1:4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</row>
    <row r="186" spans="1:4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</row>
    <row r="187" spans="1:4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</row>
    <row r="188" spans="1:4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</row>
    <row r="189" spans="1:4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</row>
    <row r="190" spans="1:4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</row>
    <row r="191" spans="1:4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</row>
    <row r="192" spans="1:4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</row>
    <row r="193" spans="1:4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</row>
    <row r="194" spans="1:4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</row>
    <row r="195" spans="1:4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</row>
    <row r="196" spans="1:4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</row>
    <row r="197" spans="1:4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</row>
    <row r="198" spans="1:4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</row>
    <row r="199" spans="1:4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</row>
    <row r="200" spans="1:4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</row>
    <row r="201" spans="1:4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</row>
    <row r="202" spans="1:4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</row>
    <row r="203" spans="1:4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</row>
    <row r="204" spans="1:4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</row>
    <row r="205" spans="1:4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</row>
    <row r="206" spans="1:4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</row>
    <row r="207" spans="1:4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</row>
    <row r="208" spans="1:4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</row>
    <row r="209" spans="1:4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</row>
    <row r="210" spans="1:4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</row>
    <row r="211" spans="1:4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</row>
    <row r="212" spans="1:4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</row>
    <row r="213" spans="1:4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</row>
    <row r="214" spans="1:4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</row>
    <row r="215" spans="1:4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</row>
    <row r="216" spans="1:4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</row>
    <row r="217" spans="1:4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</row>
    <row r="218" spans="1:4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</row>
    <row r="219" spans="1:4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</row>
    <row r="220" spans="1:4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</row>
    <row r="221" spans="1:4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</row>
    <row r="222" spans="1:4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</row>
    <row r="223" spans="1:4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</row>
    <row r="224" spans="1:4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</row>
    <row r="225" spans="1:4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</row>
    <row r="226" spans="1:4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</row>
    <row r="227" spans="1:4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</row>
    <row r="228" spans="1:4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</row>
    <row r="229" spans="1:4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</row>
    <row r="230" spans="1:4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</row>
    <row r="231" spans="1:4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</row>
    <row r="232" spans="1:4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</row>
    <row r="233" spans="1:4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</row>
    <row r="234" spans="1:4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</row>
    <row r="235" spans="1:4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</row>
    <row r="236" spans="1:4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</row>
    <row r="237" spans="1:4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</row>
    <row r="238" spans="1:4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</row>
    <row r="239" spans="1:4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</row>
    <row r="240" spans="1:4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</row>
    <row r="241" spans="1:4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</row>
    <row r="242" spans="1:4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</row>
    <row r="243" spans="1:4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</row>
    <row r="244" spans="1: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</row>
    <row r="245" spans="1:4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</row>
    <row r="246" spans="1:4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</row>
    <row r="247" spans="1:4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</row>
    <row r="248" spans="1:4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</row>
    <row r="249" spans="1:4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</row>
    <row r="250" spans="1:4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</row>
    <row r="251" spans="1:4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</row>
    <row r="252" spans="1:4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</row>
    <row r="253" spans="1:4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</row>
    <row r="254" spans="1:4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</row>
    <row r="255" spans="1:4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</row>
    <row r="256" spans="1:4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</row>
    <row r="257" spans="1:4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</row>
    <row r="258" spans="1:4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</row>
    <row r="259" spans="1:4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</row>
    <row r="260" spans="1:4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</row>
    <row r="261" spans="1:4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</row>
    <row r="262" spans="1:4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</row>
    <row r="263" spans="1:4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</row>
    <row r="264" spans="1:4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</row>
    <row r="265" spans="1:4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</row>
    <row r="266" spans="1:4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</row>
    <row r="267" spans="1:4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</row>
    <row r="268" spans="1:4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</row>
    <row r="269" spans="1:4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</row>
    <row r="270" spans="1:4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</row>
    <row r="271" spans="1:4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</row>
    <row r="272" spans="1:4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</row>
    <row r="273" spans="1:4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</row>
    <row r="274" spans="1:4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</row>
    <row r="275" spans="1:4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</row>
    <row r="276" spans="1:4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</row>
    <row r="277" spans="1:4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</row>
    <row r="278" spans="1:4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</row>
    <row r="279" spans="1:4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</row>
    <row r="280" spans="1:4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</row>
    <row r="281" spans="1:4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</row>
    <row r="282" spans="1:4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</row>
    <row r="283" spans="1:4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</row>
    <row r="284" spans="1:4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</row>
    <row r="285" spans="1:4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</row>
    <row r="286" spans="1:4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</row>
    <row r="287" spans="1:4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</row>
    <row r="288" spans="1:4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</row>
    <row r="289" spans="1:4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</row>
    <row r="290" spans="1:4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</row>
    <row r="291" spans="1:4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</row>
    <row r="292" spans="1:4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</row>
    <row r="293" spans="1:4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</row>
    <row r="294" spans="1:4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</row>
    <row r="295" spans="1:4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</row>
    <row r="296" spans="1:4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</row>
    <row r="297" spans="1:4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</row>
    <row r="298" spans="1:4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</row>
    <row r="299" spans="1:4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</row>
    <row r="300" spans="1:4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</row>
    <row r="301" spans="1:4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</row>
    <row r="302" spans="1:4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</row>
    <row r="303" spans="1:4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</row>
    <row r="304" spans="1:4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</row>
    <row r="305" spans="1:4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</row>
    <row r="306" spans="1:4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</row>
    <row r="307" spans="1:4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</row>
    <row r="308" spans="1:4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</row>
    <row r="309" spans="1:4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</row>
    <row r="310" spans="1:4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</row>
    <row r="311" spans="1:4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</row>
    <row r="312" spans="1:4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</row>
    <row r="313" spans="1:4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</row>
    <row r="314" spans="1:4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</row>
    <row r="315" spans="1:4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</row>
    <row r="316" spans="1:4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</row>
    <row r="317" spans="1:4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</row>
    <row r="318" spans="1:4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</row>
    <row r="319" spans="1:4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</row>
    <row r="320" spans="1:4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</row>
    <row r="321" spans="1:4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</row>
    <row r="322" spans="1:4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</row>
    <row r="323" spans="1:4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</row>
    <row r="324" spans="1:4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</row>
    <row r="325" spans="1:4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</row>
    <row r="326" spans="1:4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</row>
    <row r="327" spans="1:4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</row>
    <row r="328" spans="1:4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</row>
    <row r="329" spans="1:4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</row>
    <row r="330" spans="1:4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</row>
    <row r="331" spans="1:4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</row>
    <row r="332" spans="1:4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</row>
    <row r="333" spans="1:4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</row>
    <row r="334" spans="1:4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</row>
    <row r="335" spans="1:4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</row>
    <row r="336" spans="1:4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</row>
    <row r="337" spans="1:4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</row>
    <row r="338" spans="1:4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</row>
    <row r="339" spans="1:4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</row>
    <row r="340" spans="1:4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</row>
    <row r="341" spans="1:4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</row>
    <row r="342" spans="1:4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</row>
    <row r="343" spans="1:4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</row>
    <row r="344" spans="1: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</row>
    <row r="345" spans="1:4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</row>
    <row r="346" spans="1:4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</row>
    <row r="347" spans="1:4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</row>
    <row r="348" spans="1:4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</row>
    <row r="349" spans="1:4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</row>
    <row r="350" spans="1:4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</row>
    <row r="351" spans="1:4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</row>
    <row r="352" spans="1:4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</row>
    <row r="353" spans="1:4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</row>
    <row r="354" spans="1:4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</row>
    <row r="355" spans="1:4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</row>
    <row r="356" spans="1:4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</row>
    <row r="357" spans="1:4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</row>
    <row r="358" spans="1:4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</row>
    <row r="359" spans="1:4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</row>
    <row r="360" spans="1:4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</row>
    <row r="361" spans="1:4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</row>
    <row r="362" spans="1:4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</row>
    <row r="363" spans="1:4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</row>
    <row r="364" spans="1:4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</row>
    <row r="365" spans="1:4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</row>
    <row r="366" spans="1:4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</row>
    <row r="367" spans="1:4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</row>
    <row r="368" spans="1:4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</row>
    <row r="369" spans="1:4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</row>
    <row r="370" spans="1:4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</row>
  </sheetData>
  <printOptions horizontalCentered="1"/>
  <pageMargins left="0.75" right="0.75" top="1" bottom="1" header="0.5" footer="0.5"/>
  <pageSetup scale="75" firstPageNumber="18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125"/>
  <sheetViews>
    <sheetView zoomScale="75" zoomScaleNormal="25" zoomScaleSheetLayoutView="100" workbookViewId="0">
      <selection activeCell="F28" sqref="F28"/>
    </sheetView>
  </sheetViews>
  <sheetFormatPr defaultRowHeight="13.2"/>
  <cols>
    <col min="1" max="1" width="33.109375" customWidth="1"/>
    <col min="2" max="10" width="12.6640625" customWidth="1"/>
    <col min="11" max="11" width="11.5546875" customWidth="1"/>
    <col min="12" max="12" width="11.5546875" bestFit="1" customWidth="1"/>
    <col min="13" max="13" width="13.44140625" customWidth="1"/>
    <col min="20" max="20" width="10.109375" customWidth="1"/>
    <col min="24" max="24" width="11.5546875" bestFit="1" customWidth="1"/>
    <col min="31" max="33" width="0" hidden="1" customWidth="1"/>
  </cols>
  <sheetData>
    <row r="1" spans="1:33" ht="13.8" thickBot="1">
      <c r="A1" s="251" t="str">
        <f>Scope!A1</f>
        <v>Santee Cooper 5 x LM6000 PC Power Project (236 MW)</v>
      </c>
      <c r="B1" s="90"/>
      <c r="C1" s="90"/>
      <c r="D1" s="90"/>
      <c r="E1" s="90"/>
      <c r="F1" s="90"/>
      <c r="G1" s="90"/>
      <c r="H1" s="90"/>
      <c r="AE1" s="228"/>
      <c r="AF1" s="228"/>
      <c r="AG1" s="228"/>
    </row>
    <row r="2" spans="1:33" ht="15.6">
      <c r="A2" s="136" t="s">
        <v>213</v>
      </c>
      <c r="B2" s="90"/>
      <c r="C2" s="90"/>
      <c r="D2" s="90"/>
      <c r="E2" s="90"/>
      <c r="F2" s="90"/>
      <c r="G2" s="90"/>
      <c r="H2" s="90"/>
      <c r="AE2" s="641" t="s">
        <v>674</v>
      </c>
      <c r="AF2" s="642"/>
      <c r="AG2" s="643"/>
    </row>
    <row r="3" spans="1:33" ht="15.6">
      <c r="B3" s="188"/>
      <c r="AE3" s="352" t="s">
        <v>382</v>
      </c>
      <c r="AF3" s="234" t="s">
        <v>679</v>
      </c>
      <c r="AG3" s="353" t="s">
        <v>680</v>
      </c>
    </row>
    <row r="4" spans="1:33">
      <c r="B4" s="354" t="s">
        <v>681</v>
      </c>
      <c r="C4" s="354" t="s">
        <v>682</v>
      </c>
      <c r="D4" s="354" t="s">
        <v>682</v>
      </c>
      <c r="E4" s="354" t="s">
        <v>179</v>
      </c>
      <c r="F4" s="354" t="s">
        <v>1074</v>
      </c>
      <c r="G4" s="354" t="s">
        <v>362</v>
      </c>
      <c r="H4" s="355" t="s">
        <v>362</v>
      </c>
      <c r="AE4" s="352"/>
      <c r="AF4" s="234"/>
      <c r="AG4" s="353"/>
    </row>
    <row r="5" spans="1:33">
      <c r="B5" s="360"/>
      <c r="C5" s="360" t="s">
        <v>179</v>
      </c>
      <c r="D5" s="360" t="s">
        <v>1074</v>
      </c>
      <c r="E5" s="360" t="s">
        <v>685</v>
      </c>
      <c r="F5" s="360" t="s">
        <v>685</v>
      </c>
      <c r="G5" s="360" t="s">
        <v>686</v>
      </c>
      <c r="H5" s="224" t="s">
        <v>686</v>
      </c>
      <c r="AE5" s="352"/>
      <c r="AF5" s="234"/>
      <c r="AG5" s="353"/>
    </row>
    <row r="6" spans="1:33">
      <c r="A6" s="336"/>
      <c r="B6" s="361"/>
      <c r="C6" s="361" t="s">
        <v>688</v>
      </c>
      <c r="D6" s="361" t="s">
        <v>688</v>
      </c>
      <c r="E6" s="362" t="s">
        <v>689</v>
      </c>
      <c r="F6" s="362" t="s">
        <v>689</v>
      </c>
      <c r="G6" s="363" t="s">
        <v>690</v>
      </c>
      <c r="H6" s="364" t="s">
        <v>691</v>
      </c>
      <c r="AE6" s="352"/>
      <c r="AF6" s="234"/>
      <c r="AG6" s="353"/>
    </row>
    <row r="7" spans="1:33" hidden="1">
      <c r="H7" s="355"/>
      <c r="AE7" s="352"/>
      <c r="AF7" s="234"/>
      <c r="AG7" s="353"/>
    </row>
    <row r="8" spans="1:33" hidden="1">
      <c r="H8" s="224"/>
      <c r="AE8" s="369"/>
      <c r="AF8" s="367"/>
      <c r="AG8" s="368"/>
    </row>
    <row r="9" spans="1:33">
      <c r="B9" s="234"/>
      <c r="C9" s="234"/>
      <c r="D9" s="234"/>
      <c r="E9" s="234"/>
      <c r="F9" s="234"/>
      <c r="G9" s="234"/>
      <c r="H9" s="224"/>
    </row>
    <row r="10" spans="1:33">
      <c r="A10" s="375" t="s">
        <v>752</v>
      </c>
      <c r="B10" s="234"/>
      <c r="C10" s="234"/>
      <c r="D10" s="234"/>
      <c r="E10" s="234"/>
      <c r="F10" s="234"/>
      <c r="G10" s="234"/>
      <c r="H10" s="355"/>
    </row>
    <row r="11" spans="1:33">
      <c r="A11" s="370" t="str">
        <f>MobStaff!$A$46</f>
        <v>PLANT MANAGER</v>
      </c>
      <c r="B11" s="371">
        <v>1</v>
      </c>
      <c r="C11" s="372">
        <f>$I$29</f>
        <v>68.573643923076915</v>
      </c>
      <c r="D11" s="372" t="str">
        <f>$I$48</f>
        <v>n/a</v>
      </c>
      <c r="E11" s="371">
        <v>2080</v>
      </c>
      <c r="F11" s="234"/>
      <c r="G11" s="373">
        <f>B11*C11*E11</f>
        <v>142633.17935999998</v>
      </c>
      <c r="H11" s="224"/>
    </row>
    <row r="12" spans="1:33" hidden="1">
      <c r="A12" s="370" t="str">
        <f>MobStaff!$A$49</f>
        <v>CLERK</v>
      </c>
      <c r="B12" s="371">
        <v>0</v>
      </c>
      <c r="C12" s="372">
        <f>$I$35</f>
        <v>33.611461153846143</v>
      </c>
      <c r="D12" s="372">
        <f>$I$54</f>
        <v>44.94305769230769</v>
      </c>
      <c r="E12" s="234">
        <f>$C$124</f>
        <v>2080</v>
      </c>
      <c r="F12" s="234">
        <v>50</v>
      </c>
      <c r="G12" s="373">
        <f>B12*((C12*E12)+(D12*F12))</f>
        <v>0</v>
      </c>
      <c r="H12" s="224"/>
    </row>
    <row r="13" spans="1:33" hidden="1">
      <c r="A13" s="370" t="str">
        <f>MobStaff!A51</f>
        <v>PLANT SUPERVISOR</v>
      </c>
      <c r="B13" s="371">
        <v>0</v>
      </c>
      <c r="C13" s="372">
        <f>$I$34</f>
        <v>40.51007653846154</v>
      </c>
      <c r="D13" s="372" t="str">
        <f>$I$53</f>
        <v>n/a</v>
      </c>
      <c r="E13" s="371">
        <v>2080</v>
      </c>
      <c r="F13" s="234"/>
      <c r="G13" s="373">
        <f>B13*C13*E13</f>
        <v>0</v>
      </c>
      <c r="H13" s="224"/>
    </row>
    <row r="14" spans="1:33">
      <c r="A14" s="370" t="str">
        <f>MobStaff!A52</f>
        <v>TECHNICIAN III</v>
      </c>
      <c r="B14" s="371">
        <v>2</v>
      </c>
      <c r="C14" s="372">
        <f>$I$35</f>
        <v>33.611461153846143</v>
      </c>
      <c r="D14" s="372">
        <f>$I$54</f>
        <v>44.94305769230769</v>
      </c>
      <c r="E14" s="234">
        <f>$C$124</f>
        <v>2080</v>
      </c>
      <c r="F14" s="234">
        <f>$C$125</f>
        <v>120</v>
      </c>
      <c r="G14" s="373">
        <f>B14*((C14*E14)+(D14*F14))</f>
        <v>150610.01224615378</v>
      </c>
      <c r="H14" s="224"/>
    </row>
    <row r="15" spans="1:33">
      <c r="A15" s="370" t="s">
        <v>796</v>
      </c>
      <c r="B15" s="371">
        <v>3</v>
      </c>
      <c r="C15" s="372">
        <f>$G$66</f>
        <v>52.222222222222221</v>
      </c>
      <c r="D15" s="372"/>
      <c r="E15" s="371">
        <v>720</v>
      </c>
      <c r="F15" s="234"/>
      <c r="G15" s="373">
        <f>B15*((C15*E15)+(D15*F15))</f>
        <v>112800</v>
      </c>
      <c r="H15" s="374">
        <f>SUM(G11:G15)</f>
        <v>406043.19160615373</v>
      </c>
    </row>
    <row r="16" spans="1:33">
      <c r="A16" s="205"/>
      <c r="B16" s="205"/>
    </row>
    <row r="17" spans="1:11">
      <c r="A17" s="205" t="s">
        <v>719</v>
      </c>
      <c r="B17" s="234">
        <f>SUM(B11:B15)</f>
        <v>6</v>
      </c>
      <c r="D17" t="s">
        <v>720</v>
      </c>
      <c r="G17" s="381">
        <f>SUM(G9:G15)</f>
        <v>406043.19160615373</v>
      </c>
      <c r="H17" s="381"/>
    </row>
    <row r="20" spans="1:11" ht="15.6">
      <c r="A20" s="382" t="s">
        <v>721</v>
      </c>
      <c r="B20" s="186"/>
      <c r="C20" s="186"/>
      <c r="D20" s="186"/>
      <c r="E20" s="3"/>
      <c r="F20" s="186"/>
      <c r="G20" s="186"/>
      <c r="H20" s="3"/>
    </row>
    <row r="21" spans="1:11" ht="15.6">
      <c r="A21" s="382" t="s">
        <v>1191</v>
      </c>
      <c r="B21" s="186"/>
      <c r="C21" s="186"/>
      <c r="D21" s="186"/>
      <c r="E21" s="3"/>
      <c r="F21" s="186"/>
      <c r="G21" s="186"/>
      <c r="H21" s="186"/>
    </row>
    <row r="22" spans="1:11">
      <c r="A22" s="383"/>
      <c r="B22" s="383"/>
      <c r="C22" s="383"/>
      <c r="D22" s="383"/>
      <c r="E22" s="384"/>
      <c r="F22" s="383"/>
      <c r="G22" s="187"/>
      <c r="H22" s="187"/>
    </row>
    <row r="23" spans="1:11">
      <c r="A23" s="385"/>
      <c r="B23" s="386"/>
      <c r="C23" s="387"/>
      <c r="D23" s="387"/>
      <c r="E23" s="387"/>
      <c r="F23" s="387"/>
      <c r="G23" s="388"/>
      <c r="H23" s="355"/>
      <c r="I23" s="389"/>
      <c r="J23" s="355"/>
      <c r="K23" t="s">
        <v>723</v>
      </c>
    </row>
    <row r="24" spans="1:11">
      <c r="A24" s="390"/>
      <c r="B24" s="391" t="s">
        <v>724</v>
      </c>
      <c r="C24" s="392" t="s">
        <v>725</v>
      </c>
      <c r="D24" s="392" t="s">
        <v>726</v>
      </c>
      <c r="E24" s="392"/>
      <c r="F24" s="391" t="s">
        <v>727</v>
      </c>
      <c r="G24" s="393" t="s">
        <v>728</v>
      </c>
      <c r="H24" s="224"/>
      <c r="I24" s="394"/>
      <c r="J24" s="224"/>
      <c r="K24" t="s">
        <v>729</v>
      </c>
    </row>
    <row r="25" spans="1:11">
      <c r="A25" s="390" t="s">
        <v>730</v>
      </c>
      <c r="B25" s="391" t="s">
        <v>731</v>
      </c>
      <c r="C25" s="395" t="s">
        <v>984</v>
      </c>
      <c r="D25" s="395" t="s">
        <v>732</v>
      </c>
      <c r="E25" s="395" t="s">
        <v>733</v>
      </c>
      <c r="F25" s="391" t="s">
        <v>734</v>
      </c>
      <c r="G25" s="396" t="s">
        <v>735</v>
      </c>
      <c r="H25" s="397" t="s">
        <v>736</v>
      </c>
      <c r="I25" s="394" t="s">
        <v>682</v>
      </c>
      <c r="J25" s="436" t="s">
        <v>737</v>
      </c>
      <c r="K25" t="s">
        <v>738</v>
      </c>
    </row>
    <row r="26" spans="1:11">
      <c r="A26" s="390" t="s">
        <v>739</v>
      </c>
      <c r="B26" s="391" t="s">
        <v>740</v>
      </c>
      <c r="C26" s="391" t="s">
        <v>741</v>
      </c>
      <c r="D26" s="391" t="s">
        <v>734</v>
      </c>
      <c r="E26" s="391" t="s">
        <v>742</v>
      </c>
      <c r="F26" s="391" t="s">
        <v>743</v>
      </c>
      <c r="G26" s="393" t="s">
        <v>734</v>
      </c>
      <c r="H26" s="224"/>
      <c r="I26" s="394" t="s">
        <v>362</v>
      </c>
      <c r="J26" s="436" t="s">
        <v>252</v>
      </c>
      <c r="K26" t="s">
        <v>744</v>
      </c>
    </row>
    <row r="27" spans="1:11">
      <c r="A27" s="390"/>
      <c r="B27" s="391"/>
      <c r="C27" s="398">
        <f>[1]MobStaff!C44</f>
        <v>0.1434</v>
      </c>
      <c r="D27" s="398">
        <f>[1]MobStaff!D44</f>
        <v>7.7799999999999994E-2</v>
      </c>
      <c r="E27" s="398">
        <v>0.15</v>
      </c>
      <c r="F27" s="399">
        <f>[1]MobStaff!F44</f>
        <v>440.66</v>
      </c>
      <c r="G27" s="400">
        <f>[1]MobStaff!G44</f>
        <v>0.01</v>
      </c>
      <c r="H27" s="401">
        <f>[1]MobStaff!H44</f>
        <v>0.05</v>
      </c>
      <c r="I27" s="402"/>
      <c r="J27" s="358" t="s">
        <v>367</v>
      </c>
    </row>
    <row r="28" spans="1:11" ht="15.6">
      <c r="A28" s="403" t="s">
        <v>1069</v>
      </c>
      <c r="B28" s="404"/>
      <c r="C28" s="404"/>
      <c r="D28" s="405"/>
      <c r="E28" s="405"/>
      <c r="F28" s="404"/>
      <c r="G28" s="405"/>
      <c r="H28" s="205"/>
      <c r="I28" s="405"/>
      <c r="J28" s="205"/>
    </row>
    <row r="29" spans="1:11">
      <c r="A29" s="348" t="str">
        <f>MobStaff!A46</f>
        <v>PLANT MANAGER</v>
      </c>
      <c r="B29" s="407">
        <v>46</v>
      </c>
      <c r="C29" s="408">
        <f t="shared" ref="C29:E32" si="0">$B29*C$27</f>
        <v>6.5964</v>
      </c>
      <c r="D29" s="408">
        <f t="shared" si="0"/>
        <v>3.5787999999999998</v>
      </c>
      <c r="E29" s="408">
        <f t="shared" si="0"/>
        <v>6.8999999999999995</v>
      </c>
      <c r="F29" s="408">
        <f>$F$27*12/2080</f>
        <v>2.5422692307692309</v>
      </c>
      <c r="G29" s="408">
        <f>SUM(B29:F29)*G$27</f>
        <v>0.65617469230769232</v>
      </c>
      <c r="H29" s="408">
        <f>$B29*H$27</f>
        <v>2.3000000000000003</v>
      </c>
      <c r="I29" s="408">
        <f>SUM(B29:H29)</f>
        <v>68.573643923076915</v>
      </c>
      <c r="J29" s="409">
        <f>B29*2080</f>
        <v>95680</v>
      </c>
      <c r="K29" s="226">
        <f>I29/B29</f>
        <v>1.4907313896321068</v>
      </c>
    </row>
    <row r="30" spans="1:11" hidden="1">
      <c r="A30" s="348" t="str">
        <f>MobStaff!A47</f>
        <v>MAINTENANCE MANAGER</v>
      </c>
      <c r="B30" s="407">
        <f>[1]MobStaff!B47</f>
        <v>38.46153846153846</v>
      </c>
      <c r="C30" s="408">
        <f t="shared" si="0"/>
        <v>5.5153846153846153</v>
      </c>
      <c r="D30" s="408">
        <f t="shared" si="0"/>
        <v>2.9923076923076919</v>
      </c>
      <c r="E30" s="408">
        <f t="shared" si="0"/>
        <v>5.7692307692307692</v>
      </c>
      <c r="F30" s="408">
        <f>$F$27*12/2080</f>
        <v>2.5422692307692309</v>
      </c>
      <c r="G30" s="408">
        <f>SUM(B30:F30)*G$27</f>
        <v>0.55280730769230757</v>
      </c>
      <c r="H30" s="408">
        <f>$B30*H$27</f>
        <v>1.9230769230769231</v>
      </c>
      <c r="I30" s="408">
        <f>SUM(B30:H30)</f>
        <v>57.756614999999982</v>
      </c>
      <c r="J30" s="409">
        <f>B30*2080</f>
        <v>80000</v>
      </c>
      <c r="K30" s="226"/>
    </row>
    <row r="31" spans="1:11" hidden="1">
      <c r="A31" s="348" t="str">
        <f>MobStaff!A48</f>
        <v xml:space="preserve">PURCHASING / WAREHOUSE </v>
      </c>
      <c r="B31" s="407">
        <f>[1]MobStaff!B48</f>
        <v>25</v>
      </c>
      <c r="C31" s="408">
        <f t="shared" si="0"/>
        <v>3.585</v>
      </c>
      <c r="D31" s="408">
        <f t="shared" si="0"/>
        <v>1.9449999999999998</v>
      </c>
      <c r="E31" s="408">
        <f t="shared" si="0"/>
        <v>3.75</v>
      </c>
      <c r="F31" s="408">
        <f>$F$27*12/2080</f>
        <v>2.5422692307692309</v>
      </c>
      <c r="G31" s="408">
        <f>SUM(B31:F31)*G$27</f>
        <v>0.36822269230769228</v>
      </c>
      <c r="H31" s="408">
        <f>$B31*H$27</f>
        <v>1.25</v>
      </c>
      <c r="I31" s="408">
        <f>SUM(B31:H31)</f>
        <v>38.44049192307692</v>
      </c>
      <c r="J31" s="409">
        <f>B31*2080</f>
        <v>52000</v>
      </c>
      <c r="K31" s="226">
        <f>I31/B31</f>
        <v>1.5376196769230768</v>
      </c>
    </row>
    <row r="32" spans="1:11" hidden="1">
      <c r="A32" s="348" t="str">
        <f>MobStaff!A49</f>
        <v>CLERK</v>
      </c>
      <c r="B32" s="407">
        <f>[1]MobStaff!B49</f>
        <v>12.25</v>
      </c>
      <c r="C32" s="408">
        <f t="shared" si="0"/>
        <v>1.75665</v>
      </c>
      <c r="D32" s="408">
        <f t="shared" si="0"/>
        <v>0.95304999999999995</v>
      </c>
      <c r="E32" s="408">
        <f t="shared" si="0"/>
        <v>1.8374999999999999</v>
      </c>
      <c r="F32" s="408">
        <f>$F$27*12/2080</f>
        <v>2.5422692307692309</v>
      </c>
      <c r="G32" s="408">
        <f>SUM(B32:F32)*G$27</f>
        <v>0.19339469230769232</v>
      </c>
      <c r="H32" s="408">
        <f>$B32*H$27</f>
        <v>0.61250000000000004</v>
      </c>
      <c r="I32" s="408">
        <f>SUM(B32:H32)</f>
        <v>20.145363923076925</v>
      </c>
      <c r="J32" s="409">
        <f>B32*2080</f>
        <v>25480</v>
      </c>
      <c r="K32" s="226">
        <f>I32/B32</f>
        <v>1.644519503924647</v>
      </c>
    </row>
    <row r="33" spans="1:11" ht="15.6">
      <c r="A33" s="403" t="str">
        <f>MobStaff!A50</f>
        <v>Operations &amp; Maint.</v>
      </c>
      <c r="B33" s="410"/>
      <c r="C33" s="244"/>
      <c r="D33" s="244"/>
      <c r="E33" s="244"/>
      <c r="F33" s="244"/>
      <c r="G33" s="244"/>
      <c r="H33" s="244"/>
      <c r="I33" s="244"/>
      <c r="J33" s="244"/>
      <c r="K33" s="226"/>
    </row>
    <row r="34" spans="1:11" ht="12.75" hidden="1" customHeight="1">
      <c r="A34" s="348" t="str">
        <f>MobStaff!A51</f>
        <v>PLANT SUPERVISOR</v>
      </c>
      <c r="B34" s="407">
        <f>[1]MobStaff!B51</f>
        <v>26.442307692307693</v>
      </c>
      <c r="C34" s="408">
        <f t="shared" ref="C34:E36" si="1">$B34*C$27</f>
        <v>3.7918269230769233</v>
      </c>
      <c r="D34" s="408">
        <f t="shared" si="1"/>
        <v>2.0572115384615386</v>
      </c>
      <c r="E34" s="408">
        <f t="shared" si="1"/>
        <v>3.9663461538461537</v>
      </c>
      <c r="F34" s="408">
        <f>$F$27*12/2080</f>
        <v>2.5422692307692309</v>
      </c>
      <c r="G34" s="408">
        <f>SUM(B34:F34)*G$27</f>
        <v>0.38799961538461541</v>
      </c>
      <c r="H34" s="408">
        <f>$B34*H$27</f>
        <v>1.3221153846153848</v>
      </c>
      <c r="I34" s="408">
        <f>SUM(B34:H34)</f>
        <v>40.51007653846154</v>
      </c>
      <c r="J34" s="409">
        <f>B34*2080</f>
        <v>55000</v>
      </c>
      <c r="K34" s="226"/>
    </row>
    <row r="35" spans="1:11">
      <c r="A35" s="348" t="str">
        <f>MobStaff!A52</f>
        <v>TECHNICIAN III</v>
      </c>
      <c r="B35" s="407">
        <f>MobStaff!B52</f>
        <v>21.634615384615383</v>
      </c>
      <c r="C35" s="408">
        <f t="shared" si="1"/>
        <v>3.1024038461538459</v>
      </c>
      <c r="D35" s="408">
        <f t="shared" si="1"/>
        <v>1.6831730769230766</v>
      </c>
      <c r="E35" s="408">
        <f t="shared" si="1"/>
        <v>3.2451923076923075</v>
      </c>
      <c r="F35" s="408">
        <f>$F$27*12/2080</f>
        <v>2.5422692307692309</v>
      </c>
      <c r="G35" s="408">
        <f>SUM(B35:F35)*G$27</f>
        <v>0.32207653846153839</v>
      </c>
      <c r="H35" s="408">
        <f>$B35*H$27</f>
        <v>1.0817307692307692</v>
      </c>
      <c r="I35" s="408">
        <f>SUM(B35:H35)</f>
        <v>33.611461153846143</v>
      </c>
      <c r="J35" s="409">
        <f>B35*2080</f>
        <v>45000</v>
      </c>
      <c r="K35" s="226"/>
    </row>
    <row r="36" spans="1:11" hidden="1">
      <c r="A36" s="348" t="str">
        <f>MobStaff!A53</f>
        <v>TECHNICIAN II</v>
      </c>
      <c r="B36" s="407">
        <f>MobStaff!B53</f>
        <v>16</v>
      </c>
      <c r="C36" s="408">
        <f t="shared" si="1"/>
        <v>2.2944</v>
      </c>
      <c r="D36" s="408">
        <f t="shared" si="1"/>
        <v>1.2447999999999999</v>
      </c>
      <c r="E36" s="408">
        <f t="shared" si="1"/>
        <v>2.4</v>
      </c>
      <c r="F36" s="408">
        <f>$F$27*12/2080</f>
        <v>2.5422692307692309</v>
      </c>
      <c r="G36" s="408">
        <f>SUM(B36:F36)*G$27</f>
        <v>0.24481469230769232</v>
      </c>
      <c r="H36" s="408">
        <f>$B36*H$27</f>
        <v>0.8</v>
      </c>
      <c r="I36" s="408">
        <f>SUM(B36:H36)</f>
        <v>25.526283923076925</v>
      </c>
      <c r="J36" s="409">
        <f>B36*2080</f>
        <v>33280</v>
      </c>
      <c r="K36" s="226">
        <f>I36/B36</f>
        <v>1.5953927451923078</v>
      </c>
    </row>
    <row r="39" spans="1:11" ht="15.6">
      <c r="A39" s="382" t="s">
        <v>750</v>
      </c>
      <c r="B39" s="186"/>
      <c r="C39" s="186"/>
      <c r="D39" s="186"/>
      <c r="E39" s="3"/>
      <c r="F39" s="186"/>
      <c r="H39" s="186"/>
      <c r="I39" s="3"/>
    </row>
    <row r="40" spans="1:11" ht="15.6">
      <c r="A40" s="382" t="s">
        <v>1191</v>
      </c>
      <c r="B40" s="186"/>
      <c r="C40" s="186"/>
      <c r="D40" s="186"/>
      <c r="E40" s="3"/>
      <c r="F40" s="186"/>
      <c r="H40" s="186"/>
      <c r="I40" s="186"/>
    </row>
    <row r="41" spans="1:11">
      <c r="A41" s="383"/>
      <c r="B41" s="383"/>
      <c r="C41" s="383"/>
      <c r="D41" s="383"/>
      <c r="E41" s="384"/>
      <c r="F41" s="383"/>
      <c r="H41" s="187"/>
      <c r="I41" s="187"/>
    </row>
    <row r="42" spans="1:11">
      <c r="A42" s="385"/>
      <c r="B42" s="386"/>
      <c r="C42" s="387"/>
      <c r="D42" s="387"/>
      <c r="E42" s="387"/>
      <c r="F42" s="387"/>
      <c r="G42" s="388"/>
      <c r="H42" s="355"/>
      <c r="I42" s="389"/>
    </row>
    <row r="43" spans="1:11">
      <c r="A43" s="390"/>
      <c r="B43" s="391" t="s">
        <v>724</v>
      </c>
      <c r="C43" s="392" t="s">
        <v>725</v>
      </c>
      <c r="D43" s="392" t="s">
        <v>726</v>
      </c>
      <c r="E43" s="392"/>
      <c r="F43" s="391" t="s">
        <v>727</v>
      </c>
      <c r="G43" s="393" t="s">
        <v>728</v>
      </c>
      <c r="H43" s="224"/>
      <c r="I43" s="394"/>
    </row>
    <row r="44" spans="1:11">
      <c r="A44" s="390" t="s">
        <v>730</v>
      </c>
      <c r="B44" s="391" t="s">
        <v>731</v>
      </c>
      <c r="C44" s="395" t="s">
        <v>984</v>
      </c>
      <c r="D44" s="395" t="s">
        <v>732</v>
      </c>
      <c r="E44" s="395" t="s">
        <v>733</v>
      </c>
      <c r="F44" s="391" t="s">
        <v>734</v>
      </c>
      <c r="G44" s="396" t="s">
        <v>735</v>
      </c>
      <c r="H44" s="397" t="s">
        <v>736</v>
      </c>
      <c r="I44" s="394" t="s">
        <v>682</v>
      </c>
    </row>
    <row r="45" spans="1:11">
      <c r="A45" s="390" t="s">
        <v>739</v>
      </c>
      <c r="B45" s="391" t="s">
        <v>740</v>
      </c>
      <c r="C45" s="391" t="s">
        <v>741</v>
      </c>
      <c r="D45" s="391" t="s">
        <v>734</v>
      </c>
      <c r="E45" s="391" t="s">
        <v>742</v>
      </c>
      <c r="F45" s="391" t="s">
        <v>743</v>
      </c>
      <c r="G45" s="393" t="s">
        <v>734</v>
      </c>
      <c r="H45" s="224"/>
      <c r="I45" s="394" t="s">
        <v>362</v>
      </c>
    </row>
    <row r="46" spans="1:11">
      <c r="A46" s="390"/>
      <c r="B46" s="391"/>
      <c r="C46" s="398">
        <f>C$27</f>
        <v>0.1434</v>
      </c>
      <c r="D46" s="398">
        <f>D$27</f>
        <v>7.7799999999999994E-2</v>
      </c>
      <c r="E46" s="398">
        <f>E$27</f>
        <v>0.15</v>
      </c>
      <c r="F46" s="413">
        <f>[1]MobStaff!F62</f>
        <v>0</v>
      </c>
      <c r="G46" s="398">
        <f>G$27</f>
        <v>0.01</v>
      </c>
      <c r="H46" s="401">
        <f>[1]MobStaff!H62</f>
        <v>0</v>
      </c>
      <c r="I46" s="402"/>
    </row>
    <row r="47" spans="1:11" ht="15.6">
      <c r="A47" s="403" t="s">
        <v>1069</v>
      </c>
      <c r="B47" s="404"/>
      <c r="C47" s="404"/>
      <c r="D47" s="405"/>
      <c r="E47" s="405"/>
      <c r="F47" s="404"/>
      <c r="G47" s="405"/>
      <c r="H47" s="205"/>
      <c r="I47" s="405"/>
    </row>
    <row r="48" spans="1:11">
      <c r="A48" s="348" t="str">
        <f t="shared" ref="A48:A55" si="2">A29</f>
        <v>PLANT MANAGER</v>
      </c>
      <c r="B48" s="407" t="s">
        <v>751</v>
      </c>
      <c r="C48" s="407" t="s">
        <v>751</v>
      </c>
      <c r="D48" s="407" t="s">
        <v>751</v>
      </c>
      <c r="E48" s="407" t="s">
        <v>751</v>
      </c>
      <c r="F48" s="407" t="s">
        <v>751</v>
      </c>
      <c r="G48" s="407" t="s">
        <v>751</v>
      </c>
      <c r="H48" s="407" t="s">
        <v>751</v>
      </c>
      <c r="I48" s="407" t="s">
        <v>751</v>
      </c>
    </row>
    <row r="49" spans="1:9" hidden="1">
      <c r="A49" s="348" t="str">
        <f t="shared" si="2"/>
        <v>MAINTENANCE MANAGER</v>
      </c>
      <c r="B49" s="407" t="s">
        <v>751</v>
      </c>
      <c r="C49" s="407" t="s">
        <v>751</v>
      </c>
      <c r="D49" s="407" t="s">
        <v>751</v>
      </c>
      <c r="E49" s="407" t="s">
        <v>751</v>
      </c>
      <c r="F49" s="407" t="s">
        <v>751</v>
      </c>
      <c r="G49" s="407" t="s">
        <v>751</v>
      </c>
      <c r="H49" s="407" t="s">
        <v>751</v>
      </c>
      <c r="I49" s="407" t="s">
        <v>751</v>
      </c>
    </row>
    <row r="50" spans="1:9" hidden="1">
      <c r="A50" s="348" t="str">
        <f t="shared" si="2"/>
        <v xml:space="preserve">PURCHASING / WAREHOUSE </v>
      </c>
      <c r="B50" s="407" t="s">
        <v>751</v>
      </c>
      <c r="C50" s="407" t="s">
        <v>751</v>
      </c>
      <c r="D50" s="407" t="s">
        <v>751</v>
      </c>
      <c r="E50" s="407" t="s">
        <v>751</v>
      </c>
      <c r="F50" s="407" t="s">
        <v>751</v>
      </c>
      <c r="G50" s="407" t="s">
        <v>751</v>
      </c>
      <c r="H50" s="407" t="s">
        <v>751</v>
      </c>
      <c r="I50" s="407" t="s">
        <v>751</v>
      </c>
    </row>
    <row r="51" spans="1:9" hidden="1">
      <c r="A51" s="348" t="str">
        <f t="shared" si="2"/>
        <v>CLERK</v>
      </c>
      <c r="B51" s="407">
        <f>B32*1.5</f>
        <v>18.375</v>
      </c>
      <c r="C51" s="408">
        <f>$B51*C$46</f>
        <v>2.6349749999999998</v>
      </c>
      <c r="D51" s="408">
        <f>$B51*D$46</f>
        <v>1.4295749999999998</v>
      </c>
      <c r="E51" s="408">
        <f>$B51*E$46</f>
        <v>2.7562500000000001</v>
      </c>
      <c r="F51" s="408">
        <f>$F$46*12/2080</f>
        <v>0</v>
      </c>
      <c r="G51" s="408">
        <f>SUM(B51:F51)*G$46</f>
        <v>0.25195800000000002</v>
      </c>
      <c r="H51" s="408">
        <f>$B51*H$46</f>
        <v>0</v>
      </c>
      <c r="I51" s="408">
        <f>SUM(B51:H51)</f>
        <v>25.447758</v>
      </c>
    </row>
    <row r="52" spans="1:9" ht="15.6">
      <c r="A52" s="403" t="str">
        <f t="shared" si="2"/>
        <v>Operations &amp; Maint.</v>
      </c>
      <c r="B52" s="414"/>
      <c r="C52" s="415"/>
      <c r="D52" s="415"/>
      <c r="E52" s="415"/>
      <c r="F52" s="415"/>
      <c r="G52" s="415"/>
      <c r="H52" s="415"/>
      <c r="I52" s="415"/>
    </row>
    <row r="53" spans="1:9" hidden="1">
      <c r="A53" s="348" t="str">
        <f t="shared" si="2"/>
        <v>PLANT SUPERVISOR</v>
      </c>
      <c r="B53" s="407" t="s">
        <v>751</v>
      </c>
      <c r="C53" s="407" t="s">
        <v>751</v>
      </c>
      <c r="D53" s="407" t="s">
        <v>751</v>
      </c>
      <c r="E53" s="407" t="s">
        <v>751</v>
      </c>
      <c r="F53" s="407" t="s">
        <v>751</v>
      </c>
      <c r="G53" s="407" t="s">
        <v>751</v>
      </c>
      <c r="H53" s="407" t="s">
        <v>751</v>
      </c>
      <c r="I53" s="407" t="s">
        <v>751</v>
      </c>
    </row>
    <row r="54" spans="1:9">
      <c r="A54" s="348" t="str">
        <f t="shared" si="2"/>
        <v>TECHNICIAN III</v>
      </c>
      <c r="B54" s="407">
        <f>B35*1.5</f>
        <v>32.451923076923073</v>
      </c>
      <c r="C54" s="408">
        <f t="shared" ref="C54:E55" si="3">$B54*C$46</f>
        <v>4.6536057692307686</v>
      </c>
      <c r="D54" s="408">
        <f t="shared" si="3"/>
        <v>2.5247596153846148</v>
      </c>
      <c r="E54" s="408">
        <f t="shared" si="3"/>
        <v>4.8677884615384608</v>
      </c>
      <c r="F54" s="408">
        <f>$F$46*12/2080</f>
        <v>0</v>
      </c>
      <c r="G54" s="408">
        <f>SUM(B54:F54)*G$46</f>
        <v>0.44498076923076924</v>
      </c>
      <c r="H54" s="408">
        <f>$B54*H$46</f>
        <v>0</v>
      </c>
      <c r="I54" s="408">
        <f>SUM(B54:H54)</f>
        <v>44.94305769230769</v>
      </c>
    </row>
    <row r="55" spans="1:9" hidden="1">
      <c r="A55" s="348" t="str">
        <f t="shared" si="2"/>
        <v>TECHNICIAN II</v>
      </c>
      <c r="B55" s="407">
        <f>B36*1.5</f>
        <v>24</v>
      </c>
      <c r="C55" s="408">
        <f t="shared" si="3"/>
        <v>3.4416000000000002</v>
      </c>
      <c r="D55" s="408">
        <f t="shared" si="3"/>
        <v>1.8672</v>
      </c>
      <c r="E55" s="408">
        <f t="shared" si="3"/>
        <v>3.5999999999999996</v>
      </c>
      <c r="F55" s="408">
        <f>$F$46*12/2080</f>
        <v>0</v>
      </c>
      <c r="G55" s="408">
        <f>SUM(B55:F55)*G$46</f>
        <v>0.32908799999999999</v>
      </c>
      <c r="H55" s="408">
        <f>$B55*H$46</f>
        <v>0</v>
      </c>
      <c r="I55" s="408">
        <f>SUM(B55:H55)</f>
        <v>33.237887999999998</v>
      </c>
    </row>
    <row r="58" spans="1:9" ht="15.6">
      <c r="A58" s="382" t="s">
        <v>1192</v>
      </c>
      <c r="B58" s="186"/>
      <c r="C58" s="186"/>
      <c r="D58" s="186"/>
      <c r="E58" s="3"/>
      <c r="F58" s="186"/>
      <c r="H58" s="186"/>
      <c r="I58" s="186"/>
    </row>
    <row r="59" spans="1:9">
      <c r="A59" s="383"/>
      <c r="B59" s="383"/>
      <c r="C59" s="383"/>
      <c r="D59" s="383"/>
      <c r="E59" s="384"/>
      <c r="F59" s="383"/>
      <c r="H59" s="187"/>
      <c r="I59" s="187"/>
    </row>
    <row r="60" spans="1:9">
      <c r="A60" s="385"/>
      <c r="B60" s="386"/>
      <c r="C60" s="387"/>
      <c r="D60" s="387"/>
      <c r="E60" s="387"/>
      <c r="F60" s="387"/>
      <c r="G60" s="571"/>
      <c r="H60" s="167"/>
      <c r="I60" s="396"/>
    </row>
    <row r="61" spans="1:9">
      <c r="A61" s="390"/>
      <c r="B61" s="391" t="s">
        <v>1198</v>
      </c>
      <c r="C61" s="392" t="s">
        <v>1194</v>
      </c>
      <c r="D61" s="392" t="s">
        <v>1197</v>
      </c>
      <c r="E61" s="392"/>
      <c r="F61" s="391"/>
      <c r="G61" s="572"/>
      <c r="H61" s="167"/>
      <c r="I61" s="396"/>
    </row>
    <row r="62" spans="1:9">
      <c r="A62" s="390" t="s">
        <v>730</v>
      </c>
      <c r="B62" s="391" t="s">
        <v>731</v>
      </c>
      <c r="C62" s="395" t="s">
        <v>1195</v>
      </c>
      <c r="D62" s="395" t="s">
        <v>1196</v>
      </c>
      <c r="E62" s="395"/>
      <c r="F62" s="391"/>
      <c r="G62" s="394" t="s">
        <v>793</v>
      </c>
      <c r="H62" s="567"/>
      <c r="I62" s="167"/>
    </row>
    <row r="63" spans="1:9">
      <c r="A63" s="390" t="s">
        <v>739</v>
      </c>
      <c r="B63" s="391" t="s">
        <v>740</v>
      </c>
      <c r="C63" s="391" t="s">
        <v>1200</v>
      </c>
      <c r="D63" s="391" t="s">
        <v>795</v>
      </c>
      <c r="E63" s="391" t="s">
        <v>794</v>
      </c>
      <c r="F63" s="391" t="s">
        <v>1201</v>
      </c>
      <c r="G63" s="394" t="s">
        <v>362</v>
      </c>
      <c r="H63" s="167"/>
      <c r="I63" s="167"/>
    </row>
    <row r="64" spans="1:9">
      <c r="A64" s="390"/>
      <c r="B64" s="391"/>
      <c r="C64" s="398"/>
      <c r="D64" s="391" t="s">
        <v>1199</v>
      </c>
      <c r="E64" s="412"/>
      <c r="F64" s="413"/>
      <c r="G64" s="573"/>
      <c r="H64" s="568"/>
      <c r="I64" s="569"/>
    </row>
    <row r="65" spans="1:18" ht="15.6">
      <c r="A65" s="403" t="str">
        <f>$A$52</f>
        <v>Operations &amp; Maint.</v>
      </c>
      <c r="B65" s="404"/>
      <c r="C65" s="404"/>
      <c r="D65" s="405"/>
      <c r="E65" s="405"/>
      <c r="F65" s="404"/>
      <c r="G65" s="405"/>
      <c r="H65" s="167"/>
      <c r="I65" s="569"/>
    </row>
    <row r="66" spans="1:18">
      <c r="A66" s="348" t="s">
        <v>1193</v>
      </c>
      <c r="B66" s="407">
        <v>45</v>
      </c>
      <c r="C66" s="407">
        <v>280</v>
      </c>
      <c r="D66" s="407">
        <v>1000</v>
      </c>
      <c r="E66" s="407">
        <v>48</v>
      </c>
      <c r="F66" s="407">
        <v>15</v>
      </c>
      <c r="G66" s="407">
        <f>((B66*E66+C66)*F66+D66)/(E66*F66)</f>
        <v>52.222222222222221</v>
      </c>
      <c r="H66" s="570"/>
      <c r="I66" s="570"/>
    </row>
    <row r="68" spans="1:18" ht="13.8" thickBot="1">
      <c r="B68" s="644" t="s">
        <v>672</v>
      </c>
      <c r="C68" s="644"/>
      <c r="D68" s="644"/>
      <c r="E68" s="644"/>
      <c r="F68" s="644"/>
      <c r="G68" s="644"/>
      <c r="H68" s="644"/>
      <c r="I68" s="644"/>
      <c r="J68" s="644"/>
      <c r="M68" s="237"/>
      <c r="N68" s="237"/>
      <c r="O68" s="237"/>
      <c r="P68" s="237"/>
      <c r="Q68" s="237"/>
      <c r="R68" s="237"/>
    </row>
    <row r="69" spans="1:18">
      <c r="C69" s="641" t="s">
        <v>673</v>
      </c>
      <c r="D69" s="642"/>
      <c r="E69" s="642"/>
      <c r="F69" s="642"/>
      <c r="G69" s="643"/>
      <c r="H69" s="641" t="s">
        <v>674</v>
      </c>
      <c r="I69" s="642"/>
      <c r="J69" s="643"/>
      <c r="L69" s="575"/>
      <c r="M69" s="575"/>
      <c r="N69" s="645"/>
      <c r="O69" s="645"/>
      <c r="P69" s="645"/>
      <c r="Q69" s="645"/>
      <c r="R69" s="645"/>
    </row>
    <row r="70" spans="1:18">
      <c r="A70" s="556" t="s">
        <v>263</v>
      </c>
      <c r="B70" s="351" t="s">
        <v>675</v>
      </c>
      <c r="C70" s="555" t="s">
        <v>373</v>
      </c>
      <c r="D70" s="556" t="s">
        <v>676</v>
      </c>
      <c r="E70" s="557" t="s">
        <v>601</v>
      </c>
      <c r="F70" s="557" t="s">
        <v>677</v>
      </c>
      <c r="G70" s="558" t="s">
        <v>678</v>
      </c>
      <c r="H70" s="352" t="s">
        <v>382</v>
      </c>
      <c r="I70" s="234" t="s">
        <v>679</v>
      </c>
      <c r="J70" s="353" t="s">
        <v>680</v>
      </c>
      <c r="L70" s="575"/>
      <c r="M70" s="574"/>
      <c r="N70" s="574"/>
      <c r="O70" s="574"/>
      <c r="P70" s="574"/>
      <c r="Q70" s="574"/>
      <c r="R70" s="574"/>
    </row>
    <row r="71" spans="1:18">
      <c r="A71" s="557" t="s">
        <v>792</v>
      </c>
      <c r="B71" s="356" t="s">
        <v>683</v>
      </c>
      <c r="C71" s="357" t="s">
        <v>684</v>
      </c>
      <c r="D71" s="234"/>
      <c r="E71" s="234"/>
      <c r="F71" s="358"/>
      <c r="G71" s="359" t="s">
        <v>684</v>
      </c>
      <c r="H71" s="352"/>
      <c r="I71" s="234"/>
      <c r="J71" s="353"/>
      <c r="L71" s="575"/>
      <c r="M71" s="576"/>
      <c r="N71" s="577"/>
      <c r="O71" s="574"/>
      <c r="P71" s="574"/>
      <c r="Q71" s="577"/>
      <c r="R71" s="577"/>
    </row>
    <row r="72" spans="1:18">
      <c r="B72" s="356" t="s">
        <v>687</v>
      </c>
      <c r="C72" s="357" t="s">
        <v>684</v>
      </c>
      <c r="D72" s="234"/>
      <c r="E72" s="234"/>
      <c r="F72" s="358"/>
      <c r="G72" s="359" t="s">
        <v>684</v>
      </c>
      <c r="H72" s="352"/>
      <c r="I72" s="234"/>
      <c r="J72" s="353"/>
      <c r="L72" s="575"/>
      <c r="M72" s="576"/>
      <c r="N72" s="577"/>
      <c r="O72" s="574"/>
      <c r="P72" s="574"/>
      <c r="Q72" s="577"/>
      <c r="R72" s="577"/>
    </row>
    <row r="73" spans="1:18">
      <c r="B73" s="356" t="s">
        <v>692</v>
      </c>
      <c r="C73" s="357" t="s">
        <v>684</v>
      </c>
      <c r="D73" s="234"/>
      <c r="E73" s="234"/>
      <c r="F73" s="358"/>
      <c r="G73" s="359" t="s">
        <v>684</v>
      </c>
      <c r="H73" s="352"/>
      <c r="I73" s="234"/>
      <c r="J73" s="353"/>
      <c r="L73" s="575"/>
      <c r="M73" s="576"/>
      <c r="N73" s="577"/>
      <c r="O73" s="574"/>
      <c r="P73" s="574"/>
      <c r="Q73" s="577"/>
      <c r="R73" s="577"/>
    </row>
    <row r="74" spans="1:18" ht="13.8" thickBot="1">
      <c r="A74" s="185" t="s">
        <v>693</v>
      </c>
      <c r="B74" s="365" t="s">
        <v>694</v>
      </c>
      <c r="C74" s="357" t="s">
        <v>684</v>
      </c>
      <c r="D74" s="234"/>
      <c r="E74" s="234"/>
      <c r="F74" s="358"/>
      <c r="G74" s="359" t="s">
        <v>684</v>
      </c>
      <c r="H74" s="352"/>
      <c r="I74" s="234"/>
      <c r="J74" s="353"/>
      <c r="L74" s="575"/>
      <c r="M74" s="576"/>
      <c r="N74" s="577"/>
      <c r="O74" s="574"/>
      <c r="P74" s="574"/>
      <c r="Q74" s="577"/>
      <c r="R74" s="577"/>
    </row>
    <row r="75" spans="1:18">
      <c r="B75" s="366" t="s">
        <v>695</v>
      </c>
      <c r="C75" s="357" t="s">
        <v>684</v>
      </c>
      <c r="D75" s="367"/>
      <c r="E75" s="358" t="s">
        <v>684</v>
      </c>
      <c r="F75" s="358"/>
      <c r="G75" s="368"/>
      <c r="H75" s="369"/>
      <c r="I75" s="367"/>
      <c r="J75" s="368"/>
      <c r="L75" s="575"/>
      <c r="M75" s="576"/>
      <c r="N75" s="577"/>
      <c r="O75" s="574"/>
      <c r="P75" s="574"/>
      <c r="Q75" s="577"/>
      <c r="R75" s="577"/>
    </row>
    <row r="76" spans="1:18">
      <c r="B76" s="356" t="s">
        <v>696</v>
      </c>
      <c r="C76" s="357" t="s">
        <v>684</v>
      </c>
      <c r="D76" s="234"/>
      <c r="E76" s="358" t="s">
        <v>684</v>
      </c>
      <c r="F76" s="358"/>
      <c r="G76" s="353"/>
      <c r="H76" s="357" t="s">
        <v>684</v>
      </c>
      <c r="I76" s="234"/>
      <c r="J76" s="353"/>
      <c r="L76" s="575"/>
      <c r="M76" s="576"/>
      <c r="N76" s="577"/>
      <c r="O76" s="574"/>
      <c r="P76" s="574"/>
      <c r="Q76" s="577"/>
      <c r="R76" s="577"/>
    </row>
    <row r="77" spans="1:18">
      <c r="B77" s="356" t="s">
        <v>697</v>
      </c>
      <c r="C77" s="357" t="s">
        <v>684</v>
      </c>
      <c r="D77" s="234"/>
      <c r="E77" s="358" t="s">
        <v>684</v>
      </c>
      <c r="F77" s="358"/>
      <c r="G77" s="353"/>
      <c r="H77" s="352"/>
      <c r="I77" s="358" t="s">
        <v>684</v>
      </c>
      <c r="J77" s="353"/>
      <c r="L77" s="575"/>
      <c r="M77" s="576"/>
      <c r="N77" s="577"/>
      <c r="O77" s="574"/>
      <c r="P77" s="577"/>
      <c r="Q77" s="577"/>
      <c r="R77" s="574"/>
    </row>
    <row r="78" spans="1:18">
      <c r="B78" s="356" t="s">
        <v>698</v>
      </c>
      <c r="C78" s="357" t="s">
        <v>684</v>
      </c>
      <c r="D78" s="234"/>
      <c r="E78" s="358" t="s">
        <v>684</v>
      </c>
      <c r="F78" s="358"/>
      <c r="G78" s="353"/>
      <c r="H78" s="352"/>
      <c r="I78" s="358" t="s">
        <v>684</v>
      </c>
      <c r="J78" s="353"/>
      <c r="L78" s="575"/>
      <c r="M78" s="576"/>
      <c r="N78" s="577"/>
      <c r="O78" s="574"/>
      <c r="P78" s="577"/>
      <c r="Q78" s="577"/>
      <c r="R78" s="574"/>
    </row>
    <row r="79" spans="1:18">
      <c r="B79" s="356" t="s">
        <v>699</v>
      </c>
      <c r="C79" s="357" t="s">
        <v>684</v>
      </c>
      <c r="D79" s="234"/>
      <c r="E79" s="358" t="s">
        <v>684</v>
      </c>
      <c r="F79" s="358"/>
      <c r="G79" s="353"/>
      <c r="H79" s="352"/>
      <c r="I79" s="358" t="s">
        <v>684</v>
      </c>
      <c r="J79" s="353"/>
      <c r="L79" s="575"/>
      <c r="M79" s="576"/>
      <c r="N79" s="577"/>
      <c r="O79" s="574"/>
      <c r="P79" s="577"/>
      <c r="Q79" s="577"/>
      <c r="R79" s="574"/>
    </row>
    <row r="80" spans="1:18">
      <c r="B80" s="356" t="s">
        <v>700</v>
      </c>
      <c r="C80" s="357" t="s">
        <v>684</v>
      </c>
      <c r="D80" s="234"/>
      <c r="E80" s="358" t="s">
        <v>684</v>
      </c>
      <c r="F80" s="358"/>
      <c r="G80" s="353"/>
      <c r="H80" s="352"/>
      <c r="I80" s="358" t="s">
        <v>684</v>
      </c>
      <c r="J80" s="353"/>
      <c r="L80" s="575"/>
      <c r="M80" s="576"/>
      <c r="N80" s="577"/>
      <c r="O80" s="574"/>
      <c r="P80" s="577"/>
      <c r="Q80" s="577"/>
      <c r="R80" s="574"/>
    </row>
    <row r="81" spans="1:18">
      <c r="B81" s="356" t="s">
        <v>701</v>
      </c>
      <c r="C81" s="357" t="s">
        <v>684</v>
      </c>
      <c r="D81" s="234"/>
      <c r="E81" s="358" t="s">
        <v>684</v>
      </c>
      <c r="F81" s="358"/>
      <c r="G81" s="353"/>
      <c r="H81" s="352"/>
      <c r="I81" s="358" t="s">
        <v>684</v>
      </c>
      <c r="J81" s="353"/>
      <c r="L81" s="575"/>
      <c r="M81" s="576"/>
      <c r="N81" s="577"/>
      <c r="O81" s="574"/>
      <c r="P81" s="577"/>
      <c r="Q81" s="577"/>
      <c r="R81" s="574"/>
    </row>
    <row r="82" spans="1:18" ht="13.8" thickBot="1">
      <c r="A82" s="185" t="s">
        <v>693</v>
      </c>
      <c r="B82" s="365" t="s">
        <v>702</v>
      </c>
      <c r="C82" s="357" t="s">
        <v>684</v>
      </c>
      <c r="D82" s="234"/>
      <c r="E82" s="358" t="s">
        <v>684</v>
      </c>
      <c r="F82" s="358"/>
      <c r="G82" s="353"/>
      <c r="H82" s="352"/>
      <c r="I82" s="358" t="s">
        <v>684</v>
      </c>
      <c r="J82" s="353"/>
      <c r="L82" s="575"/>
      <c r="M82" s="576"/>
      <c r="N82" s="577"/>
      <c r="O82" s="574"/>
      <c r="P82" s="577"/>
      <c r="Q82" s="577"/>
      <c r="R82" s="574"/>
    </row>
    <row r="83" spans="1:18">
      <c r="B83" s="366" t="s">
        <v>703</v>
      </c>
      <c r="C83" s="357"/>
      <c r="D83" s="358" t="s">
        <v>684</v>
      </c>
      <c r="E83" s="367"/>
      <c r="F83" s="358" t="s">
        <v>684</v>
      </c>
      <c r="G83" s="368"/>
      <c r="H83" s="369"/>
      <c r="I83" s="358" t="s">
        <v>684</v>
      </c>
      <c r="J83" s="368"/>
      <c r="L83" s="575"/>
      <c r="M83" s="576"/>
      <c r="N83" s="577"/>
      <c r="O83" s="574"/>
      <c r="P83" s="577"/>
      <c r="Q83" s="577"/>
      <c r="R83" s="574"/>
    </row>
    <row r="84" spans="1:18">
      <c r="B84" s="356" t="s">
        <v>704</v>
      </c>
      <c r="C84" s="357"/>
      <c r="D84" s="358" t="s">
        <v>684</v>
      </c>
      <c r="E84" s="234"/>
      <c r="F84" s="358" t="s">
        <v>684</v>
      </c>
      <c r="G84" s="353"/>
      <c r="H84" s="352"/>
      <c r="I84" s="358" t="s">
        <v>684</v>
      </c>
      <c r="J84" s="353"/>
      <c r="L84" s="575"/>
      <c r="M84" s="576"/>
      <c r="N84" s="577"/>
      <c r="O84" s="574"/>
      <c r="P84" s="577"/>
      <c r="Q84" s="577"/>
      <c r="R84" s="574"/>
    </row>
    <row r="85" spans="1:18">
      <c r="B85" s="356" t="s">
        <v>705</v>
      </c>
      <c r="C85" s="357"/>
      <c r="D85" s="358" t="s">
        <v>684</v>
      </c>
      <c r="E85" s="234"/>
      <c r="F85" s="358" t="s">
        <v>684</v>
      </c>
      <c r="G85" s="353"/>
      <c r="H85" s="352"/>
      <c r="I85" s="358" t="s">
        <v>684</v>
      </c>
      <c r="J85" s="353"/>
      <c r="L85" s="575"/>
      <c r="M85" s="576"/>
      <c r="N85" s="577"/>
      <c r="O85" s="577"/>
      <c r="P85" s="574"/>
      <c r="Q85" s="577"/>
      <c r="R85" s="574"/>
    </row>
    <row r="86" spans="1:18">
      <c r="B86" s="356" t="s">
        <v>706</v>
      </c>
      <c r="C86" s="357"/>
      <c r="D86" s="358" t="s">
        <v>684</v>
      </c>
      <c r="E86" s="234"/>
      <c r="F86" s="358" t="s">
        <v>684</v>
      </c>
      <c r="G86" s="353"/>
      <c r="H86" s="352"/>
      <c r="I86" s="358" t="s">
        <v>684</v>
      </c>
      <c r="J86" s="353"/>
      <c r="L86" s="575"/>
      <c r="M86" s="576"/>
      <c r="N86" s="577"/>
      <c r="O86" s="577"/>
      <c r="P86" s="574"/>
      <c r="Q86" s="577"/>
      <c r="R86" s="574"/>
    </row>
    <row r="87" spans="1:18">
      <c r="B87" s="356" t="s">
        <v>707</v>
      </c>
      <c r="C87" s="357"/>
      <c r="D87" s="358" t="s">
        <v>684</v>
      </c>
      <c r="E87" s="234"/>
      <c r="F87" s="358" t="s">
        <v>684</v>
      </c>
      <c r="G87" s="353"/>
      <c r="H87" s="352"/>
      <c r="I87" s="358" t="s">
        <v>684</v>
      </c>
      <c r="J87" s="353"/>
      <c r="L87" s="575"/>
      <c r="M87" s="576"/>
      <c r="N87" s="577"/>
      <c r="O87" s="577"/>
      <c r="P87" s="574"/>
      <c r="Q87" s="577"/>
      <c r="R87" s="574"/>
    </row>
    <row r="88" spans="1:18">
      <c r="B88" s="356" t="s">
        <v>708</v>
      </c>
      <c r="C88" s="357"/>
      <c r="D88" s="358" t="s">
        <v>684</v>
      </c>
      <c r="E88" s="234"/>
      <c r="F88" s="358" t="s">
        <v>684</v>
      </c>
      <c r="G88" s="353"/>
      <c r="H88" s="352"/>
      <c r="I88" s="358" t="s">
        <v>684</v>
      </c>
      <c r="J88" s="353"/>
      <c r="L88" s="575"/>
      <c r="M88" s="576"/>
      <c r="N88" s="577"/>
      <c r="O88" s="577"/>
      <c r="P88" s="574"/>
      <c r="Q88" s="577"/>
      <c r="R88" s="574"/>
    </row>
    <row r="89" spans="1:18">
      <c r="B89" s="356" t="s">
        <v>709</v>
      </c>
      <c r="C89" s="357"/>
      <c r="D89" s="358" t="s">
        <v>684</v>
      </c>
      <c r="E89" s="234"/>
      <c r="F89" s="358" t="s">
        <v>684</v>
      </c>
      <c r="G89" s="353"/>
      <c r="H89" s="352"/>
      <c r="I89" s="358" t="s">
        <v>684</v>
      </c>
      <c r="J89" s="353"/>
      <c r="L89" s="575"/>
      <c r="M89" s="576"/>
      <c r="N89" s="577"/>
      <c r="O89" s="577"/>
      <c r="P89" s="574"/>
      <c r="Q89" s="577"/>
      <c r="R89" s="574"/>
    </row>
    <row r="90" spans="1:18" ht="13.8" thickBot="1">
      <c r="A90" s="185" t="s">
        <v>693</v>
      </c>
      <c r="B90" s="365" t="s">
        <v>710</v>
      </c>
      <c r="C90" s="357"/>
      <c r="D90" s="358" t="s">
        <v>684</v>
      </c>
      <c r="E90" s="234"/>
      <c r="F90" s="358" t="s">
        <v>684</v>
      </c>
      <c r="G90" s="353"/>
      <c r="H90" s="352"/>
      <c r="I90" s="358" t="s">
        <v>684</v>
      </c>
      <c r="J90" s="353"/>
      <c r="L90" s="575"/>
      <c r="M90" s="576"/>
      <c r="N90" s="577"/>
      <c r="O90" s="577"/>
      <c r="P90" s="574"/>
      <c r="Q90" s="577"/>
      <c r="R90" s="574"/>
    </row>
    <row r="91" spans="1:18">
      <c r="B91" s="366" t="s">
        <v>711</v>
      </c>
      <c r="C91" s="369"/>
      <c r="D91" s="358" t="s">
        <v>684</v>
      </c>
      <c r="E91" s="367"/>
      <c r="F91" s="367"/>
      <c r="G91" s="359" t="s">
        <v>684</v>
      </c>
      <c r="H91" s="369"/>
      <c r="I91" s="358" t="s">
        <v>684</v>
      </c>
      <c r="J91" s="368"/>
      <c r="L91" s="575"/>
      <c r="M91" s="576"/>
      <c r="N91" s="574"/>
      <c r="O91" s="577"/>
      <c r="P91" s="574"/>
      <c r="Q91" s="577"/>
      <c r="R91" s="577"/>
    </row>
    <row r="92" spans="1:18">
      <c r="B92" s="356" t="s">
        <v>712</v>
      </c>
      <c r="C92" s="352"/>
      <c r="D92" s="358" t="s">
        <v>684</v>
      </c>
      <c r="E92" s="234"/>
      <c r="F92" s="234"/>
      <c r="G92" s="359" t="s">
        <v>684</v>
      </c>
      <c r="H92" s="352"/>
      <c r="I92" s="358" t="s">
        <v>684</v>
      </c>
      <c r="J92" s="353"/>
      <c r="L92" s="575"/>
      <c r="M92" s="576"/>
      <c r="N92" s="574"/>
      <c r="O92" s="577"/>
      <c r="P92" s="574"/>
      <c r="Q92" s="577"/>
      <c r="R92" s="577"/>
    </row>
    <row r="93" spans="1:18">
      <c r="B93" s="356" t="s">
        <v>713</v>
      </c>
      <c r="C93" s="352"/>
      <c r="D93" s="358" t="s">
        <v>684</v>
      </c>
      <c r="E93" s="234"/>
      <c r="F93" s="234"/>
      <c r="G93" s="359" t="s">
        <v>684</v>
      </c>
      <c r="H93" s="352"/>
      <c r="I93" s="234"/>
      <c r="J93" s="359" t="s">
        <v>684</v>
      </c>
      <c r="L93" s="575"/>
      <c r="M93" s="576"/>
      <c r="N93" s="574"/>
      <c r="O93" s="577"/>
      <c r="P93" s="574"/>
      <c r="Q93" s="577"/>
      <c r="R93" s="577"/>
    </row>
    <row r="94" spans="1:18" ht="13.8" thickBot="1">
      <c r="B94" s="356" t="s">
        <v>714</v>
      </c>
      <c r="C94" s="376"/>
      <c r="D94" s="377" t="s">
        <v>684</v>
      </c>
      <c r="E94" s="378"/>
      <c r="F94" s="378"/>
      <c r="G94" s="379" t="s">
        <v>684</v>
      </c>
      <c r="H94" s="376"/>
      <c r="I94" s="378"/>
      <c r="J94" s="380"/>
      <c r="L94" s="575"/>
      <c r="M94" s="576"/>
      <c r="N94" s="574"/>
      <c r="O94" s="574"/>
      <c r="P94" s="574"/>
      <c r="Q94" s="574"/>
      <c r="R94" s="577"/>
    </row>
    <row r="95" spans="1:18">
      <c r="A95" t="s">
        <v>715</v>
      </c>
      <c r="B95" s="144" t="s">
        <v>716</v>
      </c>
      <c r="C95" s="455">
        <f>IF(COUNTA(C71:C94)&gt;8,8,COUNTA(C71:C94))</f>
        <v>8</v>
      </c>
      <c r="D95" s="455">
        <f>IF(COUNTA(D71:D94)&gt;8,8,COUNTA(D71:D94))</f>
        <v>8</v>
      </c>
      <c r="E95" s="455">
        <f>IF(COUNTA(E71:E94)&gt;8,8,COUNTA(E71:E94))</f>
        <v>8</v>
      </c>
      <c r="F95" s="455">
        <f>IF(COUNTA(F71:F94)&gt;8,8,COUNTA(F71:F94))</f>
        <v>8</v>
      </c>
      <c r="G95" s="455">
        <f>IF(COUNTA(G71:G94)&gt;8,8,COUNTA(G71:G94))</f>
        <v>8</v>
      </c>
      <c r="L95" s="575"/>
      <c r="M95" s="574"/>
      <c r="N95" s="574"/>
      <c r="O95" s="574"/>
      <c r="P95" s="574"/>
      <c r="Q95" s="574"/>
      <c r="R95" s="574"/>
    </row>
    <row r="96" spans="1:18">
      <c r="B96" s="144" t="s">
        <v>717</v>
      </c>
      <c r="C96" s="455">
        <f>IF(COUNTA(C71:C94)&gt;8,COUNTA(C71:C94)-8,0)</f>
        <v>4</v>
      </c>
      <c r="D96" s="455">
        <f>IF(COUNTA(D71:D94)&gt;8,COUNTA(D71:D94)-8,0)</f>
        <v>4</v>
      </c>
      <c r="E96" s="455">
        <f>IF(COUNTA(E71:E94)&gt;8,COUNTA(E71:E94)-8,0)</f>
        <v>0</v>
      </c>
      <c r="F96" s="455">
        <f>IF(COUNTA(F71:F94)&gt;8,COUNTA(F71:F94)-8,0)</f>
        <v>0</v>
      </c>
      <c r="G96" s="455">
        <f>IF(COUNTA(G71:G94)&gt;8,COUNTA(G71:G94)-8,0)</f>
        <v>0</v>
      </c>
      <c r="L96" s="575"/>
      <c r="M96" s="574"/>
      <c r="N96" s="574"/>
      <c r="O96" s="574"/>
      <c r="P96" s="574"/>
      <c r="Q96" s="574"/>
      <c r="R96" s="574"/>
    </row>
    <row r="97" spans="1:18">
      <c r="L97" s="575"/>
      <c r="M97" s="575"/>
      <c r="N97" s="575"/>
      <c r="O97" s="575"/>
      <c r="P97" s="575"/>
      <c r="Q97" s="575"/>
      <c r="R97" s="575"/>
    </row>
    <row r="98" spans="1:18">
      <c r="C98" s="234" t="s">
        <v>373</v>
      </c>
      <c r="D98" s="234" t="s">
        <v>676</v>
      </c>
      <c r="E98" s="234" t="s">
        <v>601</v>
      </c>
      <c r="F98" s="234" t="s">
        <v>677</v>
      </c>
      <c r="G98" s="234" t="s">
        <v>678</v>
      </c>
      <c r="L98" s="575"/>
      <c r="M98" s="575"/>
      <c r="N98" s="574"/>
      <c r="O98" s="574"/>
      <c r="P98" s="574"/>
      <c r="Q98" s="574"/>
      <c r="R98" s="574"/>
    </row>
    <row r="99" spans="1:18">
      <c r="A99" s="234" t="s">
        <v>718</v>
      </c>
      <c r="B99" s="234" t="s">
        <v>716</v>
      </c>
      <c r="C99" s="455">
        <f>C95*5</f>
        <v>40</v>
      </c>
      <c r="D99" s="455">
        <f>D95*5</f>
        <v>40</v>
      </c>
      <c r="E99" s="455">
        <f>E95*5</f>
        <v>40</v>
      </c>
      <c r="F99" s="455">
        <f>F95*5</f>
        <v>40</v>
      </c>
      <c r="G99" s="455">
        <f>G95*5</f>
        <v>40</v>
      </c>
      <c r="L99" s="574"/>
      <c r="M99" s="574"/>
      <c r="N99" s="574"/>
      <c r="O99" s="574"/>
      <c r="P99" s="574"/>
      <c r="Q99" s="574"/>
      <c r="R99" s="574"/>
    </row>
    <row r="100" spans="1:18">
      <c r="A100" s="234">
        <v>1</v>
      </c>
      <c r="B100" s="234" t="s">
        <v>717</v>
      </c>
      <c r="C100" s="455">
        <f>C96*5</f>
        <v>20</v>
      </c>
      <c r="D100" s="455">
        <f>D96*5</f>
        <v>20</v>
      </c>
      <c r="E100" s="371">
        <v>0</v>
      </c>
      <c r="F100" s="371">
        <v>0</v>
      </c>
      <c r="G100" s="371">
        <v>0</v>
      </c>
      <c r="L100" s="574"/>
      <c r="M100" s="574"/>
      <c r="N100" s="574"/>
      <c r="O100" s="574"/>
      <c r="P100" s="574"/>
      <c r="Q100" s="574"/>
      <c r="R100" s="574"/>
    </row>
    <row r="101" spans="1:18">
      <c r="A101" s="234"/>
      <c r="B101" s="234"/>
      <c r="C101" s="234"/>
      <c r="D101" s="234"/>
      <c r="E101" s="234"/>
      <c r="F101" s="234"/>
      <c r="G101" s="234"/>
      <c r="L101" s="574"/>
      <c r="M101" s="574"/>
      <c r="N101" s="574"/>
      <c r="O101" s="574"/>
      <c r="P101" s="574"/>
      <c r="Q101" s="574"/>
      <c r="R101" s="574"/>
    </row>
    <row r="102" spans="1:18">
      <c r="A102" s="234" t="s">
        <v>718</v>
      </c>
      <c r="B102" s="234" t="s">
        <v>716</v>
      </c>
      <c r="C102" s="455">
        <f>C99</f>
        <v>40</v>
      </c>
      <c r="D102" s="455">
        <f>D99</f>
        <v>40</v>
      </c>
      <c r="E102" s="455">
        <v>60</v>
      </c>
      <c r="F102" s="455">
        <f>F99</f>
        <v>40</v>
      </c>
      <c r="G102" s="455">
        <f>G99</f>
        <v>40</v>
      </c>
      <c r="L102" s="574"/>
      <c r="M102" s="574"/>
      <c r="N102" s="574"/>
      <c r="O102" s="574"/>
      <c r="P102" s="574"/>
      <c r="Q102" s="574"/>
      <c r="R102" s="574"/>
    </row>
    <row r="103" spans="1:18">
      <c r="A103" s="234">
        <v>2</v>
      </c>
      <c r="B103" s="234" t="s">
        <v>717</v>
      </c>
      <c r="C103" s="371">
        <v>0</v>
      </c>
      <c r="D103" s="455">
        <f>C96*5</f>
        <v>20</v>
      </c>
      <c r="E103" s="455">
        <v>0</v>
      </c>
      <c r="F103" s="371">
        <v>0</v>
      </c>
      <c r="G103" s="371">
        <v>0</v>
      </c>
      <c r="L103" s="574"/>
      <c r="M103" s="574"/>
      <c r="N103" s="574"/>
      <c r="O103" s="574"/>
      <c r="P103" s="574"/>
      <c r="Q103" s="574"/>
      <c r="R103" s="574"/>
    </row>
    <row r="104" spans="1:18">
      <c r="A104" s="234"/>
      <c r="B104" s="234"/>
      <c r="C104" s="234"/>
      <c r="D104" s="234"/>
      <c r="E104" s="234"/>
      <c r="F104" s="234"/>
      <c r="G104" s="234"/>
      <c r="L104" s="574"/>
      <c r="M104" s="574"/>
      <c r="N104" s="574"/>
      <c r="O104" s="574"/>
      <c r="P104" s="574"/>
      <c r="Q104" s="574"/>
      <c r="R104" s="574"/>
    </row>
    <row r="105" spans="1:18">
      <c r="A105" s="234" t="s">
        <v>718</v>
      </c>
      <c r="B105" s="234" t="s">
        <v>716</v>
      </c>
      <c r="C105" s="455">
        <f>C99</f>
        <v>40</v>
      </c>
      <c r="D105" s="455">
        <f>D99</f>
        <v>40</v>
      </c>
      <c r="E105" s="455">
        <v>60</v>
      </c>
      <c r="F105" s="455">
        <v>60</v>
      </c>
      <c r="G105" s="455">
        <f>G99</f>
        <v>40</v>
      </c>
      <c r="L105" s="574"/>
      <c r="M105" s="574"/>
      <c r="N105" s="574"/>
      <c r="O105" s="574"/>
      <c r="P105" s="574"/>
      <c r="Q105" s="574"/>
      <c r="R105" s="574"/>
    </row>
    <row r="106" spans="1:18">
      <c r="A106" s="234">
        <v>3</v>
      </c>
      <c r="B106" s="234" t="s">
        <v>717</v>
      </c>
      <c r="C106" s="371">
        <v>0</v>
      </c>
      <c r="D106" s="371">
        <v>0</v>
      </c>
      <c r="E106" s="455">
        <v>0</v>
      </c>
      <c r="F106" s="455">
        <v>0</v>
      </c>
      <c r="G106" s="371">
        <v>0</v>
      </c>
      <c r="L106" s="574"/>
      <c r="M106" s="574"/>
      <c r="N106" s="574"/>
      <c r="O106" s="574"/>
      <c r="P106" s="574"/>
      <c r="Q106" s="574"/>
      <c r="R106" s="574"/>
    </row>
    <row r="107" spans="1:18">
      <c r="A107" s="234"/>
      <c r="B107" s="234"/>
      <c r="C107" s="234"/>
      <c r="D107" s="234"/>
      <c r="E107" s="234"/>
      <c r="F107" s="234"/>
      <c r="G107" s="234"/>
      <c r="L107" s="574"/>
      <c r="M107" s="574"/>
      <c r="N107" s="574"/>
      <c r="O107" s="574"/>
      <c r="P107" s="574"/>
      <c r="Q107" s="574"/>
      <c r="R107" s="574"/>
    </row>
    <row r="108" spans="1:18">
      <c r="A108" s="234" t="s">
        <v>718</v>
      </c>
      <c r="B108" s="234" t="s">
        <v>716</v>
      </c>
      <c r="C108" s="455">
        <f>C99</f>
        <v>40</v>
      </c>
      <c r="D108" s="455">
        <f>D99</f>
        <v>40</v>
      </c>
      <c r="E108" s="455">
        <f>E99</f>
        <v>40</v>
      </c>
      <c r="F108" s="455">
        <v>60</v>
      </c>
      <c r="G108" s="455">
        <v>60</v>
      </c>
      <c r="L108" s="574"/>
      <c r="M108" s="574"/>
      <c r="N108" s="574"/>
      <c r="O108" s="574"/>
      <c r="P108" s="574"/>
      <c r="Q108" s="574"/>
      <c r="R108" s="574"/>
    </row>
    <row r="109" spans="1:18">
      <c r="A109" s="234">
        <v>4</v>
      </c>
      <c r="B109" s="234" t="s">
        <v>717</v>
      </c>
      <c r="C109" s="371">
        <v>0</v>
      </c>
      <c r="D109" s="371">
        <v>0</v>
      </c>
      <c r="E109" s="371">
        <v>0</v>
      </c>
      <c r="F109" s="455">
        <v>0</v>
      </c>
      <c r="G109" s="455">
        <v>0</v>
      </c>
      <c r="L109" s="574"/>
      <c r="M109" s="574"/>
      <c r="N109" s="574"/>
      <c r="O109" s="574"/>
      <c r="P109" s="574"/>
      <c r="Q109" s="574"/>
      <c r="R109" s="574"/>
    </row>
    <row r="110" spans="1:18">
      <c r="A110" s="234"/>
      <c r="B110" s="234"/>
      <c r="C110" s="234"/>
      <c r="D110" s="234"/>
      <c r="E110" s="234"/>
      <c r="F110" s="234"/>
      <c r="G110" s="234"/>
      <c r="L110" s="574"/>
      <c r="M110" s="574"/>
      <c r="N110" s="574"/>
      <c r="O110" s="574"/>
      <c r="P110" s="574"/>
      <c r="Q110" s="574"/>
      <c r="R110" s="574"/>
    </row>
    <row r="111" spans="1:18">
      <c r="A111" s="234" t="s">
        <v>718</v>
      </c>
      <c r="B111" s="234" t="s">
        <v>716</v>
      </c>
      <c r="C111" s="455">
        <f>C99</f>
        <v>40</v>
      </c>
      <c r="D111" s="455">
        <f>D99</f>
        <v>40</v>
      </c>
      <c r="E111" s="455">
        <f>E99</f>
        <v>40</v>
      </c>
      <c r="F111" s="455">
        <f>F99</f>
        <v>40</v>
      </c>
      <c r="G111" s="455">
        <v>60</v>
      </c>
      <c r="L111" s="574"/>
      <c r="M111" s="574"/>
      <c r="N111" s="574"/>
      <c r="O111" s="574"/>
      <c r="P111" s="574"/>
      <c r="Q111" s="574"/>
      <c r="R111" s="574"/>
    </row>
    <row r="112" spans="1:18">
      <c r="A112" s="234">
        <v>5</v>
      </c>
      <c r="B112" s="234" t="s">
        <v>717</v>
      </c>
      <c r="C112" s="455">
        <f>D96*5</f>
        <v>20</v>
      </c>
      <c r="D112" s="371">
        <v>0</v>
      </c>
      <c r="E112" s="371">
        <v>0</v>
      </c>
      <c r="F112" s="371">
        <v>0</v>
      </c>
      <c r="G112" s="455">
        <v>0</v>
      </c>
      <c r="L112" s="574"/>
      <c r="M112" s="574"/>
      <c r="N112" s="574"/>
      <c r="O112" s="574"/>
      <c r="P112" s="574"/>
      <c r="Q112" s="574"/>
      <c r="R112" s="574"/>
    </row>
    <row r="113" spans="1:18">
      <c r="A113" s="234"/>
      <c r="B113" s="234"/>
      <c r="C113" s="234"/>
      <c r="D113" s="234"/>
      <c r="E113" s="234"/>
      <c r="F113" s="234"/>
      <c r="G113" s="234"/>
      <c r="L113" s="574"/>
      <c r="M113" s="574"/>
      <c r="N113" s="574"/>
      <c r="O113" s="574"/>
      <c r="P113" s="574"/>
      <c r="Q113" s="574"/>
      <c r="R113" s="574"/>
    </row>
    <row r="114" spans="1:18">
      <c r="A114" s="234"/>
      <c r="B114" s="234"/>
      <c r="C114" s="234"/>
      <c r="D114" s="234"/>
      <c r="E114" s="234"/>
      <c r="F114" s="234"/>
      <c r="G114" s="234"/>
      <c r="L114" s="574"/>
      <c r="M114" s="574"/>
      <c r="N114" s="574"/>
      <c r="O114" s="574"/>
      <c r="P114" s="574"/>
      <c r="Q114" s="574"/>
      <c r="R114" s="574"/>
    </row>
    <row r="115" spans="1:18">
      <c r="A115" s="406" t="s">
        <v>745</v>
      </c>
      <c r="B115" s="406" t="s">
        <v>716</v>
      </c>
      <c r="C115" s="406">
        <f t="shared" ref="C115:G116" si="4">C99+C102+C105+C108+C111</f>
        <v>200</v>
      </c>
      <c r="D115" s="406">
        <f t="shared" si="4"/>
        <v>200</v>
      </c>
      <c r="E115" s="406">
        <f t="shared" si="4"/>
        <v>240</v>
      </c>
      <c r="F115" s="406">
        <f t="shared" si="4"/>
        <v>240</v>
      </c>
      <c r="G115" s="406">
        <f t="shared" si="4"/>
        <v>240</v>
      </c>
      <c r="L115" s="578"/>
      <c r="M115" s="578"/>
      <c r="N115" s="578"/>
      <c r="O115" s="578"/>
      <c r="P115" s="578"/>
      <c r="Q115" s="578"/>
      <c r="R115" s="578"/>
    </row>
    <row r="116" spans="1:18">
      <c r="A116" s="406" t="s">
        <v>746</v>
      </c>
      <c r="B116" s="406" t="s">
        <v>717</v>
      </c>
      <c r="C116" s="406">
        <f t="shared" si="4"/>
        <v>40</v>
      </c>
      <c r="D116" s="406">
        <f t="shared" si="4"/>
        <v>40</v>
      </c>
      <c r="E116" s="406">
        <f t="shared" si="4"/>
        <v>0</v>
      </c>
      <c r="F116" s="406">
        <f t="shared" si="4"/>
        <v>0</v>
      </c>
      <c r="G116" s="406">
        <f t="shared" si="4"/>
        <v>0</v>
      </c>
      <c r="L116" s="578"/>
      <c r="M116" s="578"/>
      <c r="N116" s="578"/>
      <c r="O116" s="578"/>
      <c r="P116" s="578"/>
      <c r="Q116" s="578"/>
      <c r="R116" s="578"/>
    </row>
    <row r="117" spans="1:18">
      <c r="L117" s="575"/>
      <c r="M117" s="575"/>
      <c r="N117" s="575"/>
      <c r="O117" s="575"/>
      <c r="P117" s="575"/>
      <c r="Q117" s="575"/>
      <c r="R117" s="575"/>
    </row>
    <row r="118" spans="1:18">
      <c r="A118" s="406" t="s">
        <v>747</v>
      </c>
      <c r="B118" s="406" t="s">
        <v>716</v>
      </c>
      <c r="C118" s="406">
        <f t="shared" ref="C118:G119" si="5">C115*3</f>
        <v>600</v>
      </c>
      <c r="D118" s="406">
        <f t="shared" si="5"/>
        <v>600</v>
      </c>
      <c r="E118" s="406">
        <f t="shared" si="5"/>
        <v>720</v>
      </c>
      <c r="F118" s="406">
        <f t="shared" si="5"/>
        <v>720</v>
      </c>
      <c r="G118" s="406">
        <f t="shared" si="5"/>
        <v>720</v>
      </c>
      <c r="L118" s="575"/>
      <c r="M118" s="575"/>
      <c r="N118" s="575"/>
      <c r="O118" s="575"/>
      <c r="P118" s="575"/>
      <c r="Q118" s="575"/>
      <c r="R118" s="575"/>
    </row>
    <row r="119" spans="1:18">
      <c r="A119" s="406" t="s">
        <v>746</v>
      </c>
      <c r="B119" s="406" t="s">
        <v>717</v>
      </c>
      <c r="C119" s="406">
        <f t="shared" si="5"/>
        <v>120</v>
      </c>
      <c r="D119" s="406">
        <f t="shared" si="5"/>
        <v>120</v>
      </c>
      <c r="E119" s="406">
        <f t="shared" si="5"/>
        <v>0</v>
      </c>
      <c r="F119" s="406">
        <f t="shared" si="5"/>
        <v>0</v>
      </c>
      <c r="G119" s="406">
        <f t="shared" si="5"/>
        <v>0</v>
      </c>
    </row>
    <row r="121" spans="1:18">
      <c r="A121" s="205" t="s">
        <v>748</v>
      </c>
      <c r="B121" s="234" t="s">
        <v>716</v>
      </c>
      <c r="C121" s="454">
        <f>40*37</f>
        <v>1480</v>
      </c>
      <c r="D121" s="454">
        <f>40*37</f>
        <v>1480</v>
      </c>
      <c r="E121" s="454">
        <v>0</v>
      </c>
      <c r="F121" s="454">
        <v>0</v>
      </c>
      <c r="G121" s="454">
        <v>0</v>
      </c>
    </row>
    <row r="122" spans="1:18">
      <c r="A122" s="205" t="s">
        <v>749</v>
      </c>
      <c r="B122" s="234" t="s">
        <v>717</v>
      </c>
      <c r="C122" s="454">
        <f>N116</f>
        <v>0</v>
      </c>
      <c r="D122" s="454">
        <f>O116</f>
        <v>0</v>
      </c>
      <c r="E122" s="454">
        <f>P116</f>
        <v>0</v>
      </c>
      <c r="F122" s="454">
        <f>Q116</f>
        <v>0</v>
      </c>
      <c r="G122" s="454">
        <f>R116</f>
        <v>0</v>
      </c>
    </row>
    <row r="124" spans="1:18">
      <c r="A124" s="411" t="s">
        <v>252</v>
      </c>
      <c r="B124" s="234" t="s">
        <v>716</v>
      </c>
      <c r="C124" s="411">
        <f t="shared" ref="C124:G125" si="6">C118+C121</f>
        <v>2080</v>
      </c>
      <c r="D124" s="411">
        <f t="shared" si="6"/>
        <v>2080</v>
      </c>
      <c r="E124" s="411">
        <f t="shared" si="6"/>
        <v>720</v>
      </c>
      <c r="F124" s="411">
        <f t="shared" si="6"/>
        <v>720</v>
      </c>
      <c r="G124" s="411">
        <f t="shared" si="6"/>
        <v>720</v>
      </c>
    </row>
    <row r="125" spans="1:18">
      <c r="A125" s="411" t="s">
        <v>746</v>
      </c>
      <c r="B125" s="234" t="s">
        <v>717</v>
      </c>
      <c r="C125" s="411">
        <f t="shared" si="6"/>
        <v>120</v>
      </c>
      <c r="D125" s="411">
        <f t="shared" si="6"/>
        <v>120</v>
      </c>
      <c r="E125" s="411">
        <f t="shared" si="6"/>
        <v>0</v>
      </c>
      <c r="F125" s="411">
        <f t="shared" si="6"/>
        <v>0</v>
      </c>
      <c r="G125" s="411">
        <f t="shared" si="6"/>
        <v>0</v>
      </c>
    </row>
  </sheetData>
  <mergeCells count="5">
    <mergeCell ref="AE2:AG2"/>
    <mergeCell ref="B68:J68"/>
    <mergeCell ref="C69:G69"/>
    <mergeCell ref="H69:J69"/>
    <mergeCell ref="N69:R69"/>
  </mergeCells>
  <printOptions horizontalCentered="1"/>
  <pageMargins left="0.75" right="0.75" top="1" bottom="1" header="0.5" footer="0.5"/>
  <pageSetup scale="67" firstPageNumber="17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O356"/>
  <sheetViews>
    <sheetView zoomScaleNormal="25" zoomScaleSheetLayoutView="100" workbookViewId="0">
      <selection activeCell="B12" sqref="B12"/>
    </sheetView>
  </sheetViews>
  <sheetFormatPr defaultRowHeight="13.2"/>
  <cols>
    <col min="1" max="1" width="37.33203125" customWidth="1"/>
    <col min="2" max="2" width="11.33203125" customWidth="1"/>
    <col min="3" max="3" width="11.44140625" customWidth="1"/>
    <col min="4" max="4" width="16" customWidth="1"/>
    <col min="5" max="5" width="16.109375" customWidth="1"/>
    <col min="6" max="6" width="11.6640625" customWidth="1"/>
    <col min="7" max="7" width="10.33203125" customWidth="1"/>
  </cols>
  <sheetData>
    <row r="1" spans="1:41" ht="15.6">
      <c r="A1" s="1" t="str">
        <f>Scope!A1</f>
        <v>Santee Cooper 5 x LM6000 PC Power Project (236 MW)</v>
      </c>
      <c r="B1" s="1"/>
      <c r="C1" s="1"/>
      <c r="D1" s="1"/>
      <c r="E1" s="1"/>
      <c r="F1" s="1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1" ht="15.6">
      <c r="A2" s="296" t="s">
        <v>207</v>
      </c>
      <c r="B2" s="1"/>
      <c r="C2" s="1"/>
      <c r="D2" s="1"/>
      <c r="E2" s="1"/>
      <c r="F2" s="1"/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1" ht="15.6">
      <c r="A3" s="1" t="s">
        <v>1090</v>
      </c>
      <c r="B3" s="1"/>
      <c r="C3" s="1"/>
      <c r="D3" s="1"/>
      <c r="E3" s="1"/>
      <c r="F3" s="1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1" ht="15.6">
      <c r="A4" s="45"/>
      <c r="B4" s="15"/>
      <c r="C4" s="15"/>
      <c r="D4" s="15"/>
      <c r="E4" s="15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1" ht="15.6">
      <c r="A5" s="45"/>
      <c r="B5" s="15"/>
      <c r="C5" s="15"/>
      <c r="D5" s="15"/>
      <c r="E5" s="15"/>
      <c r="F5" s="1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1">
      <c r="A6" s="39" t="s">
        <v>1099</v>
      </c>
      <c r="B6" s="15"/>
      <c r="C6" s="15"/>
      <c r="D6" s="15"/>
      <c r="E6" s="15"/>
      <c r="F6" s="1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1" ht="16.2" thickBot="1">
      <c r="A7" s="4"/>
      <c r="B7" s="4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1">
      <c r="A8" s="4"/>
      <c r="B8" s="216"/>
      <c r="C8" s="37"/>
      <c r="D8" s="216" t="s">
        <v>1091</v>
      </c>
      <c r="E8" s="8" t="s">
        <v>1092</v>
      </c>
      <c r="F8" s="216" t="s">
        <v>884</v>
      </c>
      <c r="G8" s="3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3.8" thickBot="1">
      <c r="A9" s="23"/>
      <c r="B9" s="6" t="s">
        <v>1093</v>
      </c>
      <c r="C9" s="7" t="s">
        <v>1094</v>
      </c>
      <c r="D9" s="7" t="s">
        <v>1095</v>
      </c>
      <c r="E9" s="7" t="s">
        <v>1096</v>
      </c>
      <c r="F9" s="7" t="s">
        <v>1097</v>
      </c>
      <c r="G9" s="7" t="s">
        <v>884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>
      <c r="A10" s="4"/>
      <c r="B10" s="217"/>
      <c r="C10" s="38"/>
      <c r="D10" s="38"/>
      <c r="E10" s="38"/>
      <c r="F10" s="38"/>
      <c r="G10" s="38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>
      <c r="A11" s="23" t="s">
        <v>1100</v>
      </c>
      <c r="B11" s="217">
        <v>0</v>
      </c>
      <c r="C11" s="11">
        <v>9</v>
      </c>
      <c r="D11" s="189">
        <f t="shared" ref="D11:D16" si="0">VLOOKUP(C11,SALARY,5)</f>
        <v>45000</v>
      </c>
      <c r="E11" s="190">
        <f t="shared" ref="E11:E16" si="1">B11*D11</f>
        <v>0</v>
      </c>
      <c r="F11" s="189">
        <f>VLOOKUP(C11,SALARY,12)/'SALARY-BENEFITS LOOKUP TABLE'!$E$22*(1+'SALARY-BENEFITS LOOKUP TABLE'!$E$24)*B11</f>
        <v>0</v>
      </c>
      <c r="G11" s="214">
        <f>F11+E11</f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>
      <c r="A12" s="23" t="s">
        <v>1101</v>
      </c>
      <c r="B12" s="217">
        <v>0</v>
      </c>
      <c r="C12" s="11">
        <v>10</v>
      </c>
      <c r="D12" s="189">
        <f t="shared" si="0"/>
        <v>27000</v>
      </c>
      <c r="E12" s="190">
        <f t="shared" si="1"/>
        <v>0</v>
      </c>
      <c r="F12" s="189">
        <f>VLOOKUP(C12,SALARY,12)/'SALARY-BENEFITS LOOKUP TABLE'!$E$22*(1+'SALARY-BENEFITS LOOKUP TABLE'!$E$24)*B12</f>
        <v>0</v>
      </c>
      <c r="G12" s="214">
        <f>F12+E12</f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>
      <c r="A13" s="23" t="s">
        <v>1102</v>
      </c>
      <c r="B13" s="217">
        <v>0</v>
      </c>
      <c r="C13" s="11">
        <v>10</v>
      </c>
      <c r="D13" s="189">
        <f t="shared" si="0"/>
        <v>27000</v>
      </c>
      <c r="E13" s="190">
        <f t="shared" si="1"/>
        <v>0</v>
      </c>
      <c r="F13" s="189">
        <f>VLOOKUP(C13,SALARY,12)/'SALARY-BENEFITS LOOKUP TABLE'!$E$22*(1+'SALARY-BENEFITS LOOKUP TABLE'!$E$24)*B13</f>
        <v>0</v>
      </c>
      <c r="G13" s="214">
        <f>F13+E13</f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>
      <c r="A14" s="23" t="s">
        <v>1103</v>
      </c>
      <c r="B14" s="218">
        <v>0</v>
      </c>
      <c r="C14" s="48">
        <v>10</v>
      </c>
      <c r="D14" s="189">
        <f t="shared" si="0"/>
        <v>27000</v>
      </c>
      <c r="E14" s="190">
        <f t="shared" si="1"/>
        <v>0</v>
      </c>
      <c r="F14" s="189">
        <f>VLOOKUP(C14,SALARY,12)/'SALARY-BENEFITS LOOKUP TABLE'!$E$22*(1+'SALARY-BENEFITS LOOKUP TABLE'!$E$24)*B14</f>
        <v>0</v>
      </c>
      <c r="G14" s="214">
        <f>F14+E14</f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>
      <c r="A15" s="23" t="s">
        <v>1104</v>
      </c>
      <c r="B15" s="217">
        <v>0</v>
      </c>
      <c r="C15" s="11">
        <v>10</v>
      </c>
      <c r="D15" s="189">
        <f t="shared" si="0"/>
        <v>27000</v>
      </c>
      <c r="E15" s="190">
        <f t="shared" si="1"/>
        <v>0</v>
      </c>
      <c r="F15" s="189">
        <f>VLOOKUP(C15,SALARY,12)/'SALARY-BENEFITS LOOKUP TABLE'!$E$22*(1+'SALARY-BENEFITS LOOKUP TABLE'!$E$24)*B15</f>
        <v>0</v>
      </c>
      <c r="G15" s="214">
        <f>F15+E15</f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>
      <c r="A16" s="23" t="s">
        <v>1105</v>
      </c>
      <c r="B16" s="217">
        <v>0</v>
      </c>
      <c r="C16" s="11">
        <v>10</v>
      </c>
      <c r="D16" s="189">
        <f t="shared" si="0"/>
        <v>27000</v>
      </c>
      <c r="E16" s="190">
        <f t="shared" si="1"/>
        <v>0</v>
      </c>
      <c r="F16" s="189">
        <f>VLOOKUP(C16,SALARY,12)/'SALARY-BENEFITS LOOKUP TABLE'!$E$22*(1+'SALARY-BENEFITS LOOKUP TABLE'!$E$24)*B16</f>
        <v>0</v>
      </c>
      <c r="G16" s="21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ht="13.8" thickBot="1">
      <c r="A17" s="41"/>
      <c r="B17" s="219"/>
      <c r="C17" s="215"/>
      <c r="D17" s="52"/>
      <c r="E17" s="13"/>
      <c r="F17" s="13"/>
      <c r="G17" s="4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ht="13.8" thickBot="1">
      <c r="A18" s="39" t="s">
        <v>1106</v>
      </c>
      <c r="B18" s="220">
        <f>SUM(B11:B17)</f>
        <v>0</v>
      </c>
      <c r="C18" s="49"/>
      <c r="D18" s="5"/>
      <c r="E18" s="50">
        <f>SUM(E11:E17)</f>
        <v>0</v>
      </c>
      <c r="F18" s="50">
        <f>SUM(F11:F17)</f>
        <v>0</v>
      </c>
      <c r="G18" s="50">
        <f>SUM(G11:G17)</f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>
      <c r="A19" s="23"/>
      <c r="B19" s="12"/>
      <c r="C19" s="23"/>
      <c r="D19" s="9"/>
      <c r="E19" s="9"/>
      <c r="F19" s="2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1">
      <c r="A20" s="23"/>
      <c r="B20" s="12"/>
      <c r="C20" s="23"/>
      <c r="D20" s="9"/>
      <c r="E20" s="9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1">
      <c r="A21" s="23"/>
      <c r="B21" s="12"/>
      <c r="C21" s="23"/>
      <c r="D21" s="9"/>
      <c r="E21" s="9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1">
      <c r="A22" s="23"/>
      <c r="B22" s="12"/>
      <c r="C22" s="23"/>
      <c r="D22" s="9"/>
      <c r="E22" s="9"/>
      <c r="F22" s="2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1" hidden="1">
      <c r="A23" s="39" t="s">
        <v>1107</v>
      </c>
      <c r="B23" s="12"/>
      <c r="C23" s="23"/>
      <c r="D23" s="9"/>
      <c r="E23" s="9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1" ht="13.8" hidden="1" thickBot="1">
      <c r="A24" s="23"/>
      <c r="B24" s="12"/>
      <c r="C24" s="23"/>
      <c r="D24" s="9"/>
      <c r="E24" s="9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1" hidden="1">
      <c r="A25" s="4"/>
      <c r="B25" s="53"/>
      <c r="C25" s="201" t="s">
        <v>1108</v>
      </c>
      <c r="D25" s="202"/>
      <c r="E25" s="252" t="s">
        <v>1109</v>
      </c>
      <c r="F25" s="5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1" ht="13.8" hidden="1" thickBot="1">
      <c r="A26" s="23"/>
      <c r="B26" s="55" t="s">
        <v>1093</v>
      </c>
      <c r="C26" s="57" t="s">
        <v>1110</v>
      </c>
      <c r="D26" s="56" t="s">
        <v>1111</v>
      </c>
      <c r="E26" s="57" t="s">
        <v>1112</v>
      </c>
      <c r="F26" s="58" t="s">
        <v>884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1" hidden="1">
      <c r="A27" s="4"/>
      <c r="B27" s="59"/>
      <c r="C27" s="60"/>
      <c r="D27" s="61"/>
      <c r="E27" s="62"/>
      <c r="F27" s="6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1" hidden="1">
      <c r="A28" s="23" t="s">
        <v>1113</v>
      </c>
      <c r="B28" s="11">
        <v>2</v>
      </c>
      <c r="C28" s="60">
        <f>'O&amp;M_Backup'!D111+'O&amp;M_Backup'!D114</f>
        <v>0</v>
      </c>
      <c r="D28" s="64">
        <f>'O&amp;M_Backup'!D112</f>
        <v>0</v>
      </c>
      <c r="E28" s="60">
        <f>'O&amp;M_Backup'!D113</f>
        <v>0</v>
      </c>
      <c r="F28" s="63">
        <f>SUM(C28:E28)</f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1" hidden="1">
      <c r="A29" s="4"/>
      <c r="B29" s="65"/>
      <c r="C29" s="38"/>
      <c r="D29" s="9"/>
      <c r="E29" s="13"/>
      <c r="F29" s="6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1" ht="13.8" hidden="1" thickBot="1">
      <c r="A30" s="23"/>
      <c r="B30" s="29"/>
      <c r="C30" s="67"/>
      <c r="D30" s="24"/>
      <c r="E30" s="25"/>
      <c r="F30" s="6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1" ht="13.8" hidden="1" thickBot="1">
      <c r="A31" s="39" t="s">
        <v>1114</v>
      </c>
      <c r="B31" s="49">
        <f>SUM(B27:B30)</f>
        <v>2</v>
      </c>
      <c r="C31" s="51"/>
      <c r="D31" s="50">
        <f>SUM(D27:D30)</f>
        <v>0</v>
      </c>
      <c r="E31" s="50">
        <f>SUM(E27:E30)</f>
        <v>0</v>
      </c>
      <c r="F31" s="50">
        <f>SUM(F27:F30)</f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>
      <c r="A36" s="4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>
      <c r="A37" s="4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>
      <c r="A38" s="4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spans="1:4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spans="1:4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 spans="1:4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spans="1:4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 spans="1:4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spans="1:4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 spans="1:4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spans="1:4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 spans="1:4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1:4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 spans="1:4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1:4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 spans="1:4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spans="1:4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spans="1:4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spans="1:4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1:4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spans="1:4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 spans="1:4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spans="1: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 spans="1:4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spans="1:4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 spans="1:4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spans="1:4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 spans="1:4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spans="1:4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 spans="1:4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spans="1:4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 spans="1:4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 spans="1:4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spans="1:4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spans="1:4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 spans="1:4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spans="1:4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 spans="1:4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spans="1:4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 spans="1:4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1:4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spans="1:4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spans="1:4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 spans="1:4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spans="1:4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 spans="1:4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spans="1:4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spans="1:4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spans="1:4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 spans="1:4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spans="1:4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 spans="1:4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spans="1:4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spans="1:4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1:4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 spans="1:4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spans="1:4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 spans="1:4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spans="1:4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 spans="1:4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 spans="1:4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 spans="1:4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1:4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spans="1:4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1:4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1:4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1:4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spans="1:4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1:4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1:4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1:4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1:4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1:4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spans="1:4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spans="1:4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1:4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1:4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1:4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1:4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1:4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1:4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spans="1:4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1:4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1:4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1:4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1:4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1:4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1:4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spans="1:4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1:4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1:4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1:4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1:4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1:4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1:4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1:4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1:4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1:4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1:4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1:4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1:4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1:4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spans="1:4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spans="1:4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 spans="1:4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 spans="1:4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 spans="1:4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</row>
    <row r="225" spans="1:4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 spans="1:4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</row>
    <row r="227" spans="1:4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 spans="1:4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</row>
    <row r="229" spans="1:4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 spans="1:4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 spans="1:4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 spans="1:4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 spans="1:4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 spans="1:4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 spans="1:4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 spans="1:4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 spans="1:4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 spans="1:4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 spans="1:4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 spans="1: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</row>
    <row r="241" spans="1:4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 spans="1:4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 spans="1:4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 spans="1:4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 spans="1:4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 spans="1:4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</row>
    <row r="247" spans="1:4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</row>
    <row r="248" spans="1:4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</row>
    <row r="249" spans="1:4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 spans="1:4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</row>
    <row r="251" spans="1:4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 spans="1:4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</row>
    <row r="253" spans="1:4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 spans="1:4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</row>
    <row r="255" spans="1:4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 spans="1:4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</row>
    <row r="257" spans="1:4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 spans="1:40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</row>
    <row r="259" spans="1:4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 spans="1:4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 spans="1:4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 spans="1:40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 spans="1:4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 spans="1:4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 spans="1:4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 spans="1:40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 spans="1:4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 spans="1:40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</row>
    <row r="269" spans="1:4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 spans="1:4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 spans="1:4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 spans="1:40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</row>
    <row r="273" spans="1:4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 spans="1:40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 spans="1:4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 spans="1:40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 spans="1:4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 spans="1:40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 spans="1:4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 spans="1:4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 spans="1:4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 spans="1:40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 spans="1:4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 spans="1:40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 spans="1:4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 spans="1:40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 spans="1:4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 spans="1:40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 spans="1:4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 spans="1:4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 spans="1:4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 spans="1:4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 spans="1:4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 spans="1:40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 spans="1:4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 spans="1:4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 spans="1:4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 spans="1:40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</row>
    <row r="299" spans="1:4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 spans="1:4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</row>
    <row r="301" spans="1:4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 spans="1:40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</row>
    <row r="303" spans="1:4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</row>
    <row r="304" spans="1:40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</row>
    <row r="305" spans="1:4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 spans="1:40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</row>
    <row r="307" spans="1:4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 spans="1:40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</row>
    <row r="309" spans="1:40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 spans="1:4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</row>
    <row r="311" spans="1:40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</row>
    <row r="312" spans="1:40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</row>
    <row r="313" spans="1:40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</row>
    <row r="314" spans="1:40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</row>
    <row r="315" spans="1:40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</row>
    <row r="316" spans="1:40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</row>
    <row r="317" spans="1:40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</row>
    <row r="318" spans="1:40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</row>
    <row r="319" spans="1:40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</row>
    <row r="320" spans="1:4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</row>
    <row r="321" spans="1:40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</row>
    <row r="322" spans="1:40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</row>
    <row r="323" spans="1:40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</row>
    <row r="324" spans="1:40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</row>
    <row r="325" spans="1:4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</row>
    <row r="326" spans="1:4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</row>
    <row r="327" spans="1:4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</row>
    <row r="328" spans="1:4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</row>
    <row r="329" spans="1:40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</row>
    <row r="330" spans="1:4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</row>
    <row r="331" spans="1:40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</row>
    <row r="332" spans="1:4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</row>
    <row r="333" spans="1:4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</row>
    <row r="334" spans="1:40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</row>
    <row r="335" spans="1:4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</row>
    <row r="336" spans="1:4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</row>
    <row r="337" spans="1:40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</row>
    <row r="338" spans="1:40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</row>
    <row r="339" spans="1:40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</row>
    <row r="340" spans="1: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</row>
    <row r="341" spans="1:40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</row>
    <row r="342" spans="1:40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</row>
    <row r="343" spans="1:40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</row>
    <row r="344" spans="1:40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</row>
    <row r="345" spans="1:40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</row>
    <row r="346" spans="1:40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</row>
    <row r="347" spans="1:40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</row>
    <row r="348" spans="1:40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</row>
    <row r="349" spans="1:40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</row>
    <row r="350" spans="1:4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</row>
    <row r="351" spans="1:40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</row>
    <row r="352" spans="1:40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</row>
    <row r="353" spans="1:40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</row>
    <row r="354" spans="1:40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</row>
    <row r="355" spans="1:40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</row>
    <row r="356" spans="1:40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</row>
  </sheetData>
  <printOptions horizontalCentered="1"/>
  <pageMargins left="0.75" right="0.75" top="1" bottom="1" header="0.5" footer="0.5"/>
  <pageSetup scale="79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showGridLines="0" zoomScale="75" workbookViewId="0">
      <selection activeCell="F38" sqref="F38"/>
    </sheetView>
  </sheetViews>
  <sheetFormatPr defaultRowHeight="13.2"/>
  <cols>
    <col min="1" max="1" width="27.44140625" customWidth="1"/>
    <col min="3" max="3" width="12.44140625" customWidth="1"/>
    <col min="4" max="4" width="11.88671875" customWidth="1"/>
    <col min="5" max="5" width="11.33203125" customWidth="1"/>
    <col min="7" max="7" width="15.5546875" customWidth="1"/>
    <col min="8" max="8" width="14" customWidth="1"/>
    <col min="9" max="9" width="13.6640625" customWidth="1"/>
    <col min="10" max="11" width="14" customWidth="1"/>
    <col min="12" max="12" width="11.33203125" customWidth="1"/>
    <col min="13" max="13" width="10.33203125" customWidth="1"/>
    <col min="14" max="14" width="10.88671875" customWidth="1"/>
  </cols>
  <sheetData>
    <row r="1" spans="1:14" ht="15.6">
      <c r="A1" s="474" t="str">
        <f>Scope!$A$1</f>
        <v>Santee Cooper 5 x LM6000 PC Power Project (236 MW)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5.6">
      <c r="A2" s="296" t="s">
        <v>1322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4" spans="1:14" ht="13.8" thickBot="1">
      <c r="N4" s="456"/>
    </row>
    <row r="5" spans="1:14" ht="13.8" thickBot="1">
      <c r="C5" s="457" t="s">
        <v>1286</v>
      </c>
      <c r="D5" s="457"/>
      <c r="E5" s="457"/>
      <c r="F5" s="457"/>
      <c r="G5" s="458" t="s">
        <v>1097</v>
      </c>
      <c r="H5" s="457"/>
      <c r="I5" s="457"/>
      <c r="J5" s="457"/>
      <c r="K5" s="457"/>
      <c r="L5" s="457"/>
      <c r="M5" s="457"/>
      <c r="N5" t="s">
        <v>884</v>
      </c>
    </row>
    <row r="6" spans="1:14">
      <c r="C6" t="s">
        <v>1287</v>
      </c>
      <c r="D6" t="s">
        <v>1287</v>
      </c>
      <c r="E6" t="s">
        <v>1287</v>
      </c>
      <c r="F6" t="s">
        <v>1288</v>
      </c>
      <c r="G6" s="459" t="s">
        <v>1289</v>
      </c>
      <c r="H6" t="s">
        <v>1290</v>
      </c>
      <c r="I6" s="460" t="s">
        <v>1291</v>
      </c>
      <c r="K6" t="s">
        <v>1292</v>
      </c>
      <c r="L6" t="s">
        <v>1097</v>
      </c>
      <c r="M6" t="s">
        <v>884</v>
      </c>
      <c r="N6" t="s">
        <v>1293</v>
      </c>
    </row>
    <row r="7" spans="1:14" ht="13.8" thickBot="1">
      <c r="B7" s="456" t="s">
        <v>1094</v>
      </c>
      <c r="C7" s="456" t="s">
        <v>1294</v>
      </c>
      <c r="D7" s="456" t="s">
        <v>1295</v>
      </c>
      <c r="E7" s="456" t="s">
        <v>1296</v>
      </c>
      <c r="F7" s="456" t="s">
        <v>1296</v>
      </c>
      <c r="G7" s="461" t="s">
        <v>1297</v>
      </c>
      <c r="H7" s="456" t="s">
        <v>1297</v>
      </c>
      <c r="I7" s="456" t="s">
        <v>1298</v>
      </c>
      <c r="J7" s="456" t="s">
        <v>1299</v>
      </c>
      <c r="K7" s="456" t="s">
        <v>1300</v>
      </c>
      <c r="L7" s="456" t="s">
        <v>1301</v>
      </c>
      <c r="M7" s="456" t="s">
        <v>1097</v>
      </c>
      <c r="N7" s="456" t="s">
        <v>1097</v>
      </c>
    </row>
    <row r="8" spans="1:14">
      <c r="A8" t="s">
        <v>1302</v>
      </c>
      <c r="B8">
        <v>1</v>
      </c>
      <c r="C8" s="31">
        <v>55000</v>
      </c>
      <c r="D8" s="31">
        <v>80000</v>
      </c>
      <c r="E8" s="31">
        <f t="shared" ref="E8:E17" si="0">(D8+C8)/2</f>
        <v>67500</v>
      </c>
      <c r="F8" s="31">
        <f t="shared" ref="F8:F17" si="1">12*E8</f>
        <v>810000</v>
      </c>
      <c r="G8" s="31">
        <v>111250</v>
      </c>
      <c r="H8" s="31">
        <v>762600</v>
      </c>
      <c r="I8" s="31">
        <f t="shared" ref="I8:I17" si="2">0.2*F8</f>
        <v>162000</v>
      </c>
      <c r="J8" s="31">
        <v>251100</v>
      </c>
      <c r="K8" s="31">
        <f t="shared" ref="K8:K17" si="3">0.3*F8</f>
        <v>243000</v>
      </c>
      <c r="L8" s="31">
        <v>669800</v>
      </c>
      <c r="M8" s="31">
        <f t="shared" ref="M8:M17" si="4">H8+I8+J8+L8+G8+K8</f>
        <v>2199750</v>
      </c>
      <c r="N8" s="31">
        <f t="shared" ref="N8:N17" si="5">+M8+F8</f>
        <v>3009750</v>
      </c>
    </row>
    <row r="9" spans="1:14">
      <c r="A9" t="s">
        <v>1303</v>
      </c>
      <c r="B9">
        <v>2</v>
      </c>
      <c r="C9" s="31">
        <v>40000</v>
      </c>
      <c r="D9" s="31">
        <v>50000</v>
      </c>
      <c r="E9" s="31">
        <f t="shared" si="0"/>
        <v>45000</v>
      </c>
      <c r="F9" s="31">
        <f t="shared" si="1"/>
        <v>540000</v>
      </c>
      <c r="G9" s="31">
        <v>77500</v>
      </c>
      <c r="H9" s="31">
        <v>417600</v>
      </c>
      <c r="I9" s="31">
        <f t="shared" si="2"/>
        <v>108000</v>
      </c>
      <c r="J9" s="31">
        <v>167100</v>
      </c>
      <c r="K9" s="31">
        <f t="shared" si="3"/>
        <v>162000</v>
      </c>
      <c r="L9" s="31">
        <v>491200</v>
      </c>
      <c r="M9" s="31">
        <f t="shared" si="4"/>
        <v>1423400</v>
      </c>
      <c r="N9" s="31">
        <f t="shared" si="5"/>
        <v>1963400</v>
      </c>
    </row>
    <row r="10" spans="1:14">
      <c r="A10" t="s">
        <v>1304</v>
      </c>
      <c r="B10">
        <v>3</v>
      </c>
      <c r="C10" s="31">
        <v>23000</v>
      </c>
      <c r="D10" s="31">
        <v>31000</v>
      </c>
      <c r="E10" s="31">
        <f t="shared" si="0"/>
        <v>27000</v>
      </c>
      <c r="F10" s="31">
        <f t="shared" si="1"/>
        <v>324000</v>
      </c>
      <c r="G10" s="31">
        <v>50500</v>
      </c>
      <c r="H10" s="31">
        <v>226200</v>
      </c>
      <c r="I10" s="31">
        <f t="shared" si="2"/>
        <v>64800</v>
      </c>
      <c r="J10" s="31">
        <v>100440</v>
      </c>
      <c r="K10" s="31">
        <f t="shared" si="3"/>
        <v>97200</v>
      </c>
      <c r="L10" s="31">
        <v>346320</v>
      </c>
      <c r="M10" s="31">
        <f t="shared" si="4"/>
        <v>885460</v>
      </c>
      <c r="N10" s="31">
        <f t="shared" si="5"/>
        <v>1209460</v>
      </c>
    </row>
    <row r="11" spans="1:14">
      <c r="A11" t="s">
        <v>1305</v>
      </c>
      <c r="B11">
        <v>4</v>
      </c>
      <c r="C11" s="31">
        <v>19000</v>
      </c>
      <c r="D11" s="31">
        <v>22500</v>
      </c>
      <c r="E11" s="31">
        <f t="shared" si="0"/>
        <v>20750</v>
      </c>
      <c r="F11" s="31">
        <f t="shared" si="1"/>
        <v>249000</v>
      </c>
      <c r="G11" s="31">
        <v>41125</v>
      </c>
      <c r="H11" s="31">
        <v>190500</v>
      </c>
      <c r="I11" s="31">
        <f t="shared" si="2"/>
        <v>49800</v>
      </c>
      <c r="J11" s="31">
        <v>77190</v>
      </c>
      <c r="K11" s="31">
        <f t="shared" si="3"/>
        <v>74700</v>
      </c>
      <c r="L11" s="31">
        <v>190320</v>
      </c>
      <c r="M11" s="31">
        <f t="shared" si="4"/>
        <v>623635</v>
      </c>
      <c r="N11" s="31">
        <f t="shared" si="5"/>
        <v>872635</v>
      </c>
    </row>
    <row r="12" spans="1:14">
      <c r="A12" t="s">
        <v>1306</v>
      </c>
      <c r="B12">
        <v>5</v>
      </c>
      <c r="C12" s="31">
        <v>14000</v>
      </c>
      <c r="D12" s="31">
        <v>19500</v>
      </c>
      <c r="E12" s="31">
        <f t="shared" si="0"/>
        <v>16750</v>
      </c>
      <c r="F12" s="31">
        <f t="shared" si="1"/>
        <v>201000</v>
      </c>
      <c r="G12" s="31">
        <v>35125</v>
      </c>
      <c r="H12" s="31">
        <v>154500</v>
      </c>
      <c r="I12" s="31">
        <f t="shared" si="2"/>
        <v>40200</v>
      </c>
      <c r="J12" s="31">
        <v>62310</v>
      </c>
      <c r="K12" s="31">
        <f t="shared" si="3"/>
        <v>60300</v>
      </c>
      <c r="L12" s="31">
        <v>160180</v>
      </c>
      <c r="M12" s="31">
        <f t="shared" si="4"/>
        <v>512615</v>
      </c>
      <c r="N12" s="31">
        <f t="shared" si="5"/>
        <v>713615</v>
      </c>
    </row>
    <row r="13" spans="1:14">
      <c r="A13" t="s">
        <v>1307</v>
      </c>
      <c r="B13">
        <v>6</v>
      </c>
      <c r="C13" s="31">
        <v>8500</v>
      </c>
      <c r="D13" s="31">
        <v>14350</v>
      </c>
      <c r="E13" s="31">
        <f t="shared" si="0"/>
        <v>11425</v>
      </c>
      <c r="F13" s="31">
        <f t="shared" si="1"/>
        <v>137100</v>
      </c>
      <c r="G13" s="31">
        <v>21425</v>
      </c>
      <c r="H13" s="31">
        <v>97530</v>
      </c>
      <c r="I13" s="31">
        <f t="shared" si="2"/>
        <v>27420</v>
      </c>
      <c r="J13" s="31">
        <v>42501</v>
      </c>
      <c r="K13" s="31">
        <f t="shared" si="3"/>
        <v>41130</v>
      </c>
      <c r="L13" s="31">
        <v>122328</v>
      </c>
      <c r="M13" s="31">
        <f t="shared" si="4"/>
        <v>352334</v>
      </c>
      <c r="N13" s="31">
        <f t="shared" si="5"/>
        <v>489434</v>
      </c>
    </row>
    <row r="14" spans="1:14">
      <c r="A14" t="s">
        <v>1308</v>
      </c>
      <c r="B14">
        <v>7</v>
      </c>
      <c r="C14" s="31">
        <v>8500</v>
      </c>
      <c r="D14" s="31">
        <v>10900</v>
      </c>
      <c r="E14" s="31">
        <f t="shared" si="0"/>
        <v>9700</v>
      </c>
      <c r="F14" s="31">
        <f t="shared" si="1"/>
        <v>116400</v>
      </c>
      <c r="G14" s="31">
        <v>19700</v>
      </c>
      <c r="H14" s="31">
        <v>65280</v>
      </c>
      <c r="I14" s="31">
        <f t="shared" si="2"/>
        <v>23280</v>
      </c>
      <c r="J14" s="31">
        <v>36084</v>
      </c>
      <c r="K14" s="31">
        <f t="shared" si="3"/>
        <v>34920</v>
      </c>
      <c r="L14" s="31">
        <v>78052</v>
      </c>
      <c r="M14" s="31">
        <f t="shared" si="4"/>
        <v>257316</v>
      </c>
      <c r="N14" s="31">
        <f t="shared" si="5"/>
        <v>373716</v>
      </c>
    </row>
    <row r="15" spans="1:14">
      <c r="A15" t="s">
        <v>1309</v>
      </c>
      <c r="B15">
        <v>8</v>
      </c>
      <c r="C15" s="31">
        <v>3800</v>
      </c>
      <c r="D15" s="31">
        <v>5250</v>
      </c>
      <c r="E15" s="31">
        <f t="shared" si="0"/>
        <v>4525</v>
      </c>
      <c r="F15" s="31">
        <f t="shared" si="1"/>
        <v>54300</v>
      </c>
      <c r="G15" s="31">
        <v>9050</v>
      </c>
      <c r="H15" s="31">
        <v>32860</v>
      </c>
      <c r="I15" s="31">
        <f t="shared" si="2"/>
        <v>10860</v>
      </c>
      <c r="J15" s="31">
        <v>16833</v>
      </c>
      <c r="K15" s="31">
        <f t="shared" si="3"/>
        <v>16290</v>
      </c>
      <c r="L15" s="31">
        <v>7474</v>
      </c>
      <c r="M15" s="31">
        <f t="shared" si="4"/>
        <v>93367</v>
      </c>
      <c r="N15" s="31">
        <f t="shared" si="5"/>
        <v>147667</v>
      </c>
    </row>
    <row r="16" spans="1:14">
      <c r="A16" t="s">
        <v>1310</v>
      </c>
      <c r="B16">
        <v>9</v>
      </c>
      <c r="C16" s="31">
        <v>2500</v>
      </c>
      <c r="D16" s="31">
        <v>5000</v>
      </c>
      <c r="E16" s="31">
        <f t="shared" si="0"/>
        <v>3750</v>
      </c>
      <c r="F16" s="31">
        <f t="shared" si="1"/>
        <v>45000</v>
      </c>
      <c r="G16" s="31">
        <v>7500</v>
      </c>
      <c r="H16" s="31">
        <v>24000</v>
      </c>
      <c r="I16" s="31">
        <f t="shared" si="2"/>
        <v>9000</v>
      </c>
      <c r="J16" s="31">
        <v>13950</v>
      </c>
      <c r="K16" s="31">
        <f t="shared" si="3"/>
        <v>13500</v>
      </c>
      <c r="L16" s="31">
        <v>3600</v>
      </c>
      <c r="M16" s="31">
        <f t="shared" si="4"/>
        <v>71550</v>
      </c>
      <c r="N16" s="31">
        <f t="shared" si="5"/>
        <v>116550</v>
      </c>
    </row>
    <row r="17" spans="1:15">
      <c r="A17" t="s">
        <v>1311</v>
      </c>
      <c r="B17">
        <v>10</v>
      </c>
      <c r="C17" s="31">
        <v>1500</v>
      </c>
      <c r="D17" s="31">
        <v>3000</v>
      </c>
      <c r="E17" s="31">
        <f t="shared" si="0"/>
        <v>2250</v>
      </c>
      <c r="F17" s="31">
        <f t="shared" si="1"/>
        <v>27000</v>
      </c>
      <c r="G17" s="31">
        <v>4500</v>
      </c>
      <c r="H17" s="31">
        <v>6000</v>
      </c>
      <c r="I17" s="31">
        <f t="shared" si="2"/>
        <v>5400</v>
      </c>
      <c r="J17" s="31">
        <v>8370</v>
      </c>
      <c r="K17" s="31">
        <f t="shared" si="3"/>
        <v>8100</v>
      </c>
      <c r="L17" s="31">
        <v>3360</v>
      </c>
      <c r="M17" s="31">
        <f t="shared" si="4"/>
        <v>35730</v>
      </c>
      <c r="N17" s="31">
        <f t="shared" si="5"/>
        <v>62730</v>
      </c>
    </row>
    <row r="20" spans="1:15">
      <c r="H20" s="226"/>
      <c r="I20" s="226"/>
      <c r="J20" s="226"/>
      <c r="K20" s="226"/>
      <c r="L20" s="226"/>
      <c r="M20" s="226"/>
      <c r="N20" s="226"/>
      <c r="O20" s="226"/>
    </row>
    <row r="21" spans="1:15" ht="13.8" thickBot="1"/>
    <row r="22" spans="1:15" ht="13.8" thickBot="1">
      <c r="B22" s="462" t="s">
        <v>1321</v>
      </c>
      <c r="C22" s="463"/>
      <c r="D22" s="463"/>
      <c r="E22" s="464">
        <v>1</v>
      </c>
    </row>
    <row r="23" spans="1:15" ht="13.8" thickBot="1"/>
    <row r="24" spans="1:15" ht="13.8" thickBot="1">
      <c r="B24" s="462" t="s">
        <v>1312</v>
      </c>
      <c r="C24" s="463"/>
      <c r="D24" s="463"/>
      <c r="E24" s="453">
        <f>(1+E29)^E28-1</f>
        <v>0</v>
      </c>
    </row>
    <row r="25" spans="1:15" ht="13.8" thickBot="1"/>
    <row r="26" spans="1:15">
      <c r="B26" s="465" t="s">
        <v>1313</v>
      </c>
      <c r="C26" s="466"/>
      <c r="D26" s="466"/>
      <c r="E26" s="467">
        <v>2000</v>
      </c>
      <c r="F26" s="468" t="s">
        <v>1314</v>
      </c>
    </row>
    <row r="27" spans="1:15">
      <c r="B27" s="469" t="s">
        <v>1315</v>
      </c>
      <c r="C27" s="205"/>
      <c r="D27" s="205"/>
      <c r="E27" s="470">
        <v>2000</v>
      </c>
    </row>
    <row r="28" spans="1:15">
      <c r="B28" s="469" t="s">
        <v>1316</v>
      </c>
      <c r="C28" s="205"/>
      <c r="D28" s="205"/>
      <c r="E28" s="470">
        <f>E26-E27</f>
        <v>0</v>
      </c>
    </row>
    <row r="29" spans="1:15" ht="13.8" thickBot="1">
      <c r="B29" s="471" t="s">
        <v>1317</v>
      </c>
      <c r="C29" s="472"/>
      <c r="D29" s="472"/>
      <c r="E29" s="473">
        <v>0.09</v>
      </c>
      <c r="F29" s="468" t="s">
        <v>1318</v>
      </c>
    </row>
    <row r="32" spans="1:15">
      <c r="B32" t="s">
        <v>1319</v>
      </c>
    </row>
    <row r="35" spans="2:2">
      <c r="B35" t="s">
        <v>1320</v>
      </c>
    </row>
  </sheetData>
  <printOptions horizontalCentered="1"/>
  <pageMargins left="0.75" right="0.75" top="1" bottom="1" header="0.5" footer="0.5"/>
  <pageSetup scale="66" orientation="landscape" r:id="rId1"/>
  <headerFooter alignWithMargins="0">
    <oddFooter>&amp;LName
&amp;D&amp;CPage _____&amp;R&amp;F
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F36"/>
  <sheetViews>
    <sheetView zoomScaleNormal="25" zoomScaleSheetLayoutView="100" workbookViewId="0">
      <selection activeCell="AA75" sqref="AA75"/>
    </sheetView>
  </sheetViews>
  <sheetFormatPr defaultRowHeight="13.2"/>
  <cols>
    <col min="2" max="2" width="26.109375" customWidth="1"/>
    <col min="3" max="3" width="5.44140625" customWidth="1"/>
    <col min="4" max="4" width="10.44140625" customWidth="1"/>
    <col min="5" max="5" width="13.88671875" customWidth="1"/>
    <col min="7" max="7" width="12.33203125" customWidth="1"/>
  </cols>
  <sheetData>
    <row r="1" spans="1:6">
      <c r="A1" s="251" t="str">
        <f>Scope!A1</f>
        <v>Santee Cooper 5 x LM6000 PC Power Project (236 MW)</v>
      </c>
      <c r="B1" s="237"/>
      <c r="C1" s="237"/>
      <c r="D1" s="237"/>
      <c r="E1" s="237"/>
      <c r="F1" s="237"/>
    </row>
    <row r="2" spans="1:6">
      <c r="A2" s="227" t="s">
        <v>208</v>
      </c>
      <c r="B2" s="237"/>
      <c r="C2" s="237"/>
      <c r="D2" s="237"/>
      <c r="E2" s="237"/>
      <c r="F2" s="237"/>
    </row>
    <row r="3" spans="1:6">
      <c r="A3" s="227"/>
      <c r="B3" s="90"/>
      <c r="C3" s="90"/>
      <c r="D3" s="90"/>
      <c r="E3" s="90"/>
    </row>
    <row r="4" spans="1:6">
      <c r="A4" s="227"/>
      <c r="B4" s="90"/>
      <c r="C4" s="90"/>
      <c r="D4" s="90"/>
      <c r="E4" s="90"/>
    </row>
    <row r="5" spans="1:6">
      <c r="B5" s="144"/>
    </row>
    <row r="6" spans="1:6">
      <c r="B6" s="144"/>
    </row>
    <row r="7" spans="1:6">
      <c r="B7" s="144"/>
      <c r="C7" s="244"/>
      <c r="D7" s="229" t="s">
        <v>368</v>
      </c>
    </row>
    <row r="8" spans="1:6">
      <c r="B8" s="144"/>
      <c r="D8" s="144"/>
    </row>
    <row r="9" spans="1:6" ht="15.6">
      <c r="B9" s="204" t="s">
        <v>1117</v>
      </c>
      <c r="D9" s="245">
        <v>0.313</v>
      </c>
      <c r="E9" t="s">
        <v>1118</v>
      </c>
    </row>
    <row r="10" spans="1:6">
      <c r="B10" s="246"/>
      <c r="D10" s="247"/>
    </row>
    <row r="11" spans="1:6" ht="15.6">
      <c r="B11" s="204" t="s">
        <v>1119</v>
      </c>
      <c r="D11" s="248" t="s">
        <v>1120</v>
      </c>
    </row>
    <row r="12" spans="1:6">
      <c r="B12" s="249"/>
      <c r="D12" s="247"/>
    </row>
    <row r="13" spans="1:6">
      <c r="B13" s="204" t="s">
        <v>1116</v>
      </c>
      <c r="D13" s="247">
        <v>0.2</v>
      </c>
      <c r="E13" t="s">
        <v>1118</v>
      </c>
    </row>
    <row r="14" spans="1:6">
      <c r="B14" s="246"/>
      <c r="D14" s="250"/>
    </row>
    <row r="15" spans="1:6" ht="15.6">
      <c r="B15" s="204" t="s">
        <v>1121</v>
      </c>
      <c r="D15" s="248" t="s">
        <v>1122</v>
      </c>
    </row>
    <row r="16" spans="1:6">
      <c r="B16" s="204"/>
      <c r="C16" s="137"/>
      <c r="D16" s="137"/>
    </row>
    <row r="17" spans="1:4">
      <c r="B17" s="144"/>
      <c r="C17" s="230"/>
      <c r="D17" s="230"/>
    </row>
    <row r="18" spans="1:4">
      <c r="D18" s="231"/>
    </row>
    <row r="19" spans="1:4">
      <c r="D19" s="230"/>
    </row>
    <row r="20" spans="1:4">
      <c r="A20" s="180" t="s">
        <v>1123</v>
      </c>
      <c r="D20" s="230"/>
    </row>
    <row r="21" spans="1:4">
      <c r="A21" t="s">
        <v>1124</v>
      </c>
      <c r="D21" s="230"/>
    </row>
    <row r="22" spans="1:4">
      <c r="A22" t="s">
        <v>1125</v>
      </c>
      <c r="C22" s="230"/>
      <c r="D22" s="230"/>
    </row>
    <row r="23" spans="1:4">
      <c r="A23" t="s">
        <v>1126</v>
      </c>
      <c r="C23" s="230"/>
      <c r="D23" s="230"/>
    </row>
    <row r="24" spans="1:4">
      <c r="A24" t="s">
        <v>1127</v>
      </c>
      <c r="C24" s="230"/>
      <c r="D24" s="230"/>
    </row>
    <row r="25" spans="1:4">
      <c r="A25" t="s">
        <v>1128</v>
      </c>
      <c r="C25" s="230"/>
      <c r="D25" s="231"/>
    </row>
    <row r="26" spans="1:4">
      <c r="A26" t="s">
        <v>1129</v>
      </c>
      <c r="C26" s="230"/>
      <c r="D26" s="230"/>
    </row>
    <row r="27" spans="1:4">
      <c r="A27" t="s">
        <v>1130</v>
      </c>
      <c r="C27" s="213"/>
      <c r="D27" s="213"/>
    </row>
    <row r="28" spans="1:4">
      <c r="A28" t="s">
        <v>1131</v>
      </c>
      <c r="C28" s="230"/>
    </row>
    <row r="29" spans="1:4">
      <c r="A29" t="s">
        <v>1132</v>
      </c>
      <c r="C29" s="231"/>
      <c r="D29" s="137"/>
    </row>
    <row r="30" spans="1:4">
      <c r="A30" t="s">
        <v>1133</v>
      </c>
      <c r="C30" s="230"/>
    </row>
    <row r="31" spans="1:4">
      <c r="A31" t="s">
        <v>1134</v>
      </c>
    </row>
    <row r="32" spans="1:4">
      <c r="A32" t="s">
        <v>1135</v>
      </c>
    </row>
    <row r="33" spans="1:1">
      <c r="A33" t="s">
        <v>1136</v>
      </c>
    </row>
    <row r="34" spans="1:1">
      <c r="A34" t="s">
        <v>1137</v>
      </c>
    </row>
    <row r="35" spans="1:1">
      <c r="A35" t="s">
        <v>1138</v>
      </c>
    </row>
    <row r="36" spans="1:1">
      <c r="A36" t="s">
        <v>1139</v>
      </c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outlinePr applyStyles="1"/>
    <pageSetUpPr fitToPage="1"/>
  </sheetPr>
  <dimension ref="A1:I872"/>
  <sheetViews>
    <sheetView zoomScale="75" zoomScaleNormal="25" zoomScaleSheetLayoutView="100" workbookViewId="0">
      <pane ySplit="2" topLeftCell="A143" activePane="bottomLeft" state="frozen"/>
      <selection activeCell="F28" sqref="F28"/>
      <selection pane="bottomLeft" activeCell="F28" sqref="F28"/>
    </sheetView>
  </sheetViews>
  <sheetFormatPr defaultColWidth="9.109375" defaultRowHeight="13.2" outlineLevelRow="2"/>
  <cols>
    <col min="1" max="1" width="31.33203125" style="105" customWidth="1"/>
    <col min="2" max="2" width="41.44140625" style="105" customWidth="1"/>
    <col min="3" max="3" width="19.5546875" style="105" customWidth="1"/>
    <col min="4" max="4" width="15.6640625" style="105" customWidth="1"/>
    <col min="5" max="5" width="14.44140625" style="105" hidden="1" customWidth="1"/>
    <col min="6" max="6" width="12.6640625" style="105" hidden="1" customWidth="1"/>
    <col min="7" max="7" width="2.5546875" style="105" customWidth="1"/>
    <col min="8" max="9" width="9.44140625" style="110" customWidth="1"/>
    <col min="10" max="16384" width="9.109375" style="105"/>
  </cols>
  <sheetData>
    <row r="1" spans="1:9" ht="18" customHeight="1" thickBot="1">
      <c r="A1" s="104"/>
      <c r="H1" s="105"/>
      <c r="I1" s="105"/>
    </row>
    <row r="2" spans="1:9" ht="17.25" customHeight="1" thickBot="1">
      <c r="A2" s="106" t="s">
        <v>913</v>
      </c>
      <c r="B2" s="107" t="s">
        <v>914</v>
      </c>
      <c r="C2" s="108"/>
      <c r="D2" s="238" t="s">
        <v>915</v>
      </c>
      <c r="E2" s="238" t="s">
        <v>916</v>
      </c>
      <c r="F2" s="238" t="s">
        <v>917</v>
      </c>
      <c r="H2" s="109" t="s">
        <v>918</v>
      </c>
    </row>
    <row r="3" spans="1:9" s="114" customFormat="1" ht="20.25" customHeight="1" outlineLevel="1">
      <c r="A3" s="310" t="str">
        <f>Scope!A1</f>
        <v>Santee Cooper 5 x LM6000 PC Power Project (236 MW)</v>
      </c>
      <c r="B3" s="111"/>
      <c r="C3" s="112"/>
      <c r="D3" s="79"/>
      <c r="E3" s="79"/>
      <c r="F3" s="79"/>
    </row>
    <row r="4" spans="1:9" s="114" customFormat="1" ht="18" outlineLevel="1" thickBot="1">
      <c r="A4" s="115" t="s">
        <v>209</v>
      </c>
      <c r="B4" s="116"/>
      <c r="C4" s="117"/>
      <c r="D4" s="82"/>
      <c r="E4" s="82"/>
      <c r="F4" s="82"/>
    </row>
    <row r="5" spans="1:9" s="114" customFormat="1" ht="13.8" outlineLevel="1" thickBot="1">
      <c r="A5" s="163" t="s">
        <v>1140</v>
      </c>
      <c r="B5" s="164"/>
      <c r="C5" s="165"/>
      <c r="D5" s="121"/>
      <c r="E5" s="271">
        <f>E13/D13</f>
        <v>0</v>
      </c>
      <c r="F5" s="271">
        <f>1-E5</f>
        <v>1</v>
      </c>
    </row>
    <row r="6" spans="1:9" ht="13.8" outlineLevel="2" thickBot="1">
      <c r="A6" s="122" t="s">
        <v>514</v>
      </c>
      <c r="B6" s="89"/>
      <c r="C6" s="272"/>
      <c r="D6" s="124">
        <f>Ops_Staff!$G$17</f>
        <v>406043.19160615373</v>
      </c>
      <c r="E6" s="124">
        <v>0</v>
      </c>
      <c r="F6" s="124">
        <f>D6-E6</f>
        <v>406043.19160615373</v>
      </c>
      <c r="H6" s="105"/>
      <c r="I6" s="105"/>
    </row>
    <row r="7" spans="1:9" ht="13.8" hidden="1" outlineLevel="2" thickBot="1">
      <c r="A7" s="122"/>
      <c r="B7" s="89"/>
      <c r="C7" s="273"/>
      <c r="D7" s="124">
        <f>17*C7</f>
        <v>0</v>
      </c>
      <c r="E7" s="124">
        <v>0</v>
      </c>
      <c r="F7" s="124">
        <f>D7-E7</f>
        <v>0</v>
      </c>
      <c r="H7" s="105"/>
      <c r="I7" s="105"/>
    </row>
    <row r="8" spans="1:9" ht="13.8" hidden="1" outlineLevel="2" thickBot="1">
      <c r="A8" s="122"/>
      <c r="B8" s="89"/>
      <c r="C8" s="272"/>
      <c r="D8" s="124">
        <f>C10*C8</f>
        <v>0</v>
      </c>
      <c r="E8" s="124">
        <f>D8</f>
        <v>0</v>
      </c>
      <c r="F8" s="124">
        <f>D8-E8</f>
        <v>0</v>
      </c>
      <c r="H8" s="105"/>
      <c r="I8" s="105"/>
    </row>
    <row r="9" spans="1:9" ht="13.8" hidden="1" outlineLevel="2" thickBot="1">
      <c r="A9" s="122"/>
      <c r="B9" s="89"/>
      <c r="C9" s="272"/>
      <c r="D9" s="124">
        <f>(C11-C10)*C9</f>
        <v>0</v>
      </c>
      <c r="E9" s="124">
        <f>D9</f>
        <v>0</v>
      </c>
      <c r="F9" s="124">
        <f>D9-E9</f>
        <v>0</v>
      </c>
      <c r="H9" s="105"/>
      <c r="I9" s="105"/>
    </row>
    <row r="10" spans="1:9" ht="13.8" hidden="1" outlineLevel="2" thickBot="1">
      <c r="A10" s="122"/>
      <c r="B10" s="89"/>
      <c r="C10" s="123"/>
      <c r="D10" s="124"/>
      <c r="E10" s="124"/>
      <c r="F10" s="124"/>
      <c r="H10" s="105"/>
      <c r="I10" s="105"/>
    </row>
    <row r="11" spans="1:9" ht="13.8" hidden="1" outlineLevel="2" thickBot="1">
      <c r="A11" s="122"/>
      <c r="B11" s="89"/>
      <c r="C11" s="123"/>
      <c r="D11" s="124"/>
      <c r="E11" s="124"/>
      <c r="F11" s="124"/>
      <c r="H11" s="105"/>
      <c r="I11" s="105"/>
    </row>
    <row r="12" spans="1:9" ht="13.8" outlineLevel="2" thickBot="1">
      <c r="A12" s="122"/>
      <c r="B12" s="89"/>
      <c r="C12" s="123"/>
      <c r="D12" s="124"/>
      <c r="E12" s="124"/>
      <c r="F12" s="124"/>
      <c r="H12" s="105"/>
      <c r="I12" s="105"/>
    </row>
    <row r="13" spans="1:9" s="114" customFormat="1" ht="13.8" outlineLevel="1" thickBot="1">
      <c r="A13" s="122" t="s">
        <v>1141</v>
      </c>
      <c r="B13" s="89"/>
      <c r="C13" s="125" t="s">
        <v>941</v>
      </c>
      <c r="D13" s="113">
        <f>SUBTOTAL(9,D6:D10)</f>
        <v>406043.19160615373</v>
      </c>
      <c r="E13" s="113">
        <f>SUBTOTAL(9,E6:E10)</f>
        <v>0</v>
      </c>
      <c r="F13" s="113">
        <f>SUBTOTAL(9,F6:F10)</f>
        <v>406043.19160615373</v>
      </c>
    </row>
    <row r="14" spans="1:9" s="114" customFormat="1" ht="13.8" outlineLevel="1" thickBot="1">
      <c r="A14" s="166" t="s">
        <v>266</v>
      </c>
      <c r="B14" s="126"/>
      <c r="C14" s="149"/>
      <c r="D14" s="121"/>
      <c r="E14" s="271">
        <f>E23/D23</f>
        <v>1</v>
      </c>
      <c r="F14" s="271">
        <f>1-E14</f>
        <v>0</v>
      </c>
    </row>
    <row r="15" spans="1:9" ht="13.8" outlineLevel="2" thickBot="1">
      <c r="A15" s="500" t="s">
        <v>273</v>
      </c>
      <c r="B15" s="501" t="s">
        <v>797</v>
      </c>
      <c r="C15" s="123"/>
      <c r="D15" s="124">
        <f>2700*2</f>
        <v>5400</v>
      </c>
      <c r="E15" s="124">
        <f>D15</f>
        <v>5400</v>
      </c>
      <c r="F15" s="124">
        <f t="shared" ref="F15:F21" si="0">D15-E15</f>
        <v>0</v>
      </c>
      <c r="H15" s="105"/>
      <c r="I15" s="105"/>
    </row>
    <row r="16" spans="1:9" ht="13.8" outlineLevel="2" thickBot="1">
      <c r="A16" s="500" t="s">
        <v>515</v>
      </c>
      <c r="B16" s="501" t="s">
        <v>522</v>
      </c>
      <c r="C16" s="123"/>
      <c r="D16" s="124">
        <f>3*1000</f>
        <v>3000</v>
      </c>
      <c r="E16" s="124">
        <f t="shared" ref="E16:E21" si="1">D16</f>
        <v>3000</v>
      </c>
      <c r="F16" s="124">
        <f t="shared" si="0"/>
        <v>0</v>
      </c>
      <c r="H16" s="105"/>
      <c r="I16" s="105"/>
    </row>
    <row r="17" spans="1:9" ht="13.8" outlineLevel="2" thickBot="1">
      <c r="A17" s="500" t="s">
        <v>516</v>
      </c>
      <c r="B17" s="501" t="s">
        <v>521</v>
      </c>
      <c r="C17" s="123"/>
      <c r="D17" s="124">
        <f>2*1500</f>
        <v>3000</v>
      </c>
      <c r="E17" s="124">
        <f t="shared" si="1"/>
        <v>3000</v>
      </c>
      <c r="F17" s="124">
        <f t="shared" si="0"/>
        <v>0</v>
      </c>
      <c r="H17" s="105"/>
      <c r="I17" s="105"/>
    </row>
    <row r="18" spans="1:9" ht="13.8" outlineLevel="2" thickBot="1">
      <c r="A18" s="500" t="s">
        <v>517</v>
      </c>
      <c r="B18" s="501" t="s">
        <v>518</v>
      </c>
      <c r="C18" s="123"/>
      <c r="D18" s="124">
        <f>3*1000</f>
        <v>3000</v>
      </c>
      <c r="E18" s="124">
        <f t="shared" si="1"/>
        <v>3000</v>
      </c>
      <c r="F18" s="124">
        <f t="shared" si="0"/>
        <v>0</v>
      </c>
      <c r="H18" s="105"/>
      <c r="I18" s="105"/>
    </row>
    <row r="19" spans="1:9" ht="13.8" outlineLevel="2" thickBot="1">
      <c r="A19" s="500" t="s">
        <v>519</v>
      </c>
      <c r="B19" s="501" t="s">
        <v>520</v>
      </c>
      <c r="C19" s="123"/>
      <c r="D19" s="124">
        <v>10000</v>
      </c>
      <c r="E19" s="124">
        <f t="shared" si="1"/>
        <v>10000</v>
      </c>
      <c r="F19" s="124">
        <f t="shared" si="0"/>
        <v>0</v>
      </c>
      <c r="H19" s="105"/>
      <c r="I19" s="105"/>
    </row>
    <row r="20" spans="1:9" ht="13.8" hidden="1" outlineLevel="2" thickBot="1">
      <c r="A20" s="122"/>
      <c r="B20" s="89"/>
      <c r="C20" s="123"/>
      <c r="D20" s="124">
        <v>0</v>
      </c>
      <c r="E20" s="124">
        <f t="shared" si="1"/>
        <v>0</v>
      </c>
      <c r="F20" s="124">
        <f t="shared" si="0"/>
        <v>0</v>
      </c>
      <c r="H20" s="105"/>
      <c r="I20" s="105"/>
    </row>
    <row r="21" spans="1:9" ht="13.8" hidden="1" outlineLevel="2" thickBot="1">
      <c r="A21" s="122"/>
      <c r="B21" s="89"/>
      <c r="C21" s="123"/>
      <c r="D21" s="124">
        <v>0</v>
      </c>
      <c r="E21" s="124">
        <f t="shared" si="1"/>
        <v>0</v>
      </c>
      <c r="F21" s="124">
        <f t="shared" si="0"/>
        <v>0</v>
      </c>
      <c r="H21" s="105"/>
      <c r="I21" s="105"/>
    </row>
    <row r="22" spans="1:9" ht="13.8" outlineLevel="2" thickBot="1">
      <c r="A22" s="122"/>
      <c r="B22" s="89"/>
      <c r="C22" s="123"/>
      <c r="D22" s="124"/>
      <c r="E22" s="124"/>
      <c r="F22" s="124"/>
      <c r="H22" s="105"/>
      <c r="I22" s="105"/>
    </row>
    <row r="23" spans="1:9" s="114" customFormat="1" ht="13.8" outlineLevel="1" thickBot="1">
      <c r="A23" s="122" t="s">
        <v>476</v>
      </c>
      <c r="B23" s="89"/>
      <c r="C23" s="125" t="s">
        <v>941</v>
      </c>
      <c r="D23" s="113">
        <f>SUBTOTAL(9,D15:D21)</f>
        <v>24400</v>
      </c>
      <c r="E23" s="113">
        <f>SUBTOTAL(9,E15:E21)</f>
        <v>24400</v>
      </c>
      <c r="F23" s="113">
        <f>SUBTOTAL(9,F15:F21)</f>
        <v>0</v>
      </c>
    </row>
    <row r="24" spans="1:9" s="114" customFormat="1" ht="13.8" outlineLevel="1" thickBot="1">
      <c r="A24" s="166" t="s">
        <v>1142</v>
      </c>
      <c r="B24" s="126"/>
      <c r="C24" s="149"/>
      <c r="D24" s="121"/>
      <c r="E24" s="271" t="e">
        <f>E27/D27</f>
        <v>#DIV/0!</v>
      </c>
      <c r="F24" s="271" t="e">
        <f>1-E24</f>
        <v>#DIV/0!</v>
      </c>
    </row>
    <row r="25" spans="1:9" s="114" customFormat="1" ht="13.8" outlineLevel="1" thickBot="1">
      <c r="A25" s="500" t="s">
        <v>813</v>
      </c>
      <c r="B25" s="501" t="s">
        <v>814</v>
      </c>
      <c r="C25" s="501" t="s">
        <v>815</v>
      </c>
      <c r="D25" s="124">
        <v>50000</v>
      </c>
      <c r="E25" s="113">
        <f>D25</f>
        <v>50000</v>
      </c>
      <c r="F25" s="124">
        <f>D25-E25</f>
        <v>0</v>
      </c>
    </row>
    <row r="26" spans="1:9" s="114" customFormat="1" ht="13.8" outlineLevel="1" thickBot="1">
      <c r="A26" s="500"/>
      <c r="B26" s="501" t="s">
        <v>816</v>
      </c>
      <c r="C26" s="501">
        <f>52*5*12*20</f>
        <v>62400</v>
      </c>
      <c r="D26" s="113"/>
      <c r="E26" s="113"/>
      <c r="F26" s="113"/>
    </row>
    <row r="27" spans="1:9" s="114" customFormat="1" ht="13.8" outlineLevel="1" thickBot="1">
      <c r="A27" s="500" t="s">
        <v>606</v>
      </c>
      <c r="B27" s="501" t="s">
        <v>817</v>
      </c>
      <c r="C27" s="501">
        <f>52*48*20</f>
        <v>49920</v>
      </c>
      <c r="D27" s="113"/>
      <c r="E27" s="113">
        <f>SUBTOTAL(9,E25:E26)</f>
        <v>50000</v>
      </c>
      <c r="F27" s="113">
        <f>SUBTOTAL(9,F25:F26)</f>
        <v>0</v>
      </c>
    </row>
    <row r="28" spans="1:9" s="114" customFormat="1" ht="13.8" outlineLevel="1" thickBot="1">
      <c r="A28" s="122" t="s">
        <v>806</v>
      </c>
      <c r="B28" s="501"/>
      <c r="C28" s="501"/>
      <c r="D28" s="113">
        <f>SUBTOTAL(9,D25:D27)</f>
        <v>50000</v>
      </c>
      <c r="E28" s="113"/>
      <c r="F28" s="113"/>
    </row>
    <row r="29" spans="1:9" s="114" customFormat="1" ht="13.8" outlineLevel="1" thickBot="1">
      <c r="A29" s="166" t="s">
        <v>1144</v>
      </c>
      <c r="B29" s="126"/>
      <c r="C29" s="149"/>
      <c r="D29" s="581"/>
      <c r="E29" s="271">
        <f>E39/D39</f>
        <v>0.88461538461538458</v>
      </c>
      <c r="F29" s="271">
        <f>1-E29</f>
        <v>0.11538461538461542</v>
      </c>
    </row>
    <row r="30" spans="1:9" ht="13.8" outlineLevel="2" thickBot="1">
      <c r="A30" s="500" t="s">
        <v>798</v>
      </c>
      <c r="B30" s="501" t="s">
        <v>799</v>
      </c>
      <c r="C30" s="89"/>
      <c r="D30" s="255">
        <v>16000</v>
      </c>
      <c r="E30" s="580">
        <f>D30</f>
        <v>16000</v>
      </c>
      <c r="F30" s="124">
        <f>D30-E30</f>
        <v>0</v>
      </c>
      <c r="H30" s="105"/>
      <c r="I30" s="105"/>
    </row>
    <row r="31" spans="1:9" ht="13.8" outlineLevel="2" thickBot="1">
      <c r="A31" s="579" t="s">
        <v>800</v>
      </c>
      <c r="B31" s="501" t="s">
        <v>801</v>
      </c>
      <c r="C31" s="89"/>
      <c r="D31" s="255">
        <v>2000</v>
      </c>
      <c r="E31" s="580">
        <f t="shared" ref="E31:E37" si="2">D31</f>
        <v>2000</v>
      </c>
      <c r="F31" s="124">
        <f t="shared" ref="F31:F37" si="3">D31-E31</f>
        <v>0</v>
      </c>
      <c r="H31" s="105"/>
      <c r="I31" s="105"/>
    </row>
    <row r="32" spans="1:9" ht="13.8" outlineLevel="2" thickBot="1">
      <c r="A32" s="579" t="s">
        <v>802</v>
      </c>
      <c r="B32" s="501" t="s">
        <v>803</v>
      </c>
      <c r="C32" s="89"/>
      <c r="D32" s="255">
        <v>5000</v>
      </c>
      <c r="E32" s="580">
        <f t="shared" si="2"/>
        <v>5000</v>
      </c>
      <c r="F32" s="124">
        <f t="shared" si="3"/>
        <v>0</v>
      </c>
      <c r="H32" s="105"/>
      <c r="I32" s="105"/>
    </row>
    <row r="33" spans="1:9" ht="13.8" outlineLevel="2" thickBot="1">
      <c r="A33" s="500" t="s">
        <v>804</v>
      </c>
      <c r="B33" s="501" t="s">
        <v>805</v>
      </c>
      <c r="C33" s="89"/>
      <c r="D33" s="255">
        <v>3000</v>
      </c>
      <c r="E33" s="580">
        <v>0</v>
      </c>
      <c r="F33" s="124">
        <f t="shared" si="3"/>
        <v>3000</v>
      </c>
      <c r="H33" s="105"/>
      <c r="I33" s="105"/>
    </row>
    <row r="34" spans="1:9" ht="13.8" hidden="1" outlineLevel="2" thickBot="1">
      <c r="A34" s="122"/>
      <c r="B34" s="89"/>
      <c r="C34" s="123"/>
      <c r="D34" s="582"/>
      <c r="E34" s="124">
        <v>0</v>
      </c>
      <c r="F34" s="124">
        <f t="shared" si="3"/>
        <v>0</v>
      </c>
      <c r="H34" s="105"/>
      <c r="I34" s="105"/>
    </row>
    <row r="35" spans="1:9" ht="13.8" hidden="1" outlineLevel="2" thickBot="1">
      <c r="A35" s="122"/>
      <c r="B35" s="89"/>
      <c r="C35" s="123"/>
      <c r="D35" s="124"/>
      <c r="E35" s="124">
        <f t="shared" si="2"/>
        <v>0</v>
      </c>
      <c r="F35" s="124">
        <f t="shared" si="3"/>
        <v>0</v>
      </c>
      <c r="H35" s="105"/>
      <c r="I35" s="105"/>
    </row>
    <row r="36" spans="1:9" ht="13.8" hidden="1" outlineLevel="2" thickBot="1">
      <c r="A36" s="122"/>
      <c r="D36" s="124"/>
      <c r="E36" s="124">
        <f t="shared" si="2"/>
        <v>0</v>
      </c>
      <c r="F36" s="124">
        <f t="shared" si="3"/>
        <v>0</v>
      </c>
      <c r="H36" s="105"/>
      <c r="I36" s="105"/>
    </row>
    <row r="37" spans="1:9" ht="13.8" hidden="1" outlineLevel="2" thickBot="1">
      <c r="A37" s="122"/>
      <c r="B37" s="89"/>
      <c r="C37" s="123"/>
      <c r="D37" s="124"/>
      <c r="E37" s="124">
        <f t="shared" si="2"/>
        <v>0</v>
      </c>
      <c r="F37" s="124">
        <f t="shared" si="3"/>
        <v>0</v>
      </c>
      <c r="H37" s="105"/>
      <c r="I37" s="105"/>
    </row>
    <row r="38" spans="1:9" ht="13.8" outlineLevel="2" thickBot="1">
      <c r="A38" s="122"/>
      <c r="B38" s="89"/>
      <c r="C38" s="123"/>
      <c r="D38" s="124"/>
      <c r="E38" s="124"/>
      <c r="F38" s="124"/>
      <c r="H38" s="105"/>
      <c r="I38" s="105"/>
    </row>
    <row r="39" spans="1:9" s="114" customFormat="1" ht="13.8" outlineLevel="1" thickBot="1">
      <c r="A39" s="122" t="s">
        <v>806</v>
      </c>
      <c r="B39" s="89"/>
      <c r="C39" s="125" t="s">
        <v>941</v>
      </c>
      <c r="D39" s="113">
        <f>SUBTOTAL(9,D30:D38)</f>
        <v>26000</v>
      </c>
      <c r="E39" s="113">
        <f>SUBTOTAL(9,E30:E38)</f>
        <v>23000</v>
      </c>
      <c r="F39" s="113">
        <f>SUBTOTAL(9,F30:F38)</f>
        <v>3000</v>
      </c>
    </row>
    <row r="40" spans="1:9" s="114" customFormat="1" ht="13.8" outlineLevel="1" thickBot="1">
      <c r="A40" s="166" t="s">
        <v>1146</v>
      </c>
      <c r="B40" s="126"/>
      <c r="C40" s="149"/>
      <c r="D40" s="121"/>
      <c r="E40" s="271">
        <f>E48/D48</f>
        <v>1</v>
      </c>
      <c r="F40" s="271">
        <f>1-E40</f>
        <v>0</v>
      </c>
    </row>
    <row r="41" spans="1:9" ht="13.8" outlineLevel="2" thickBot="1">
      <c r="A41" s="500" t="s">
        <v>807</v>
      </c>
      <c r="B41" s="501" t="s">
        <v>808</v>
      </c>
      <c r="C41" s="123"/>
      <c r="D41" s="124">
        <v>3000</v>
      </c>
      <c r="E41" s="124">
        <f>D41</f>
        <v>3000</v>
      </c>
      <c r="F41" s="124">
        <f t="shared" ref="F41:F46" si="4">D41-E41</f>
        <v>0</v>
      </c>
      <c r="H41" s="105"/>
      <c r="I41" s="105"/>
    </row>
    <row r="42" spans="1:9" ht="13.8" outlineLevel="2" thickBot="1">
      <c r="A42" s="500" t="s">
        <v>1147</v>
      </c>
      <c r="B42" s="501" t="s">
        <v>809</v>
      </c>
      <c r="C42" s="123"/>
      <c r="D42" s="124">
        <v>4000</v>
      </c>
      <c r="E42" s="124">
        <f>D42</f>
        <v>4000</v>
      </c>
      <c r="F42" s="124">
        <f t="shared" si="4"/>
        <v>0</v>
      </c>
      <c r="H42" s="105"/>
      <c r="I42" s="105"/>
    </row>
    <row r="43" spans="1:9" ht="13.8" hidden="1" outlineLevel="2" thickBot="1">
      <c r="A43" s="122"/>
      <c r="B43" s="89"/>
      <c r="C43" s="123"/>
      <c r="D43" s="124"/>
      <c r="E43" s="124">
        <f>D43</f>
        <v>0</v>
      </c>
      <c r="F43" s="124">
        <f t="shared" si="4"/>
        <v>0</v>
      </c>
      <c r="H43" s="105"/>
      <c r="I43" s="105"/>
    </row>
    <row r="44" spans="1:9" ht="13.8" hidden="1" outlineLevel="2" thickBot="1">
      <c r="A44" s="122"/>
      <c r="B44" s="89"/>
      <c r="C44" s="123"/>
      <c r="D44" s="124"/>
      <c r="E44" s="124">
        <f>D44</f>
        <v>0</v>
      </c>
      <c r="F44" s="124">
        <f t="shared" si="4"/>
        <v>0</v>
      </c>
      <c r="H44" s="105"/>
      <c r="I44" s="105"/>
    </row>
    <row r="45" spans="1:9" ht="13.8" hidden="1" outlineLevel="2" thickBot="1">
      <c r="A45" s="122"/>
      <c r="B45" s="89"/>
      <c r="C45" s="123"/>
      <c r="D45" s="124"/>
      <c r="E45" s="124">
        <v>0</v>
      </c>
      <c r="F45" s="124">
        <f t="shared" si="4"/>
        <v>0</v>
      </c>
      <c r="H45" s="105"/>
      <c r="I45" s="105"/>
    </row>
    <row r="46" spans="1:9" ht="13.8" hidden="1" outlineLevel="2" thickBot="1">
      <c r="A46" s="122"/>
      <c r="B46" s="89"/>
      <c r="C46" s="123"/>
      <c r="D46" s="124"/>
      <c r="E46" s="124">
        <v>0</v>
      </c>
      <c r="F46" s="124">
        <f t="shared" si="4"/>
        <v>0</v>
      </c>
      <c r="H46" s="105"/>
      <c r="I46" s="105"/>
    </row>
    <row r="47" spans="1:9" ht="13.8" outlineLevel="2" thickBot="1">
      <c r="A47" s="122"/>
      <c r="B47" s="89"/>
      <c r="C47" s="123"/>
      <c r="D47" s="124"/>
      <c r="E47" s="124"/>
      <c r="F47" s="124"/>
      <c r="H47" s="105"/>
      <c r="I47" s="105"/>
    </row>
    <row r="48" spans="1:9" s="114" customFormat="1" ht="13.8" outlineLevel="1" thickBot="1">
      <c r="A48" s="122" t="s">
        <v>806</v>
      </c>
      <c r="B48" s="89"/>
      <c r="C48" s="125" t="s">
        <v>941</v>
      </c>
      <c r="D48" s="113">
        <f>SUBTOTAL(9,D41:D47)</f>
        <v>7000</v>
      </c>
      <c r="E48" s="113">
        <f>SUBTOTAL(9,E41:E46)</f>
        <v>7000</v>
      </c>
      <c r="F48" s="113">
        <f>SUBTOTAL(9,F41:F46)</f>
        <v>0</v>
      </c>
    </row>
    <row r="49" spans="1:9" s="114" customFormat="1" ht="13.8" outlineLevel="1" thickBot="1">
      <c r="A49" s="166" t="s">
        <v>1148</v>
      </c>
      <c r="B49" s="126"/>
      <c r="C49" s="149"/>
      <c r="D49" s="121"/>
      <c r="E49" s="271">
        <f>E59/D59</f>
        <v>0.81818181818181823</v>
      </c>
      <c r="F49" s="271">
        <f>1-E49</f>
        <v>0.18181818181818177</v>
      </c>
    </row>
    <row r="50" spans="1:9" ht="13.8" outlineLevel="2" thickBot="1">
      <c r="A50" s="500" t="s">
        <v>810</v>
      </c>
      <c r="B50" s="501" t="s">
        <v>801</v>
      </c>
      <c r="C50" s="123"/>
      <c r="D50" s="124">
        <v>2000</v>
      </c>
      <c r="E50" s="124">
        <v>0</v>
      </c>
      <c r="F50" s="124">
        <f>D50-E50</f>
        <v>2000</v>
      </c>
      <c r="H50" s="105"/>
      <c r="I50" s="105"/>
    </row>
    <row r="51" spans="1:9" ht="13.8" outlineLevel="2" thickBot="1">
      <c r="A51" s="500" t="s">
        <v>1179</v>
      </c>
      <c r="B51" s="501" t="s">
        <v>811</v>
      </c>
      <c r="C51" s="123"/>
      <c r="D51" s="124">
        <v>6000</v>
      </c>
      <c r="E51" s="124">
        <f>D51</f>
        <v>6000</v>
      </c>
      <c r="F51" s="124">
        <f>D51-E51</f>
        <v>0</v>
      </c>
      <c r="H51" s="105"/>
      <c r="I51" s="105"/>
    </row>
    <row r="52" spans="1:9" ht="13.8" outlineLevel="2" thickBot="1">
      <c r="A52" s="500" t="s">
        <v>812</v>
      </c>
      <c r="B52" s="501" t="s">
        <v>805</v>
      </c>
      <c r="C52" s="123"/>
      <c r="D52" s="124">
        <v>3000</v>
      </c>
      <c r="E52" s="124">
        <f>D52</f>
        <v>3000</v>
      </c>
      <c r="F52" s="124">
        <f>D52-E52</f>
        <v>0</v>
      </c>
      <c r="H52" s="105"/>
      <c r="I52" s="105"/>
    </row>
    <row r="53" spans="1:9" ht="13.8" hidden="1" outlineLevel="2" thickBot="1">
      <c r="A53" s="122"/>
      <c r="B53" s="89"/>
      <c r="C53" s="123"/>
      <c r="D53" s="124"/>
      <c r="E53" s="124">
        <v>0</v>
      </c>
      <c r="F53" s="124">
        <f>D53-E53</f>
        <v>0</v>
      </c>
      <c r="H53" s="105"/>
      <c r="I53" s="105"/>
    </row>
    <row r="54" spans="1:9" ht="13.8" hidden="1" outlineLevel="2" thickBot="1">
      <c r="A54" s="122"/>
      <c r="B54" s="89"/>
      <c r="C54" s="123"/>
      <c r="D54" s="124"/>
      <c r="E54" s="124"/>
      <c r="F54" s="124"/>
      <c r="H54" s="105"/>
      <c r="I54" s="105"/>
    </row>
    <row r="55" spans="1:9" ht="13.8" hidden="1" outlineLevel="2" thickBot="1">
      <c r="A55" s="122"/>
      <c r="B55" s="89"/>
      <c r="C55" s="123"/>
      <c r="D55" s="124"/>
      <c r="E55" s="124"/>
      <c r="F55" s="124"/>
      <c r="H55" s="105"/>
      <c r="I55" s="105"/>
    </row>
    <row r="56" spans="1:9" ht="13.8" hidden="1" outlineLevel="2" thickBot="1">
      <c r="A56" s="122"/>
      <c r="B56" s="89"/>
      <c r="C56" s="123"/>
      <c r="D56" s="124"/>
      <c r="E56" s="124"/>
      <c r="F56" s="124"/>
      <c r="H56" s="105"/>
      <c r="I56" s="105"/>
    </row>
    <row r="57" spans="1:9" ht="13.8" hidden="1" outlineLevel="2" thickBot="1">
      <c r="A57" s="122"/>
      <c r="B57" s="89"/>
      <c r="C57" s="123"/>
      <c r="D57" s="124"/>
      <c r="E57" s="124"/>
      <c r="F57" s="124"/>
      <c r="H57" s="105"/>
      <c r="I57" s="105"/>
    </row>
    <row r="58" spans="1:9" ht="13.8" outlineLevel="2" thickBot="1">
      <c r="A58" s="122"/>
      <c r="B58" s="89"/>
      <c r="C58" s="123"/>
      <c r="D58" s="124"/>
      <c r="E58" s="124"/>
      <c r="F58" s="124"/>
      <c r="H58" s="105"/>
      <c r="I58" s="105"/>
    </row>
    <row r="59" spans="1:9" s="114" customFormat="1" ht="13.8" outlineLevel="1" thickBot="1">
      <c r="A59" s="122" t="s">
        <v>806</v>
      </c>
      <c r="B59" s="89"/>
      <c r="C59" s="125" t="s">
        <v>941</v>
      </c>
      <c r="D59" s="113">
        <f>SUBTOTAL(9,D50:D58)</f>
        <v>11000</v>
      </c>
      <c r="E59" s="113">
        <f>SUBTOTAL(9,E50:E56)</f>
        <v>9000</v>
      </c>
      <c r="F59" s="113">
        <f>SUBTOTAL(9,F50:F56)</f>
        <v>2000</v>
      </c>
    </row>
    <row r="60" spans="1:9" s="114" customFormat="1" ht="13.8" outlineLevel="1" thickBot="1">
      <c r="A60" s="166" t="s">
        <v>270</v>
      </c>
      <c r="B60" s="126"/>
      <c r="C60" s="149"/>
      <c r="D60" s="581"/>
      <c r="E60" s="271">
        <f>E89/D89</f>
        <v>0.92</v>
      </c>
      <c r="F60" s="271">
        <f>1-E60</f>
        <v>7.999999999999996E-2</v>
      </c>
    </row>
    <row r="61" spans="1:9" ht="13.8" outlineLevel="2" thickBot="1">
      <c r="A61" s="500" t="s">
        <v>1150</v>
      </c>
      <c r="B61" s="583"/>
      <c r="C61" s="89"/>
      <c r="D61" s="255">
        <v>5000</v>
      </c>
      <c r="E61" s="580">
        <f t="shared" ref="E61:E86" si="5">D61</f>
        <v>5000</v>
      </c>
      <c r="F61" s="124">
        <f>D61-E61</f>
        <v>0</v>
      </c>
      <c r="H61" s="105"/>
      <c r="I61" s="105"/>
    </row>
    <row r="62" spans="1:9" ht="13.8" outlineLevel="2" thickBot="1">
      <c r="A62" s="500" t="s">
        <v>818</v>
      </c>
      <c r="B62" s="501" t="s">
        <v>606</v>
      </c>
      <c r="C62" s="89"/>
      <c r="D62" s="255">
        <v>1250</v>
      </c>
      <c r="E62" s="580">
        <f t="shared" si="5"/>
        <v>1250</v>
      </c>
      <c r="F62" s="124">
        <f t="shared" ref="F62:F86" si="6">D62-E62</f>
        <v>0</v>
      </c>
      <c r="H62" s="105"/>
      <c r="I62" s="105"/>
    </row>
    <row r="63" spans="1:9" ht="13.8" outlineLevel="2" thickBot="1">
      <c r="A63" s="500" t="s">
        <v>819</v>
      </c>
      <c r="B63" s="501" t="s">
        <v>820</v>
      </c>
      <c r="C63" s="89"/>
      <c r="D63" s="255">
        <v>2000</v>
      </c>
      <c r="E63" s="580">
        <f t="shared" si="5"/>
        <v>2000</v>
      </c>
      <c r="F63" s="124">
        <f t="shared" si="6"/>
        <v>0</v>
      </c>
      <c r="H63" s="105"/>
      <c r="I63" s="105"/>
    </row>
    <row r="64" spans="1:9" ht="13.8" outlineLevel="2" thickBot="1">
      <c r="A64" s="500" t="s">
        <v>821</v>
      </c>
      <c r="B64" s="584"/>
      <c r="C64" s="89"/>
      <c r="D64" s="255">
        <v>2000</v>
      </c>
      <c r="E64" s="580">
        <f t="shared" si="5"/>
        <v>2000</v>
      </c>
      <c r="F64" s="124">
        <f t="shared" si="6"/>
        <v>0</v>
      </c>
      <c r="H64" s="105"/>
      <c r="I64" s="105"/>
    </row>
    <row r="65" spans="1:9" ht="13.8" outlineLevel="2" thickBot="1">
      <c r="A65" s="500" t="s">
        <v>1151</v>
      </c>
      <c r="B65" s="501"/>
      <c r="C65" s="89"/>
      <c r="D65" s="255">
        <v>1250</v>
      </c>
      <c r="E65" s="580">
        <v>0</v>
      </c>
      <c r="F65" s="124">
        <f t="shared" si="6"/>
        <v>1250</v>
      </c>
      <c r="H65" s="105"/>
      <c r="I65" s="105"/>
    </row>
    <row r="66" spans="1:9" ht="13.8" outlineLevel="2" thickBot="1">
      <c r="A66" s="500" t="s">
        <v>1149</v>
      </c>
      <c r="B66" s="501"/>
      <c r="C66" s="89"/>
      <c r="D66" s="255">
        <v>375</v>
      </c>
      <c r="E66" s="580">
        <v>0</v>
      </c>
      <c r="F66" s="124">
        <f t="shared" si="6"/>
        <v>375</v>
      </c>
      <c r="H66" s="105"/>
      <c r="I66" s="105"/>
    </row>
    <row r="67" spans="1:9" ht="13.8" outlineLevel="2" thickBot="1">
      <c r="A67" s="500" t="s">
        <v>822</v>
      </c>
      <c r="B67" s="501"/>
      <c r="C67" s="89"/>
      <c r="D67" s="255">
        <v>750</v>
      </c>
      <c r="E67" s="580">
        <f t="shared" si="5"/>
        <v>750</v>
      </c>
      <c r="F67" s="124">
        <f t="shared" si="6"/>
        <v>0</v>
      </c>
      <c r="H67" s="105"/>
      <c r="I67" s="105"/>
    </row>
    <row r="68" spans="1:9" ht="13.8" outlineLevel="2" thickBot="1">
      <c r="A68" s="500" t="s">
        <v>1152</v>
      </c>
      <c r="B68" s="501"/>
      <c r="C68" s="89"/>
      <c r="D68" s="255">
        <v>375</v>
      </c>
      <c r="E68" s="580">
        <v>0</v>
      </c>
      <c r="F68" s="124">
        <f t="shared" si="6"/>
        <v>375</v>
      </c>
      <c r="H68" s="105"/>
      <c r="I68" s="105"/>
    </row>
    <row r="69" spans="1:9" ht="13.8" outlineLevel="2" thickBot="1">
      <c r="A69" s="500" t="s">
        <v>823</v>
      </c>
      <c r="B69" s="501"/>
      <c r="C69" s="89"/>
      <c r="D69" s="255">
        <v>1200</v>
      </c>
      <c r="E69" s="580">
        <v>0</v>
      </c>
      <c r="F69" s="124">
        <f t="shared" si="6"/>
        <v>1200</v>
      </c>
      <c r="H69" s="105"/>
      <c r="I69" s="105"/>
    </row>
    <row r="70" spans="1:9" ht="13.8" outlineLevel="2" thickBot="1">
      <c r="A70" s="500" t="s">
        <v>824</v>
      </c>
      <c r="B70" s="501"/>
      <c r="C70" s="89"/>
      <c r="D70" s="255">
        <v>1200</v>
      </c>
      <c r="E70" s="580">
        <f t="shared" si="5"/>
        <v>1200</v>
      </c>
      <c r="F70" s="124">
        <f t="shared" si="6"/>
        <v>0</v>
      </c>
      <c r="H70" s="105"/>
      <c r="I70" s="105"/>
    </row>
    <row r="71" spans="1:9" ht="13.8" outlineLevel="2" thickBot="1">
      <c r="A71" s="500" t="s">
        <v>1153</v>
      </c>
      <c r="B71" s="501"/>
      <c r="C71" s="89"/>
      <c r="D71" s="255">
        <v>2000</v>
      </c>
      <c r="E71" s="580">
        <f t="shared" si="5"/>
        <v>2000</v>
      </c>
      <c r="F71" s="124">
        <f t="shared" si="6"/>
        <v>0</v>
      </c>
      <c r="H71" s="105"/>
      <c r="I71" s="105"/>
    </row>
    <row r="72" spans="1:9" ht="13.8" hidden="1" outlineLevel="2" thickBot="1">
      <c r="A72" s="500"/>
      <c r="B72" s="501"/>
      <c r="C72" s="123"/>
      <c r="D72" s="582"/>
      <c r="E72" s="124">
        <f t="shared" si="5"/>
        <v>0</v>
      </c>
      <c r="F72" s="124">
        <f t="shared" si="6"/>
        <v>0</v>
      </c>
      <c r="H72" s="105"/>
      <c r="I72" s="105"/>
    </row>
    <row r="73" spans="1:9" ht="13.8" hidden="1" outlineLevel="2" thickBot="1">
      <c r="A73" s="122"/>
      <c r="B73" s="89"/>
      <c r="C73" s="123"/>
      <c r="D73" s="124">
        <v>2000</v>
      </c>
      <c r="E73" s="124">
        <f t="shared" si="5"/>
        <v>2000</v>
      </c>
      <c r="F73" s="124">
        <f t="shared" si="6"/>
        <v>0</v>
      </c>
      <c r="H73" s="105"/>
      <c r="I73" s="105"/>
    </row>
    <row r="74" spans="1:9" ht="13.8" hidden="1" outlineLevel="2" thickBot="1">
      <c r="A74" s="122"/>
      <c r="B74" s="89"/>
      <c r="C74" s="123"/>
      <c r="D74" s="124">
        <v>2400</v>
      </c>
      <c r="E74" s="124">
        <f t="shared" si="5"/>
        <v>2400</v>
      </c>
      <c r="F74" s="124">
        <f t="shared" si="6"/>
        <v>0</v>
      </c>
      <c r="H74" s="105"/>
      <c r="I74" s="105"/>
    </row>
    <row r="75" spans="1:9" ht="13.8" hidden="1" outlineLevel="2" thickBot="1">
      <c r="A75" s="122"/>
      <c r="B75" s="89"/>
      <c r="C75" s="123"/>
      <c r="D75" s="124"/>
      <c r="E75" s="124">
        <f t="shared" si="5"/>
        <v>0</v>
      </c>
      <c r="F75" s="124">
        <f t="shared" si="6"/>
        <v>0</v>
      </c>
      <c r="H75" s="105"/>
      <c r="I75" s="105"/>
    </row>
    <row r="76" spans="1:9" ht="13.8" hidden="1" outlineLevel="2" thickBot="1">
      <c r="A76" s="122"/>
      <c r="B76" s="89"/>
      <c r="C76" s="123"/>
      <c r="D76" s="124">
        <v>1800</v>
      </c>
      <c r="E76" s="124">
        <f t="shared" si="5"/>
        <v>1800</v>
      </c>
      <c r="F76" s="124">
        <f t="shared" si="6"/>
        <v>0</v>
      </c>
      <c r="H76" s="105"/>
      <c r="I76" s="105"/>
    </row>
    <row r="77" spans="1:9" ht="13.8" hidden="1" outlineLevel="2" thickBot="1">
      <c r="A77" s="122"/>
      <c r="B77" s="89"/>
      <c r="C77" s="123"/>
      <c r="D77" s="124">
        <v>3000</v>
      </c>
      <c r="E77" s="124">
        <f t="shared" si="5"/>
        <v>3000</v>
      </c>
      <c r="F77" s="124">
        <f t="shared" si="6"/>
        <v>0</v>
      </c>
      <c r="H77" s="105"/>
      <c r="I77" s="105"/>
    </row>
    <row r="78" spans="1:9" ht="13.8" hidden="1" outlineLevel="2" thickBot="1">
      <c r="A78" s="122"/>
      <c r="B78" s="89"/>
      <c r="C78" s="123"/>
      <c r="D78" s="124">
        <v>2000</v>
      </c>
      <c r="E78" s="124">
        <f t="shared" si="5"/>
        <v>2000</v>
      </c>
      <c r="F78" s="124">
        <f t="shared" si="6"/>
        <v>0</v>
      </c>
      <c r="H78" s="105"/>
      <c r="I78" s="105"/>
    </row>
    <row r="79" spans="1:9" ht="13.8" hidden="1" outlineLevel="2" thickBot="1">
      <c r="A79" s="122"/>
      <c r="B79" s="89"/>
      <c r="C79" s="123"/>
      <c r="D79" s="124"/>
      <c r="E79" s="124">
        <f t="shared" si="5"/>
        <v>0</v>
      </c>
      <c r="F79" s="124">
        <f t="shared" si="6"/>
        <v>0</v>
      </c>
      <c r="H79" s="105"/>
      <c r="I79" s="105"/>
    </row>
    <row r="80" spans="1:9" ht="13.8" hidden="1" outlineLevel="2" thickBot="1">
      <c r="A80" s="122"/>
      <c r="B80" s="89"/>
      <c r="C80" s="123"/>
      <c r="D80" s="124">
        <v>4000</v>
      </c>
      <c r="E80" s="124">
        <f t="shared" si="5"/>
        <v>4000</v>
      </c>
      <c r="F80" s="124">
        <f t="shared" si="6"/>
        <v>0</v>
      </c>
      <c r="H80" s="105"/>
      <c r="I80" s="105"/>
    </row>
    <row r="81" spans="1:9" ht="13.8" hidden="1" outlineLevel="2" thickBot="1">
      <c r="A81" s="122"/>
      <c r="B81" s="89"/>
      <c r="C81" s="123"/>
      <c r="D81" s="124">
        <v>2400</v>
      </c>
      <c r="E81" s="124">
        <f t="shared" si="5"/>
        <v>2400</v>
      </c>
      <c r="F81" s="124">
        <f t="shared" si="6"/>
        <v>0</v>
      </c>
      <c r="H81" s="105"/>
      <c r="I81" s="105"/>
    </row>
    <row r="82" spans="1:9" ht="13.8" hidden="1" outlineLevel="2" thickBot="1">
      <c r="A82" s="122"/>
      <c r="B82" s="89"/>
      <c r="C82" s="123"/>
      <c r="D82" s="124">
        <v>0</v>
      </c>
      <c r="E82" s="124">
        <f t="shared" si="5"/>
        <v>0</v>
      </c>
      <c r="F82" s="124">
        <f t="shared" si="6"/>
        <v>0</v>
      </c>
      <c r="H82" s="105"/>
      <c r="I82" s="105"/>
    </row>
    <row r="83" spans="1:9" ht="13.8" hidden="1" outlineLevel="2" thickBot="1">
      <c r="A83" s="122"/>
      <c r="B83" s="89"/>
      <c r="C83" s="123"/>
      <c r="D83" s="124">
        <v>0</v>
      </c>
      <c r="E83" s="124">
        <f t="shared" si="5"/>
        <v>0</v>
      </c>
      <c r="F83" s="124">
        <f t="shared" si="6"/>
        <v>0</v>
      </c>
      <c r="H83" s="105"/>
      <c r="I83" s="105"/>
    </row>
    <row r="84" spans="1:9" ht="13.8" hidden="1" outlineLevel="2" thickBot="1">
      <c r="A84" s="122"/>
      <c r="B84" s="89"/>
      <c r="C84" s="123"/>
      <c r="D84" s="124">
        <v>0</v>
      </c>
      <c r="E84" s="124">
        <f t="shared" si="5"/>
        <v>0</v>
      </c>
      <c r="F84" s="124">
        <f t="shared" si="6"/>
        <v>0</v>
      </c>
      <c r="H84" s="105"/>
      <c r="I84" s="105"/>
    </row>
    <row r="85" spans="1:9" ht="13.8" hidden="1" outlineLevel="2" thickBot="1">
      <c r="A85" s="122"/>
      <c r="B85" s="89"/>
      <c r="C85" s="123"/>
      <c r="D85" s="124">
        <v>5000</v>
      </c>
      <c r="E85" s="124">
        <f t="shared" si="5"/>
        <v>5000</v>
      </c>
      <c r="F85" s="124">
        <f t="shared" si="6"/>
        <v>0</v>
      </c>
      <c r="H85" s="105"/>
      <c r="I85" s="105"/>
    </row>
    <row r="86" spans="1:9" ht="13.8" hidden="1" outlineLevel="2" thickBot="1">
      <c r="A86" s="122"/>
      <c r="B86" s="89"/>
      <c r="C86" s="123"/>
      <c r="D86" s="124">
        <f>SUM(D284:D290)</f>
        <v>0</v>
      </c>
      <c r="E86" s="124">
        <f t="shared" si="5"/>
        <v>0</v>
      </c>
      <c r="F86" s="124">
        <f t="shared" si="6"/>
        <v>0</v>
      </c>
      <c r="H86" s="105"/>
      <c r="I86" s="105"/>
    </row>
    <row r="87" spans="1:9" ht="13.8" hidden="1" outlineLevel="2" thickBot="1">
      <c r="A87" s="122"/>
      <c r="B87" s="89"/>
      <c r="C87" s="123"/>
      <c r="D87" s="124">
        <f>D292</f>
        <v>0</v>
      </c>
      <c r="E87" s="124"/>
      <c r="F87" s="124"/>
      <c r="H87" s="105"/>
      <c r="I87" s="105"/>
    </row>
    <row r="88" spans="1:9" ht="13.8" outlineLevel="2" thickBot="1">
      <c r="A88" s="122"/>
      <c r="B88" s="89"/>
      <c r="C88" s="123"/>
      <c r="D88" s="124"/>
      <c r="E88" s="124"/>
      <c r="F88" s="124"/>
      <c r="H88" s="105"/>
      <c r="I88" s="105"/>
    </row>
    <row r="89" spans="1:9" s="114" customFormat="1" ht="13.8" outlineLevel="1" thickBot="1">
      <c r="A89" s="122" t="s">
        <v>806</v>
      </c>
      <c r="B89" s="89"/>
      <c r="C89" s="125" t="s">
        <v>941</v>
      </c>
      <c r="D89" s="113">
        <f>SUBTOTAL(9,D61:D88)</f>
        <v>40000</v>
      </c>
      <c r="E89" s="113">
        <f>SUBTOTAL(9,E61:E88)</f>
        <v>36800</v>
      </c>
      <c r="F89" s="113">
        <f>SUBTOTAL(9,F61:F88)</f>
        <v>3200</v>
      </c>
    </row>
    <row r="90" spans="1:9" s="114" customFormat="1" ht="13.8" outlineLevel="1" thickBot="1">
      <c r="A90" s="166" t="s">
        <v>271</v>
      </c>
      <c r="B90" s="126"/>
      <c r="C90" s="149"/>
      <c r="D90" s="121"/>
      <c r="E90" s="271">
        <f>E95/D95</f>
        <v>0.91428571428571426</v>
      </c>
      <c r="F90" s="271">
        <f>1-E90</f>
        <v>8.5714285714285743E-2</v>
      </c>
    </row>
    <row r="91" spans="1:9" ht="13.8" outlineLevel="2" thickBot="1">
      <c r="A91" s="500" t="s">
        <v>825</v>
      </c>
      <c r="B91" s="501" t="s">
        <v>826</v>
      </c>
      <c r="C91" s="123"/>
      <c r="D91" s="124">
        <f>18000+1200</f>
        <v>19200</v>
      </c>
      <c r="E91" s="124">
        <f>D91</f>
        <v>19200</v>
      </c>
      <c r="F91" s="124">
        <f>D91-E91</f>
        <v>0</v>
      </c>
      <c r="H91" s="105"/>
      <c r="I91" s="105"/>
    </row>
    <row r="92" spans="1:9" ht="13.8" hidden="1" outlineLevel="2" thickBot="1">
      <c r="A92" s="500" t="s">
        <v>827</v>
      </c>
      <c r="B92" s="501" t="s">
        <v>828</v>
      </c>
      <c r="C92" s="123"/>
      <c r="D92" s="124"/>
      <c r="E92" s="124">
        <f>D92</f>
        <v>0</v>
      </c>
      <c r="F92" s="124">
        <f>D92-E92</f>
        <v>0</v>
      </c>
      <c r="H92" s="105"/>
      <c r="I92" s="105"/>
    </row>
    <row r="93" spans="1:9" ht="13.8" outlineLevel="2" thickBot="1">
      <c r="A93" s="500" t="s">
        <v>829</v>
      </c>
      <c r="B93" s="501" t="s">
        <v>830</v>
      </c>
      <c r="C93" s="123"/>
      <c r="D93" s="124">
        <f>1*150*12</f>
        <v>1800</v>
      </c>
      <c r="E93" s="124"/>
      <c r="F93" s="124"/>
      <c r="H93" s="105"/>
      <c r="I93" s="105"/>
    </row>
    <row r="94" spans="1:9" ht="13.8" outlineLevel="2" thickBot="1">
      <c r="A94" s="500"/>
      <c r="B94" s="501"/>
      <c r="C94" s="123"/>
      <c r="D94" s="124"/>
      <c r="E94" s="124"/>
      <c r="F94" s="124"/>
      <c r="H94" s="105"/>
      <c r="I94" s="105"/>
    </row>
    <row r="95" spans="1:9" s="114" customFormat="1" ht="13.8" outlineLevel="1" thickBot="1">
      <c r="A95" s="122" t="s">
        <v>806</v>
      </c>
      <c r="B95" s="89"/>
      <c r="C95" s="125" t="s">
        <v>941</v>
      </c>
      <c r="D95" s="113">
        <f>SUBTOTAL(9,D91:D93)</f>
        <v>21000</v>
      </c>
      <c r="E95" s="113">
        <f>SUBTOTAL(9,E91:E93)</f>
        <v>19200</v>
      </c>
      <c r="F95" s="113">
        <f>SUBTOTAL(9,F91:F93)</f>
        <v>0</v>
      </c>
    </row>
    <row r="96" spans="1:9" s="114" customFormat="1" ht="13.8" hidden="1" outlineLevel="1" thickBot="1">
      <c r="A96" s="166" t="s">
        <v>1154</v>
      </c>
      <c r="B96" s="126"/>
      <c r="C96" s="149"/>
      <c r="D96" s="121"/>
      <c r="E96" s="121"/>
      <c r="F96" s="121"/>
    </row>
    <row r="97" spans="1:9" ht="13.8" hidden="1" outlineLevel="2" thickBot="1">
      <c r="A97" s="122" t="s">
        <v>1154</v>
      </c>
      <c r="B97" s="89" t="s">
        <v>1155</v>
      </c>
      <c r="C97" s="123"/>
      <c r="D97" s="124"/>
      <c r="E97" s="124"/>
      <c r="F97" s="124">
        <f>D97-E97</f>
        <v>0</v>
      </c>
      <c r="H97" s="105"/>
      <c r="I97" s="105"/>
    </row>
    <row r="98" spans="1:9" ht="13.8" hidden="1" outlineLevel="2" thickBot="1">
      <c r="A98" s="122"/>
      <c r="B98" s="89" t="s">
        <v>1156</v>
      </c>
      <c r="C98" s="123"/>
      <c r="D98" s="124"/>
      <c r="E98" s="124"/>
      <c r="F98" s="124"/>
      <c r="H98" s="105"/>
      <c r="I98" s="105"/>
    </row>
    <row r="99" spans="1:9" s="114" customFormat="1" ht="13.8" hidden="1" outlineLevel="1" thickBot="1">
      <c r="A99" s="122" t="s">
        <v>1143</v>
      </c>
      <c r="B99" s="89"/>
      <c r="C99" s="125" t="s">
        <v>941</v>
      </c>
      <c r="D99" s="113">
        <f>SUBTOTAL(9,D97:D98)</f>
        <v>0</v>
      </c>
      <c r="E99" s="113">
        <f>SUBTOTAL(9,E97:E98)</f>
        <v>0</v>
      </c>
      <c r="F99" s="113">
        <f>SUBTOTAL(9,F97:F98)</f>
        <v>0</v>
      </c>
    </row>
    <row r="100" spans="1:9" s="114" customFormat="1" ht="13.8" outlineLevel="1" thickBot="1">
      <c r="A100" s="166" t="s">
        <v>1157</v>
      </c>
      <c r="B100" s="126"/>
      <c r="C100" s="149"/>
      <c r="D100" s="121"/>
      <c r="E100" s="271">
        <f>E109/D109</f>
        <v>0.5</v>
      </c>
      <c r="F100" s="271">
        <f>1-E100</f>
        <v>0.5</v>
      </c>
    </row>
    <row r="101" spans="1:9" ht="13.8" outlineLevel="2" thickBot="1">
      <c r="A101" s="500" t="s">
        <v>831</v>
      </c>
      <c r="B101" s="583"/>
      <c r="C101" s="123"/>
      <c r="D101" s="124">
        <v>1000</v>
      </c>
      <c r="E101" s="124">
        <f>D101*0.5</f>
        <v>500</v>
      </c>
      <c r="F101" s="124">
        <f>D101-E101</f>
        <v>500</v>
      </c>
      <c r="H101" s="105"/>
      <c r="I101" s="105"/>
    </row>
    <row r="102" spans="1:9" ht="13.8" hidden="1" outlineLevel="2" thickBot="1">
      <c r="A102" s="122"/>
      <c r="B102" s="89"/>
      <c r="C102" s="123"/>
      <c r="D102" s="124"/>
      <c r="E102" s="124">
        <f t="shared" ref="E102:E108" si="7">D102</f>
        <v>0</v>
      </c>
      <c r="F102" s="124">
        <f t="shared" ref="F102:F108" si="8">D102-E102</f>
        <v>0</v>
      </c>
      <c r="H102" s="105"/>
      <c r="I102" s="105"/>
    </row>
    <row r="103" spans="1:9" ht="13.8" hidden="1" outlineLevel="2" thickBot="1">
      <c r="A103" s="122"/>
      <c r="B103" s="89"/>
      <c r="C103" s="123"/>
      <c r="D103" s="124"/>
      <c r="E103" s="124">
        <f t="shared" si="7"/>
        <v>0</v>
      </c>
      <c r="F103" s="124">
        <f t="shared" si="8"/>
        <v>0</v>
      </c>
      <c r="H103" s="105"/>
      <c r="I103" s="105"/>
    </row>
    <row r="104" spans="1:9" ht="13.8" hidden="1" outlineLevel="2" thickBot="1">
      <c r="A104" s="122"/>
      <c r="B104" s="89"/>
      <c r="C104" s="123"/>
      <c r="D104" s="124"/>
      <c r="E104" s="124">
        <f t="shared" si="7"/>
        <v>0</v>
      </c>
      <c r="F104" s="124">
        <f t="shared" si="8"/>
        <v>0</v>
      </c>
      <c r="H104" s="105"/>
      <c r="I104" s="105"/>
    </row>
    <row r="105" spans="1:9" ht="13.8" hidden="1" outlineLevel="2" thickBot="1">
      <c r="A105" s="122"/>
      <c r="B105" s="89"/>
      <c r="C105" s="123"/>
      <c r="D105" s="124"/>
      <c r="E105" s="124">
        <f t="shared" si="7"/>
        <v>0</v>
      </c>
      <c r="F105" s="124">
        <f t="shared" si="8"/>
        <v>0</v>
      </c>
      <c r="H105" s="105"/>
      <c r="I105" s="105"/>
    </row>
    <row r="106" spans="1:9" ht="13.8" hidden="1" outlineLevel="2" thickBot="1">
      <c r="A106" s="122"/>
      <c r="B106" s="89"/>
      <c r="C106" s="123"/>
      <c r="D106" s="124"/>
      <c r="E106" s="124">
        <f t="shared" si="7"/>
        <v>0</v>
      </c>
      <c r="F106" s="124">
        <f t="shared" si="8"/>
        <v>0</v>
      </c>
      <c r="H106" s="105"/>
      <c r="I106" s="105"/>
    </row>
    <row r="107" spans="1:9" ht="13.8" hidden="1" outlineLevel="2" thickBot="1">
      <c r="A107" s="122"/>
      <c r="B107" s="89"/>
      <c r="C107" s="123"/>
      <c r="D107" s="124"/>
      <c r="E107" s="124">
        <f t="shared" si="7"/>
        <v>0</v>
      </c>
      <c r="F107" s="124">
        <f t="shared" si="8"/>
        <v>0</v>
      </c>
      <c r="H107" s="105"/>
      <c r="I107" s="105"/>
    </row>
    <row r="108" spans="1:9" ht="13.8" outlineLevel="2" thickBot="1">
      <c r="A108" s="122"/>
      <c r="B108" s="89"/>
      <c r="C108" s="123"/>
      <c r="D108" s="124"/>
      <c r="E108" s="124">
        <f t="shared" si="7"/>
        <v>0</v>
      </c>
      <c r="F108" s="124">
        <f t="shared" si="8"/>
        <v>0</v>
      </c>
      <c r="H108" s="105"/>
      <c r="I108" s="105"/>
    </row>
    <row r="109" spans="1:9" s="114" customFormat="1" ht="13.8" outlineLevel="1" thickBot="1">
      <c r="A109" s="122" t="s">
        <v>806</v>
      </c>
      <c r="B109" s="89"/>
      <c r="C109" s="125" t="s">
        <v>941</v>
      </c>
      <c r="D109" s="113">
        <f>SUBTOTAL(9,D101:D108)</f>
        <v>1000</v>
      </c>
      <c r="E109" s="113">
        <f>SUBTOTAL(9,E101:E108)</f>
        <v>500</v>
      </c>
      <c r="F109" s="113">
        <f>SUBTOTAL(9,F101:F108)</f>
        <v>500</v>
      </c>
    </row>
    <row r="110" spans="1:9" s="114" customFormat="1" ht="13.8" hidden="1" outlineLevel="1" thickBot="1">
      <c r="A110" s="166" t="s">
        <v>1159</v>
      </c>
      <c r="B110" s="126"/>
      <c r="C110" s="149"/>
      <c r="D110" s="121"/>
      <c r="E110" s="271" t="e">
        <f>E116/D116</f>
        <v>#DIV/0!</v>
      </c>
      <c r="F110" s="271" t="e">
        <f>1-E110</f>
        <v>#DIV/0!</v>
      </c>
    </row>
    <row r="111" spans="1:9" ht="13.8" hidden="1" outlineLevel="2" thickBot="1">
      <c r="A111" s="122" t="s">
        <v>277</v>
      </c>
      <c r="B111" s="89" t="s">
        <v>1160</v>
      </c>
      <c r="C111" s="123"/>
      <c r="D111" s="124"/>
      <c r="E111" s="124">
        <v>0</v>
      </c>
      <c r="F111" s="124">
        <f>D111-E111</f>
        <v>0</v>
      </c>
      <c r="H111" s="105"/>
      <c r="I111" s="105"/>
    </row>
    <row r="112" spans="1:9" ht="13.8" hidden="1" outlineLevel="2" thickBot="1">
      <c r="A112" s="122" t="s">
        <v>1267</v>
      </c>
      <c r="B112" s="89" t="s">
        <v>1268</v>
      </c>
      <c r="C112" s="123"/>
      <c r="D112" s="124"/>
      <c r="E112" s="124">
        <f>D112</f>
        <v>0</v>
      </c>
      <c r="F112" s="124">
        <f>D112-E112</f>
        <v>0</v>
      </c>
      <c r="H112" s="105"/>
      <c r="I112" s="105"/>
    </row>
    <row r="113" spans="1:9" ht="13.8" hidden="1" outlineLevel="2" thickBot="1">
      <c r="A113" s="122" t="s">
        <v>1269</v>
      </c>
      <c r="B113" s="89" t="s">
        <v>1161</v>
      </c>
      <c r="C113" s="123"/>
      <c r="D113" s="124"/>
      <c r="E113" s="124">
        <f>D113</f>
        <v>0</v>
      </c>
      <c r="F113" s="124">
        <f>D113-E113</f>
        <v>0</v>
      </c>
      <c r="H113" s="105"/>
      <c r="I113" s="105"/>
    </row>
    <row r="114" spans="1:9" ht="13.8" hidden="1" outlineLevel="2" thickBot="1">
      <c r="A114" s="122" t="s">
        <v>1271</v>
      </c>
      <c r="B114" s="89" t="s">
        <v>1272</v>
      </c>
      <c r="C114" s="123"/>
      <c r="D114" s="124"/>
      <c r="E114" s="124">
        <f>D114</f>
        <v>0</v>
      </c>
      <c r="F114" s="124">
        <f>D114-E114</f>
        <v>0</v>
      </c>
      <c r="H114" s="105"/>
      <c r="I114" s="105"/>
    </row>
    <row r="115" spans="1:9" ht="13.8" hidden="1" outlineLevel="2" thickBot="1">
      <c r="A115" s="122"/>
      <c r="B115" s="89"/>
      <c r="C115" s="123"/>
      <c r="D115" s="124"/>
      <c r="E115" s="124"/>
      <c r="F115" s="124"/>
      <c r="H115" s="105"/>
      <c r="I115" s="105"/>
    </row>
    <row r="116" spans="1:9" s="114" customFormat="1" ht="13.8" hidden="1" outlineLevel="1" thickBot="1">
      <c r="A116" s="122" t="s">
        <v>1162</v>
      </c>
      <c r="B116" s="89"/>
      <c r="C116" s="125" t="s">
        <v>941</v>
      </c>
      <c r="D116" s="113">
        <f>SUBTOTAL(9,D111:D114)</f>
        <v>0</v>
      </c>
      <c r="E116" s="113">
        <f>SUBTOTAL(9,E111:E114)</f>
        <v>0</v>
      </c>
      <c r="F116" s="113">
        <f>SUBTOTAL(9,F111:F114)</f>
        <v>0</v>
      </c>
    </row>
    <row r="117" spans="1:9" s="114" customFormat="1" ht="13.8" outlineLevel="1" thickBot="1">
      <c r="A117" s="166" t="s">
        <v>1163</v>
      </c>
      <c r="B117" s="126"/>
      <c r="C117" s="149"/>
      <c r="D117" s="121"/>
      <c r="E117" s="271">
        <f>E131/D131</f>
        <v>1</v>
      </c>
      <c r="F117" s="271">
        <f>1-E117</f>
        <v>0</v>
      </c>
    </row>
    <row r="118" spans="1:9" ht="13.8" hidden="1" outlineLevel="2" thickBot="1">
      <c r="A118" s="122" t="s">
        <v>1145</v>
      </c>
      <c r="B118" s="89" t="s">
        <v>1164</v>
      </c>
      <c r="C118" s="123"/>
      <c r="D118" s="124">
        <v>0</v>
      </c>
      <c r="E118" s="124">
        <f>0</f>
        <v>0</v>
      </c>
      <c r="F118" s="124">
        <f>D118-E118</f>
        <v>0</v>
      </c>
      <c r="H118" s="105"/>
      <c r="I118" s="105"/>
    </row>
    <row r="119" spans="1:9" ht="13.8" hidden="1" outlineLevel="2" thickBot="1">
      <c r="A119" s="122" t="s">
        <v>1165</v>
      </c>
      <c r="B119" s="89" t="s">
        <v>1166</v>
      </c>
      <c r="C119" s="207">
        <v>0.8</v>
      </c>
      <c r="D119" s="124">
        <v>0</v>
      </c>
      <c r="E119" s="124">
        <f>0.25*D119</f>
        <v>0</v>
      </c>
      <c r="F119" s="124">
        <f>D119-E119</f>
        <v>0</v>
      </c>
      <c r="H119" s="129"/>
      <c r="I119" s="105"/>
    </row>
    <row r="120" spans="1:9" ht="13.8" outlineLevel="2" thickBot="1">
      <c r="A120" s="122" t="s">
        <v>513</v>
      </c>
      <c r="B120" s="89" t="s">
        <v>842</v>
      </c>
      <c r="C120" s="197"/>
      <c r="D120" s="124">
        <f>8.8/1000*500*15*6</f>
        <v>396</v>
      </c>
      <c r="E120" s="124">
        <f t="shared" ref="E120:E130" si="9">D120</f>
        <v>396</v>
      </c>
      <c r="F120" s="124">
        <f>D120-E120</f>
        <v>0</v>
      </c>
      <c r="H120" s="105"/>
      <c r="I120" s="105"/>
    </row>
    <row r="121" spans="1:9" ht="13.8" hidden="1" outlineLevel="2" thickBot="1">
      <c r="A121" s="122" t="s">
        <v>1167</v>
      </c>
      <c r="B121" s="208" t="s">
        <v>1168</v>
      </c>
      <c r="C121" s="197">
        <v>0.8</v>
      </c>
      <c r="D121" s="124">
        <v>0</v>
      </c>
      <c r="E121" s="124">
        <f t="shared" si="9"/>
        <v>0</v>
      </c>
      <c r="F121" s="124">
        <f t="shared" ref="F121:F129" si="10">D121-E121</f>
        <v>0</v>
      </c>
      <c r="H121" s="105"/>
      <c r="I121" s="105"/>
    </row>
    <row r="122" spans="1:9" ht="13.8" outlineLevel="2" thickBot="1">
      <c r="A122" s="500" t="s">
        <v>512</v>
      </c>
      <c r="B122" s="501" t="s">
        <v>841</v>
      </c>
      <c r="C122" s="197"/>
      <c r="D122" s="124">
        <f>500*6*15</f>
        <v>45000</v>
      </c>
      <c r="E122" s="124">
        <f t="shared" si="9"/>
        <v>45000</v>
      </c>
      <c r="F122" s="124">
        <f t="shared" si="10"/>
        <v>0</v>
      </c>
      <c r="H122" s="105"/>
      <c r="I122" s="105"/>
    </row>
    <row r="123" spans="1:9" ht="13.8" hidden="1" outlineLevel="2" thickBot="1">
      <c r="A123" s="122" t="s">
        <v>1169</v>
      </c>
      <c r="B123" s="89"/>
      <c r="C123" s="197"/>
      <c r="D123" s="124">
        <v>0</v>
      </c>
      <c r="E123" s="124">
        <f>0.1*D123</f>
        <v>0</v>
      </c>
      <c r="F123" s="124">
        <f t="shared" si="10"/>
        <v>0</v>
      </c>
      <c r="H123" s="105"/>
      <c r="I123" s="105"/>
    </row>
    <row r="124" spans="1:9" ht="13.8" hidden="1" outlineLevel="2" thickBot="1">
      <c r="A124" s="122" t="s">
        <v>1170</v>
      </c>
      <c r="B124" s="89"/>
      <c r="C124" s="123"/>
      <c r="D124" s="124">
        <v>0</v>
      </c>
      <c r="E124" s="124">
        <f>0.1*D124</f>
        <v>0</v>
      </c>
      <c r="F124" s="124">
        <f t="shared" si="10"/>
        <v>0</v>
      </c>
      <c r="H124" s="105"/>
      <c r="I124" s="105"/>
    </row>
    <row r="125" spans="1:9" ht="13.8" hidden="1" outlineLevel="2" thickBot="1">
      <c r="A125" s="122" t="s">
        <v>1171</v>
      </c>
      <c r="B125" s="89"/>
      <c r="C125" s="123"/>
      <c r="D125" s="124">
        <v>0</v>
      </c>
      <c r="E125" s="124">
        <f t="shared" si="9"/>
        <v>0</v>
      </c>
      <c r="F125" s="124">
        <f t="shared" si="10"/>
        <v>0</v>
      </c>
      <c r="H125" s="105"/>
      <c r="I125" s="105"/>
    </row>
    <row r="126" spans="1:9" ht="13.8" hidden="1" outlineLevel="2" thickBot="1">
      <c r="A126" s="122" t="s">
        <v>1172</v>
      </c>
      <c r="B126" s="89" t="s">
        <v>1173</v>
      </c>
      <c r="C126" s="123"/>
      <c r="D126" s="124">
        <v>0</v>
      </c>
      <c r="E126" s="124">
        <f t="shared" si="9"/>
        <v>0</v>
      </c>
      <c r="F126" s="124">
        <f t="shared" si="10"/>
        <v>0</v>
      </c>
      <c r="H126" s="105"/>
      <c r="I126" s="105"/>
    </row>
    <row r="127" spans="1:9" ht="13.8" hidden="1" outlineLevel="2" thickBot="1">
      <c r="A127" s="122" t="s">
        <v>1174</v>
      </c>
      <c r="B127" s="89"/>
      <c r="C127" s="123"/>
      <c r="D127" s="124">
        <v>0</v>
      </c>
      <c r="E127" s="124">
        <f t="shared" si="9"/>
        <v>0</v>
      </c>
      <c r="F127" s="124">
        <f t="shared" si="10"/>
        <v>0</v>
      </c>
      <c r="H127" s="105"/>
      <c r="I127" s="105"/>
    </row>
    <row r="128" spans="1:9" ht="13.8" hidden="1" outlineLevel="2" thickBot="1">
      <c r="A128" s="122" t="s">
        <v>1175</v>
      </c>
      <c r="B128" s="89" t="s">
        <v>1176</v>
      </c>
      <c r="C128" s="123"/>
      <c r="D128" s="124">
        <v>0</v>
      </c>
      <c r="E128" s="124">
        <f t="shared" si="9"/>
        <v>0</v>
      </c>
      <c r="F128" s="124">
        <f t="shared" si="10"/>
        <v>0</v>
      </c>
      <c r="H128" s="105"/>
      <c r="I128" s="105"/>
    </row>
    <row r="129" spans="1:9" ht="13.8" outlineLevel="2" thickBot="1">
      <c r="A129" s="122" t="s">
        <v>1177</v>
      </c>
      <c r="B129" s="89" t="s">
        <v>1178</v>
      </c>
      <c r="C129" s="123"/>
      <c r="D129" s="124">
        <f>0.1*SUM(D119:D127)</f>
        <v>4539.6000000000004</v>
      </c>
      <c r="E129" s="124">
        <f t="shared" si="9"/>
        <v>4539.6000000000004</v>
      </c>
      <c r="F129" s="124">
        <f t="shared" si="10"/>
        <v>0</v>
      </c>
      <c r="H129" s="105"/>
      <c r="I129" s="105"/>
    </row>
    <row r="130" spans="1:9" ht="13.8" outlineLevel="2" thickBot="1">
      <c r="A130" s="122"/>
      <c r="B130" s="89"/>
      <c r="C130" s="123"/>
      <c r="D130" s="124"/>
      <c r="E130" s="124">
        <f t="shared" si="9"/>
        <v>0</v>
      </c>
      <c r="F130" s="124">
        <f>D130-E130</f>
        <v>0</v>
      </c>
      <c r="H130" s="105"/>
      <c r="I130" s="105"/>
    </row>
    <row r="131" spans="1:9" s="114" customFormat="1" ht="13.8" outlineLevel="1" thickBot="1">
      <c r="A131" s="122" t="s">
        <v>806</v>
      </c>
      <c r="B131" s="89"/>
      <c r="C131" s="125" t="s">
        <v>941</v>
      </c>
      <c r="D131" s="113">
        <f>SUBTOTAL(9,D118:D130)</f>
        <v>49935.6</v>
      </c>
      <c r="E131" s="113">
        <f>SUBTOTAL(9,E118:E130)</f>
        <v>49935.6</v>
      </c>
      <c r="F131" s="113">
        <f>SUBTOTAL(9,F118:F130)</f>
        <v>0</v>
      </c>
    </row>
    <row r="132" spans="1:9" s="114" customFormat="1" ht="13.8" outlineLevel="1" thickBot="1">
      <c r="A132" s="166" t="s">
        <v>1179</v>
      </c>
      <c r="B132" s="126"/>
      <c r="C132" s="149"/>
      <c r="D132" s="121"/>
      <c r="E132" s="271">
        <f>E139/D139</f>
        <v>1</v>
      </c>
      <c r="F132" s="271">
        <f>1-E132</f>
        <v>0</v>
      </c>
    </row>
    <row r="133" spans="1:9" ht="13.8" outlineLevel="2" thickBot="1">
      <c r="A133" s="122" t="s">
        <v>1180</v>
      </c>
      <c r="B133" s="89" t="s">
        <v>1181</v>
      </c>
      <c r="C133" s="123"/>
      <c r="D133" s="124">
        <f>70000*(500/414)^0.6*0.75</f>
        <v>58795.095664265558</v>
      </c>
      <c r="E133" s="124">
        <f>D133</f>
        <v>58795.095664265558</v>
      </c>
      <c r="F133" s="124">
        <f>D133-E133</f>
        <v>0</v>
      </c>
      <c r="H133" s="105"/>
      <c r="I133" s="105"/>
    </row>
    <row r="134" spans="1:9" ht="13.8" hidden="1" outlineLevel="2" thickBot="1">
      <c r="A134" s="122"/>
      <c r="B134" s="89"/>
      <c r="C134" s="123"/>
      <c r="D134" s="124"/>
      <c r="E134" s="124"/>
      <c r="F134" s="124"/>
      <c r="H134" s="105"/>
      <c r="I134" s="105"/>
    </row>
    <row r="135" spans="1:9" ht="13.8" hidden="1" outlineLevel="2" thickBot="1">
      <c r="A135" s="122"/>
      <c r="B135" s="167"/>
      <c r="C135" s="123"/>
      <c r="D135" s="124"/>
      <c r="E135" s="124"/>
      <c r="F135" s="124"/>
      <c r="H135" s="105"/>
      <c r="I135" s="105"/>
    </row>
    <row r="136" spans="1:9" ht="13.8" hidden="1" outlineLevel="2" thickBot="1">
      <c r="A136" s="122"/>
      <c r="B136" s="89"/>
      <c r="C136" s="123"/>
      <c r="D136" s="124"/>
      <c r="E136" s="124"/>
      <c r="F136" s="124"/>
      <c r="I136" s="105"/>
    </row>
    <row r="137" spans="1:9" ht="13.8" hidden="1" outlineLevel="2" thickBot="1">
      <c r="A137" s="122"/>
      <c r="B137" s="89"/>
      <c r="C137" s="123"/>
      <c r="D137" s="124"/>
      <c r="E137" s="124"/>
      <c r="F137" s="124"/>
      <c r="H137" s="105"/>
      <c r="I137" s="105"/>
    </row>
    <row r="138" spans="1:9" ht="13.8" outlineLevel="2" thickBot="1">
      <c r="A138" s="122"/>
      <c r="B138" s="89"/>
      <c r="C138" s="123"/>
      <c r="D138" s="124"/>
      <c r="E138" s="124"/>
      <c r="F138" s="124"/>
      <c r="H138" s="105"/>
      <c r="I138" s="105"/>
    </row>
    <row r="139" spans="1:9" s="114" customFormat="1" ht="13.8" outlineLevel="1" thickBot="1">
      <c r="A139" s="122" t="s">
        <v>1184</v>
      </c>
      <c r="B139" s="89"/>
      <c r="C139" s="125" t="s">
        <v>941</v>
      </c>
      <c r="D139" s="113">
        <f>SUBTOTAL(9,D133:D138)</f>
        <v>58795.095664265558</v>
      </c>
      <c r="E139" s="113">
        <f>SUBTOTAL(9,E133:E137)</f>
        <v>58795.095664265558</v>
      </c>
      <c r="F139" s="113">
        <f>SUBTOTAL(9,F133:F137)</f>
        <v>0</v>
      </c>
      <c r="H139" s="105"/>
    </row>
    <row r="140" spans="1:9" s="114" customFormat="1" ht="13.8" outlineLevel="1" thickBot="1">
      <c r="A140" s="166" t="s">
        <v>1185</v>
      </c>
      <c r="B140" s="126"/>
      <c r="C140" s="149"/>
      <c r="D140" s="121"/>
      <c r="E140" s="271">
        <f>E149/D149</f>
        <v>0.4</v>
      </c>
      <c r="F140" s="271">
        <f>1-E140</f>
        <v>0.6</v>
      </c>
    </row>
    <row r="141" spans="1:9" ht="13.8" outlineLevel="2" thickBot="1">
      <c r="A141" s="500" t="s">
        <v>843</v>
      </c>
      <c r="B141" s="501" t="s">
        <v>844</v>
      </c>
      <c r="C141" s="123"/>
      <c r="D141" s="255">
        <v>8000</v>
      </c>
      <c r="E141" s="124">
        <f>D141*0.15</f>
        <v>1200</v>
      </c>
      <c r="F141" s="124">
        <f>D141-E141</f>
        <v>6800</v>
      </c>
      <c r="H141" s="105"/>
      <c r="I141" s="105"/>
    </row>
    <row r="142" spans="1:9" ht="13.8" outlineLevel="2" thickBot="1">
      <c r="A142" s="500" t="s">
        <v>845</v>
      </c>
      <c r="B142" s="501" t="s">
        <v>846</v>
      </c>
      <c r="C142" s="123"/>
      <c r="D142" s="255">
        <v>7000</v>
      </c>
      <c r="E142" s="124">
        <f t="shared" ref="E142:E147" si="11">D142*0.5</f>
        <v>3500</v>
      </c>
      <c r="F142" s="124">
        <f t="shared" ref="F142:F147" si="12">D142-E142</f>
        <v>3500</v>
      </c>
      <c r="H142" s="105"/>
      <c r="I142" s="105"/>
    </row>
    <row r="143" spans="1:9" ht="13.8" outlineLevel="2" thickBot="1">
      <c r="A143" s="500" t="s">
        <v>847</v>
      </c>
      <c r="B143" s="501" t="s">
        <v>848</v>
      </c>
      <c r="C143" s="123"/>
      <c r="D143" s="255">
        <v>9000</v>
      </c>
      <c r="E143" s="124">
        <f t="shared" si="11"/>
        <v>4500</v>
      </c>
      <c r="F143" s="124">
        <f t="shared" si="12"/>
        <v>4500</v>
      </c>
      <c r="H143" s="105"/>
      <c r="I143" s="105"/>
    </row>
    <row r="144" spans="1:9" ht="13.8" outlineLevel="2" thickBot="1">
      <c r="A144" s="500" t="s">
        <v>849</v>
      </c>
      <c r="B144" s="501" t="s">
        <v>850</v>
      </c>
      <c r="C144" s="123"/>
      <c r="D144" s="255">
        <v>2000</v>
      </c>
      <c r="E144" s="124">
        <f t="shared" si="11"/>
        <v>1000</v>
      </c>
      <c r="F144" s="124">
        <f t="shared" si="12"/>
        <v>1000</v>
      </c>
      <c r="H144" s="105"/>
      <c r="I144" s="105"/>
    </row>
    <row r="145" spans="1:9" ht="13.8" outlineLevel="2" thickBot="1">
      <c r="A145" s="500" t="s">
        <v>851</v>
      </c>
      <c r="B145" s="501" t="s">
        <v>850</v>
      </c>
      <c r="C145" s="123"/>
      <c r="D145" s="255">
        <v>2000</v>
      </c>
      <c r="E145" s="124">
        <f t="shared" si="11"/>
        <v>1000</v>
      </c>
      <c r="F145" s="124">
        <f t="shared" si="12"/>
        <v>1000</v>
      </c>
      <c r="H145" s="105"/>
      <c r="I145" s="105"/>
    </row>
    <row r="146" spans="1:9" ht="13.8" hidden="1" outlineLevel="2" thickBot="1">
      <c r="A146" s="122"/>
      <c r="B146" s="89"/>
      <c r="C146" s="123"/>
      <c r="D146" s="124"/>
      <c r="E146" s="124">
        <f t="shared" si="11"/>
        <v>0</v>
      </c>
      <c r="F146" s="124">
        <f t="shared" si="12"/>
        <v>0</v>
      </c>
      <c r="H146" s="105"/>
      <c r="I146" s="105"/>
    </row>
    <row r="147" spans="1:9" ht="13.8" hidden="1" outlineLevel="2" thickBot="1">
      <c r="A147" s="122"/>
      <c r="B147" s="89"/>
      <c r="C147" s="123"/>
      <c r="D147" s="124"/>
      <c r="E147" s="124">
        <f t="shared" si="11"/>
        <v>0</v>
      </c>
      <c r="F147" s="124">
        <f t="shared" si="12"/>
        <v>0</v>
      </c>
      <c r="H147" s="105"/>
      <c r="I147" s="105"/>
    </row>
    <row r="148" spans="1:9" ht="13.8" outlineLevel="2" thickBot="1">
      <c r="A148" s="122"/>
      <c r="B148" s="89"/>
      <c r="C148" s="123"/>
      <c r="D148" s="124"/>
      <c r="E148" s="124"/>
      <c r="F148" s="124"/>
      <c r="H148" s="105"/>
      <c r="I148" s="105"/>
    </row>
    <row r="149" spans="1:9" s="114" customFormat="1" ht="13.8" outlineLevel="1" thickBot="1">
      <c r="A149" s="122" t="s">
        <v>806</v>
      </c>
      <c r="B149" s="89"/>
      <c r="C149" s="125" t="s">
        <v>941</v>
      </c>
      <c r="D149" s="113">
        <f>SUBTOTAL(9,D141:D148)</f>
        <v>28000</v>
      </c>
      <c r="E149" s="113">
        <f>SUBTOTAL(9,E141:E148)</f>
        <v>11200</v>
      </c>
      <c r="F149" s="113">
        <f>SUBTOTAL(9,F141:F148)</f>
        <v>16800</v>
      </c>
    </row>
    <row r="150" spans="1:9" s="114" customFormat="1" ht="13.8" hidden="1" outlineLevel="1" thickBot="1">
      <c r="A150" s="166" t="s">
        <v>1188</v>
      </c>
      <c r="B150" s="126"/>
      <c r="C150" s="149"/>
      <c r="D150" s="121"/>
      <c r="E150" s="271" t="e">
        <f>E158/D158</f>
        <v>#DIV/0!</v>
      </c>
      <c r="F150" s="271" t="e">
        <f>1-E150</f>
        <v>#DIV/0!</v>
      </c>
    </row>
    <row r="151" spans="1:9" ht="13.8" hidden="1" outlineLevel="2" thickBot="1">
      <c r="A151" s="122" t="s">
        <v>1186</v>
      </c>
      <c r="B151" s="89" t="s">
        <v>1189</v>
      </c>
      <c r="C151" s="123"/>
      <c r="D151" s="124"/>
      <c r="E151" s="124">
        <f>D151*0.25</f>
        <v>0</v>
      </c>
      <c r="F151" s="124">
        <f>D151-E151</f>
        <v>0</v>
      </c>
      <c r="H151" s="105"/>
      <c r="I151" s="105"/>
    </row>
    <row r="152" spans="1:9" ht="13.8" hidden="1" outlineLevel="2" thickBot="1">
      <c r="A152" s="122" t="s">
        <v>1187</v>
      </c>
      <c r="B152" s="89" t="s">
        <v>1190</v>
      </c>
      <c r="C152" s="123"/>
      <c r="D152" s="124"/>
      <c r="E152" s="124">
        <f t="shared" ref="E152:E157" si="13">D152*0.5</f>
        <v>0</v>
      </c>
      <c r="F152" s="124">
        <f t="shared" ref="F152:F157" si="14">D152-E152</f>
        <v>0</v>
      </c>
      <c r="H152" s="105"/>
      <c r="I152" s="105"/>
    </row>
    <row r="153" spans="1:9" ht="13.8" hidden="1" outlineLevel="2" thickBot="1">
      <c r="A153" s="122" t="s">
        <v>1145</v>
      </c>
      <c r="B153" s="167" t="s">
        <v>1182</v>
      </c>
      <c r="C153" s="123"/>
      <c r="D153" s="124"/>
      <c r="E153" s="124">
        <f t="shared" si="13"/>
        <v>0</v>
      </c>
      <c r="F153" s="124">
        <f t="shared" si="14"/>
        <v>0</v>
      </c>
      <c r="H153" s="105"/>
      <c r="I153" s="105"/>
    </row>
    <row r="154" spans="1:9" ht="13.8" hidden="1" outlineLevel="2" thickBot="1">
      <c r="A154" s="122" t="s">
        <v>1202</v>
      </c>
      <c r="B154" s="89"/>
      <c r="C154" s="123"/>
      <c r="D154" s="124"/>
      <c r="E154" s="124">
        <f t="shared" si="13"/>
        <v>0</v>
      </c>
      <c r="F154" s="124">
        <f t="shared" si="14"/>
        <v>0</v>
      </c>
      <c r="H154" s="105"/>
      <c r="I154" s="105"/>
    </row>
    <row r="155" spans="1:9" ht="13.8" hidden="1" outlineLevel="2" thickBot="1">
      <c r="A155" s="122" t="s">
        <v>1183</v>
      </c>
      <c r="B155" s="89"/>
      <c r="C155" s="123"/>
      <c r="D155" s="124"/>
      <c r="E155" s="124">
        <f t="shared" si="13"/>
        <v>0</v>
      </c>
      <c r="F155" s="124">
        <f t="shared" si="14"/>
        <v>0</v>
      </c>
      <c r="H155" s="105"/>
      <c r="I155" s="105"/>
    </row>
    <row r="156" spans="1:9" ht="13.8" hidden="1" outlineLevel="2" thickBot="1">
      <c r="A156" s="122" t="s">
        <v>1063</v>
      </c>
      <c r="B156" s="89"/>
      <c r="C156" s="123"/>
      <c r="D156" s="124"/>
      <c r="E156" s="124">
        <f t="shared" si="13"/>
        <v>0</v>
      </c>
      <c r="F156" s="124">
        <f t="shared" si="14"/>
        <v>0</v>
      </c>
      <c r="H156" s="105"/>
      <c r="I156" s="105"/>
    </row>
    <row r="157" spans="1:9" ht="13.8" hidden="1" outlineLevel="2" thickBot="1">
      <c r="A157" s="122" t="s">
        <v>1258</v>
      </c>
      <c r="B157" s="89" t="s">
        <v>1158</v>
      </c>
      <c r="C157" s="123"/>
      <c r="D157" s="124"/>
      <c r="E157" s="124">
        <f t="shared" si="13"/>
        <v>0</v>
      </c>
      <c r="F157" s="124">
        <f t="shared" si="14"/>
        <v>0</v>
      </c>
      <c r="H157" s="105"/>
      <c r="I157" s="105"/>
    </row>
    <row r="158" spans="1:9" s="114" customFormat="1" ht="13.8" hidden="1" outlineLevel="1" thickBot="1">
      <c r="A158" s="122" t="s">
        <v>1203</v>
      </c>
      <c r="B158" s="89"/>
      <c r="C158" s="125" t="s">
        <v>941</v>
      </c>
      <c r="D158" s="113">
        <f>SUBTOTAL(9,D151:D157)</f>
        <v>0</v>
      </c>
      <c r="E158" s="113">
        <f>SUBTOTAL(9,E151:E157)</f>
        <v>0</v>
      </c>
      <c r="F158" s="113">
        <f>SUBTOTAL(9,F151:F157)</f>
        <v>0</v>
      </c>
    </row>
    <row r="159" spans="1:9" s="114" customFormat="1" ht="13.8" hidden="1" outlineLevel="1" thickBot="1">
      <c r="A159" s="166" t="s">
        <v>1204</v>
      </c>
      <c r="B159" s="126"/>
      <c r="C159" s="149"/>
      <c r="D159" s="121"/>
      <c r="E159" s="271" t="e">
        <f>E168/D168</f>
        <v>#DIV/0!</v>
      </c>
      <c r="F159" s="271" t="e">
        <f>1-E159</f>
        <v>#DIV/0!</v>
      </c>
    </row>
    <row r="160" spans="1:9" ht="13.8" hidden="1" outlineLevel="2" thickBot="1">
      <c r="A160" s="122" t="s">
        <v>1186</v>
      </c>
      <c r="B160" s="89" t="s">
        <v>1181</v>
      </c>
      <c r="C160" s="123"/>
      <c r="D160" s="124"/>
      <c r="E160" s="124">
        <f>D160*0.5</f>
        <v>0</v>
      </c>
      <c r="F160" s="124">
        <f>D160-E160</f>
        <v>0</v>
      </c>
      <c r="H160" s="105"/>
      <c r="I160" s="105"/>
    </row>
    <row r="161" spans="1:9" ht="13.8" hidden="1" outlineLevel="2" thickBot="1">
      <c r="A161" s="122" t="s">
        <v>1187</v>
      </c>
      <c r="B161" s="89" t="s">
        <v>1205</v>
      </c>
      <c r="C161" s="123"/>
      <c r="D161" s="124"/>
      <c r="E161" s="124">
        <f t="shared" ref="E161:E166" si="15">D161*0.5</f>
        <v>0</v>
      </c>
      <c r="F161" s="124">
        <f t="shared" ref="F161:F166" si="16">D161-E161</f>
        <v>0</v>
      </c>
      <c r="H161" s="105"/>
      <c r="I161" s="105"/>
    </row>
    <row r="162" spans="1:9" ht="13.8" hidden="1" outlineLevel="2" thickBot="1">
      <c r="A162" s="122" t="s">
        <v>1145</v>
      </c>
      <c r="B162" s="167" t="s">
        <v>1182</v>
      </c>
      <c r="C162" s="123"/>
      <c r="D162" s="124"/>
      <c r="E162" s="124">
        <f t="shared" si="15"/>
        <v>0</v>
      </c>
      <c r="F162" s="124">
        <f t="shared" si="16"/>
        <v>0</v>
      </c>
      <c r="H162" s="105"/>
      <c r="I162" s="105"/>
    </row>
    <row r="163" spans="1:9" ht="13.8" hidden="1" outlineLevel="2" thickBot="1">
      <c r="A163" s="122" t="s">
        <v>1202</v>
      </c>
      <c r="B163" s="89"/>
      <c r="C163" s="123"/>
      <c r="D163" s="124"/>
      <c r="E163" s="124">
        <f t="shared" si="15"/>
        <v>0</v>
      </c>
      <c r="F163" s="124">
        <f t="shared" si="16"/>
        <v>0</v>
      </c>
      <c r="H163" s="105"/>
      <c r="I163" s="105"/>
    </row>
    <row r="164" spans="1:9" ht="13.8" hidden="1" outlineLevel="2" thickBot="1">
      <c r="A164" s="122" t="s">
        <v>1183</v>
      </c>
      <c r="B164" s="89"/>
      <c r="C164" s="123"/>
      <c r="D164" s="124"/>
      <c r="E164" s="124">
        <f t="shared" si="15"/>
        <v>0</v>
      </c>
      <c r="F164" s="124">
        <f t="shared" si="16"/>
        <v>0</v>
      </c>
      <c r="H164" s="105"/>
      <c r="I164" s="105"/>
    </row>
    <row r="165" spans="1:9" ht="13.8" hidden="1" outlineLevel="2" thickBot="1">
      <c r="A165" s="122" t="s">
        <v>1063</v>
      </c>
      <c r="B165" s="89"/>
      <c r="C165" s="123"/>
      <c r="D165" s="124"/>
      <c r="E165" s="124">
        <f t="shared" si="15"/>
        <v>0</v>
      </c>
      <c r="F165" s="124">
        <f t="shared" si="16"/>
        <v>0</v>
      </c>
      <c r="H165" s="105"/>
      <c r="I165" s="105"/>
    </row>
    <row r="166" spans="1:9" ht="13.8" hidden="1" outlineLevel="2" thickBot="1">
      <c r="A166" s="122" t="s">
        <v>1258</v>
      </c>
      <c r="B166" s="89" t="s">
        <v>1158</v>
      </c>
      <c r="C166" s="123"/>
      <c r="D166" s="124"/>
      <c r="E166" s="124">
        <f t="shared" si="15"/>
        <v>0</v>
      </c>
      <c r="F166" s="124">
        <f t="shared" si="16"/>
        <v>0</v>
      </c>
      <c r="H166" s="105"/>
      <c r="I166" s="105"/>
    </row>
    <row r="167" spans="1:9" ht="13.8" hidden="1" outlineLevel="2" thickBot="1">
      <c r="A167" s="122"/>
      <c r="B167" s="89"/>
      <c r="C167" s="123"/>
      <c r="D167" s="124"/>
      <c r="E167" s="124"/>
      <c r="F167" s="124"/>
      <c r="H167" s="105"/>
      <c r="I167" s="105"/>
    </row>
    <row r="168" spans="1:9" s="114" customFormat="1" ht="13.8" hidden="1" outlineLevel="1" thickBot="1">
      <c r="A168" s="122" t="s">
        <v>1184</v>
      </c>
      <c r="B168" s="89"/>
      <c r="C168" s="125" t="s">
        <v>941</v>
      </c>
      <c r="D168" s="113">
        <f>SUBTOTAL(9,D160:D167)</f>
        <v>0</v>
      </c>
      <c r="E168" s="113">
        <f>SUBTOTAL(9,E160:E167)</f>
        <v>0</v>
      </c>
      <c r="F168" s="113">
        <f>SUBTOTAL(9,F160:F167)</f>
        <v>0</v>
      </c>
    </row>
    <row r="169" spans="1:9" s="114" customFormat="1" ht="13.8" hidden="1" outlineLevel="1" thickBot="1">
      <c r="A169" s="166" t="s">
        <v>1206</v>
      </c>
      <c r="B169" s="126"/>
      <c r="C169" s="149"/>
      <c r="D169" s="121"/>
      <c r="E169" s="271" t="e">
        <f>E179/D179</f>
        <v>#DIV/0!</v>
      </c>
      <c r="F169" s="271" t="e">
        <f>1-E169</f>
        <v>#DIV/0!</v>
      </c>
    </row>
    <row r="170" spans="1:9" ht="13.8" hidden="1" outlineLevel="2" thickBot="1">
      <c r="A170" s="122" t="s">
        <v>1186</v>
      </c>
      <c r="B170" s="89" t="s">
        <v>1207</v>
      </c>
      <c r="C170" s="123"/>
      <c r="D170" s="124"/>
      <c r="E170" s="124">
        <f>D170*0.5</f>
        <v>0</v>
      </c>
      <c r="F170" s="124">
        <f>D170-E170</f>
        <v>0</v>
      </c>
      <c r="H170" s="105"/>
      <c r="I170" s="105"/>
    </row>
    <row r="171" spans="1:9" ht="13.8" hidden="1" outlineLevel="2" thickBot="1">
      <c r="A171" s="122" t="s">
        <v>1208</v>
      </c>
      <c r="B171" s="89" t="s">
        <v>1209</v>
      </c>
      <c r="C171" s="123"/>
      <c r="D171" s="124"/>
      <c r="E171" s="124">
        <f t="shared" ref="E171:E177" si="17">D171*0.5</f>
        <v>0</v>
      </c>
      <c r="F171" s="124">
        <f t="shared" ref="F171:F177" si="18">D171-E171</f>
        <v>0</v>
      </c>
      <c r="H171" s="105"/>
      <c r="I171" s="105"/>
    </row>
    <row r="172" spans="1:9" ht="13.8" hidden="1" outlineLevel="2" thickBot="1">
      <c r="A172" s="122" t="s">
        <v>1187</v>
      </c>
      <c r="B172" s="89" t="s">
        <v>1210</v>
      </c>
      <c r="C172" s="123"/>
      <c r="D172" s="124"/>
      <c r="E172" s="124">
        <f t="shared" si="17"/>
        <v>0</v>
      </c>
      <c r="F172" s="124">
        <f t="shared" si="18"/>
        <v>0</v>
      </c>
      <c r="H172" s="105"/>
      <c r="I172" s="105"/>
    </row>
    <row r="173" spans="1:9" ht="13.8" hidden="1" outlineLevel="2" thickBot="1">
      <c r="A173" s="122" t="s">
        <v>1145</v>
      </c>
      <c r="B173" s="89" t="s">
        <v>1211</v>
      </c>
      <c r="C173" s="123"/>
      <c r="D173" s="124"/>
      <c r="E173" s="124">
        <f t="shared" si="17"/>
        <v>0</v>
      </c>
      <c r="F173" s="124">
        <f t="shared" si="18"/>
        <v>0</v>
      </c>
      <c r="H173" s="105"/>
      <c r="I173" s="105"/>
    </row>
    <row r="174" spans="1:9" ht="13.8" hidden="1" outlineLevel="2" thickBot="1">
      <c r="A174" s="122" t="s">
        <v>1202</v>
      </c>
      <c r="B174" s="89" t="s">
        <v>1212</v>
      </c>
      <c r="C174" s="123"/>
      <c r="D174" s="124"/>
      <c r="E174" s="124">
        <f t="shared" si="17"/>
        <v>0</v>
      </c>
      <c r="F174" s="124">
        <f t="shared" si="18"/>
        <v>0</v>
      </c>
      <c r="H174" s="105"/>
      <c r="I174" s="105"/>
    </row>
    <row r="175" spans="1:9" ht="13.8" hidden="1" outlineLevel="2" thickBot="1">
      <c r="A175" s="122" t="s">
        <v>1183</v>
      </c>
      <c r="B175" s="89"/>
      <c r="C175" s="123"/>
      <c r="D175" s="124"/>
      <c r="E175" s="124">
        <f t="shared" si="17"/>
        <v>0</v>
      </c>
      <c r="F175" s="124">
        <f t="shared" si="18"/>
        <v>0</v>
      </c>
      <c r="H175" s="105"/>
      <c r="I175" s="105"/>
    </row>
    <row r="176" spans="1:9" ht="13.8" hidden="1" outlineLevel="2" thickBot="1">
      <c r="A176" s="122" t="s">
        <v>1063</v>
      </c>
      <c r="B176" s="89"/>
      <c r="C176" s="123"/>
      <c r="D176" s="124"/>
      <c r="E176" s="124">
        <f t="shared" si="17"/>
        <v>0</v>
      </c>
      <c r="F176" s="124">
        <f t="shared" si="18"/>
        <v>0</v>
      </c>
      <c r="H176" s="105"/>
      <c r="I176" s="105"/>
    </row>
    <row r="177" spans="1:9" ht="13.8" hidden="1" outlineLevel="2" thickBot="1">
      <c r="A177" s="122" t="s">
        <v>1258</v>
      </c>
      <c r="B177" s="89" t="s">
        <v>1213</v>
      </c>
      <c r="C177" s="123"/>
      <c r="D177" s="124"/>
      <c r="E177" s="124">
        <f t="shared" si="17"/>
        <v>0</v>
      </c>
      <c r="F177" s="124">
        <f t="shared" si="18"/>
        <v>0</v>
      </c>
      <c r="H177" s="105"/>
      <c r="I177" s="105"/>
    </row>
    <row r="178" spans="1:9" ht="13.8" hidden="1" outlineLevel="2" thickBot="1">
      <c r="A178" s="122"/>
      <c r="B178" s="89"/>
      <c r="C178" s="123"/>
      <c r="D178" s="124"/>
      <c r="E178" s="124"/>
      <c r="F178" s="124"/>
      <c r="H178" s="105"/>
      <c r="I178" s="105"/>
    </row>
    <row r="179" spans="1:9" s="114" customFormat="1" ht="13.8" hidden="1" outlineLevel="1" thickBot="1">
      <c r="A179" s="122" t="s">
        <v>1214</v>
      </c>
      <c r="B179" s="89"/>
      <c r="C179" s="125" t="s">
        <v>941</v>
      </c>
      <c r="D179" s="113">
        <f>SUBTOTAL(9,D170:D178)</f>
        <v>0</v>
      </c>
      <c r="E179" s="113">
        <f>SUBTOTAL(9,E170:E178)</f>
        <v>0</v>
      </c>
      <c r="F179" s="113">
        <f>SUBTOTAL(9,F170:F178)</f>
        <v>0</v>
      </c>
    </row>
    <row r="180" spans="1:9" s="114" customFormat="1" ht="13.8" outlineLevel="1" thickBot="1">
      <c r="A180" s="166" t="s">
        <v>1215</v>
      </c>
      <c r="B180" s="126"/>
      <c r="C180" s="149"/>
      <c r="D180" s="121"/>
      <c r="E180" s="271">
        <f>E189/D189</f>
        <v>0.36</v>
      </c>
      <c r="F180" s="271">
        <f>1-E180</f>
        <v>0.64</v>
      </c>
    </row>
    <row r="181" spans="1:9" ht="13.8" hidden="1" outlineLevel="2" thickBot="1">
      <c r="A181" s="122" t="s">
        <v>1186</v>
      </c>
      <c r="B181" s="89" t="s">
        <v>1216</v>
      </c>
      <c r="C181" s="123"/>
      <c r="D181" s="124"/>
      <c r="E181" s="124">
        <f>D181*0.15</f>
        <v>0</v>
      </c>
      <c r="F181" s="124">
        <f>D181-E181</f>
        <v>0</v>
      </c>
      <c r="H181" s="105"/>
      <c r="I181" s="105"/>
    </row>
    <row r="182" spans="1:9" ht="13.8" outlineLevel="2" thickBot="1">
      <c r="A182" s="500" t="s">
        <v>859</v>
      </c>
      <c r="B182" s="584" t="s">
        <v>852</v>
      </c>
      <c r="C182" s="123"/>
      <c r="D182" s="255">
        <v>180000</v>
      </c>
      <c r="E182" s="124">
        <f t="shared" ref="E182:E187" si="19">D182*0.25</f>
        <v>45000</v>
      </c>
      <c r="F182" s="124">
        <f t="shared" ref="F182:F187" si="20">D182-E182</f>
        <v>135000</v>
      </c>
      <c r="H182" s="105"/>
      <c r="I182" s="105"/>
    </row>
    <row r="183" spans="1:9" ht="13.8" outlineLevel="2" thickBot="1">
      <c r="A183" s="500" t="s">
        <v>853</v>
      </c>
      <c r="B183" s="584" t="s">
        <v>854</v>
      </c>
      <c r="C183" s="123"/>
      <c r="D183" s="255">
        <v>36000</v>
      </c>
      <c r="E183" s="124">
        <f t="shared" si="19"/>
        <v>9000</v>
      </c>
      <c r="F183" s="124">
        <f t="shared" si="20"/>
        <v>27000</v>
      </c>
      <c r="H183" s="105"/>
      <c r="I183" s="105"/>
    </row>
    <row r="184" spans="1:9" ht="13.8" outlineLevel="2" thickBot="1">
      <c r="A184" s="500" t="s">
        <v>855</v>
      </c>
      <c r="B184" s="584" t="s">
        <v>856</v>
      </c>
      <c r="C184" s="123"/>
      <c r="D184" s="255">
        <v>78000</v>
      </c>
      <c r="E184" s="124">
        <f t="shared" si="19"/>
        <v>19500</v>
      </c>
      <c r="F184" s="124">
        <f t="shared" si="20"/>
        <v>58500</v>
      </c>
      <c r="H184" s="105"/>
      <c r="I184" s="105"/>
    </row>
    <row r="185" spans="1:9" ht="13.8" outlineLevel="2" thickBot="1">
      <c r="A185" s="500" t="s">
        <v>857</v>
      </c>
      <c r="B185" s="584" t="s">
        <v>858</v>
      </c>
      <c r="C185" s="123"/>
      <c r="D185" s="255">
        <v>30000</v>
      </c>
      <c r="E185" s="124">
        <f t="shared" si="19"/>
        <v>7500</v>
      </c>
      <c r="F185" s="124">
        <f t="shared" si="20"/>
        <v>22500</v>
      </c>
      <c r="H185" s="105"/>
      <c r="I185" s="105"/>
    </row>
    <row r="186" spans="1:9" ht="13.8" hidden="1" outlineLevel="2" thickBot="1">
      <c r="A186" s="122"/>
      <c r="B186" s="89"/>
      <c r="C186" s="123"/>
      <c r="D186" s="124"/>
      <c r="E186" s="124">
        <f t="shared" si="19"/>
        <v>0</v>
      </c>
      <c r="F186" s="124">
        <f t="shared" si="20"/>
        <v>0</v>
      </c>
      <c r="H186" s="105"/>
      <c r="I186" s="105"/>
    </row>
    <row r="187" spans="1:9" ht="13.8" hidden="1" outlineLevel="2" thickBot="1">
      <c r="A187" s="122" t="s">
        <v>1258</v>
      </c>
      <c r="B187" s="89" t="s">
        <v>1158</v>
      </c>
      <c r="C187" s="123"/>
      <c r="D187" s="124">
        <f>0.05*0.75*D181</f>
        <v>0</v>
      </c>
      <c r="E187" s="124">
        <f t="shared" si="19"/>
        <v>0</v>
      </c>
      <c r="F187" s="124">
        <f t="shared" si="20"/>
        <v>0</v>
      </c>
      <c r="H187" s="105"/>
      <c r="I187" s="105"/>
    </row>
    <row r="188" spans="1:9" ht="13.8" outlineLevel="2" thickBot="1">
      <c r="A188" s="122"/>
      <c r="B188" s="89"/>
      <c r="C188" s="123"/>
      <c r="D188" s="124"/>
      <c r="E188" s="124"/>
      <c r="F188" s="124"/>
      <c r="H188" s="105"/>
      <c r="I188" s="105"/>
    </row>
    <row r="189" spans="1:9" s="114" customFormat="1" ht="13.8" outlineLevel="1" thickBot="1">
      <c r="A189" s="122" t="s">
        <v>806</v>
      </c>
      <c r="B189" s="89"/>
      <c r="C189" s="125" t="s">
        <v>941</v>
      </c>
      <c r="D189" s="113">
        <v>225000</v>
      </c>
      <c r="E189" s="113">
        <f>SUBTOTAL(9,E181:E188)</f>
        <v>81000</v>
      </c>
      <c r="F189" s="113">
        <f>SUBTOTAL(9,F181:F188)</f>
        <v>243000</v>
      </c>
    </row>
    <row r="190" spans="1:9" s="114" customFormat="1" ht="13.8" hidden="1" outlineLevel="1" thickBot="1">
      <c r="A190" s="166" t="s">
        <v>1217</v>
      </c>
      <c r="B190" s="126"/>
      <c r="C190" s="149"/>
      <c r="D190" s="121"/>
      <c r="E190" s="271">
        <v>0.25</v>
      </c>
      <c r="F190" s="271">
        <f>1-E190</f>
        <v>0.75</v>
      </c>
    </row>
    <row r="191" spans="1:9" ht="13.8" hidden="1" outlineLevel="2" thickBot="1">
      <c r="A191" s="122" t="s">
        <v>1186</v>
      </c>
      <c r="B191" s="89" t="s">
        <v>1218</v>
      </c>
      <c r="C191" s="123"/>
      <c r="D191" s="124"/>
      <c r="E191" s="124">
        <f>D191*0.75</f>
        <v>0</v>
      </c>
      <c r="F191" s="124">
        <f>D191-E191</f>
        <v>0</v>
      </c>
      <c r="H191" s="105"/>
      <c r="I191" s="105"/>
    </row>
    <row r="192" spans="1:9" ht="13.8" hidden="1" outlineLevel="2" thickBot="1">
      <c r="A192" s="122" t="s">
        <v>1187</v>
      </c>
      <c r="B192" s="89" t="s">
        <v>1219</v>
      </c>
      <c r="C192" s="123"/>
      <c r="D192" s="124"/>
      <c r="E192" s="124">
        <f t="shared" ref="E192:E197" si="21">D192*0.75</f>
        <v>0</v>
      </c>
      <c r="F192" s="124">
        <f t="shared" ref="F192:F197" si="22">D192-E192</f>
        <v>0</v>
      </c>
      <c r="H192" s="105"/>
      <c r="I192" s="105"/>
    </row>
    <row r="193" spans="1:9" ht="13.8" hidden="1" outlineLevel="2" thickBot="1">
      <c r="A193" s="122" t="s">
        <v>1145</v>
      </c>
      <c r="B193" s="89" t="s">
        <v>1220</v>
      </c>
      <c r="C193" s="123"/>
      <c r="D193" s="124"/>
      <c r="E193" s="124">
        <f t="shared" si="21"/>
        <v>0</v>
      </c>
      <c r="F193" s="124">
        <f t="shared" si="22"/>
        <v>0</v>
      </c>
      <c r="H193" s="105"/>
      <c r="I193" s="105"/>
    </row>
    <row r="194" spans="1:9" ht="13.8" hidden="1" outlineLevel="2" thickBot="1">
      <c r="A194" s="122" t="s">
        <v>1202</v>
      </c>
      <c r="B194" s="167" t="s">
        <v>1182</v>
      </c>
      <c r="C194" s="123"/>
      <c r="D194" s="124"/>
      <c r="E194" s="124">
        <f t="shared" si="21"/>
        <v>0</v>
      </c>
      <c r="F194" s="124">
        <f t="shared" si="22"/>
        <v>0</v>
      </c>
      <c r="H194" s="105"/>
      <c r="I194" s="105"/>
    </row>
    <row r="195" spans="1:9" ht="13.8" hidden="1" outlineLevel="2" thickBot="1">
      <c r="A195" s="122" t="s">
        <v>1183</v>
      </c>
      <c r="B195" s="89" t="s">
        <v>1221</v>
      </c>
      <c r="C195" s="123"/>
      <c r="D195" s="124"/>
      <c r="E195" s="124">
        <f t="shared" si="21"/>
        <v>0</v>
      </c>
      <c r="F195" s="124">
        <f t="shared" si="22"/>
        <v>0</v>
      </c>
      <c r="H195" s="105"/>
      <c r="I195" s="105"/>
    </row>
    <row r="196" spans="1:9" ht="13.8" hidden="1" outlineLevel="2" thickBot="1">
      <c r="A196" s="122" t="s">
        <v>1063</v>
      </c>
      <c r="B196" s="89"/>
      <c r="C196" s="123"/>
      <c r="D196" s="124"/>
      <c r="E196" s="124">
        <f t="shared" si="21"/>
        <v>0</v>
      </c>
      <c r="F196" s="124">
        <f t="shared" si="22"/>
        <v>0</v>
      </c>
      <c r="H196" s="105"/>
      <c r="I196" s="105"/>
    </row>
    <row r="197" spans="1:9" ht="13.8" hidden="1" outlineLevel="2" thickBot="1">
      <c r="A197" s="122" t="s">
        <v>1258</v>
      </c>
      <c r="B197" s="89" t="s">
        <v>1158</v>
      </c>
      <c r="C197" s="123"/>
      <c r="D197" s="124"/>
      <c r="E197" s="124">
        <f t="shared" si="21"/>
        <v>0</v>
      </c>
      <c r="F197" s="124">
        <f t="shared" si="22"/>
        <v>0</v>
      </c>
      <c r="H197" s="105"/>
      <c r="I197" s="105"/>
    </row>
    <row r="198" spans="1:9" ht="13.8" hidden="1" outlineLevel="2" thickBot="1">
      <c r="A198" s="122"/>
      <c r="B198" s="89" t="s">
        <v>1222</v>
      </c>
      <c r="C198" s="123"/>
      <c r="D198" s="124"/>
      <c r="E198" s="124"/>
      <c r="F198" s="124"/>
      <c r="H198" s="105"/>
      <c r="I198" s="105"/>
    </row>
    <row r="199" spans="1:9" s="114" customFormat="1" ht="13.8" hidden="1" outlineLevel="1" thickBot="1">
      <c r="A199" s="122" t="s">
        <v>1184</v>
      </c>
      <c r="B199" s="89"/>
      <c r="C199" s="125" t="s">
        <v>941</v>
      </c>
      <c r="D199" s="113">
        <f>SUBTOTAL(9,D191:D198)</f>
        <v>0</v>
      </c>
      <c r="E199" s="113">
        <f>SUBTOTAL(9,E191:E198)</f>
        <v>0</v>
      </c>
      <c r="F199" s="113">
        <f>SUBTOTAL(9,F191:F198)</f>
        <v>0</v>
      </c>
    </row>
    <row r="200" spans="1:9" s="114" customFormat="1" ht="13.8" hidden="1" outlineLevel="1" thickBot="1">
      <c r="A200" s="166" t="s">
        <v>1223</v>
      </c>
      <c r="B200" s="126"/>
      <c r="C200" s="149"/>
      <c r="D200" s="121"/>
      <c r="E200" s="271" t="e">
        <f>E210/D210</f>
        <v>#DIV/0!</v>
      </c>
      <c r="F200" s="271" t="e">
        <f>1-E200</f>
        <v>#DIV/0!</v>
      </c>
    </row>
    <row r="201" spans="1:9" ht="13.8" hidden="1" outlineLevel="2" thickBot="1">
      <c r="A201" s="122" t="s">
        <v>1224</v>
      </c>
      <c r="B201" s="89" t="s">
        <v>1189</v>
      </c>
      <c r="C201" s="123"/>
      <c r="D201" s="124"/>
      <c r="E201" s="124">
        <f>D201*0.2</f>
        <v>0</v>
      </c>
      <c r="F201" s="124">
        <f>D201-E201</f>
        <v>0</v>
      </c>
      <c r="H201" s="105"/>
      <c r="I201" s="105"/>
    </row>
    <row r="202" spans="1:9" ht="13.8" hidden="1" outlineLevel="2" thickBot="1">
      <c r="A202" s="122" t="s">
        <v>1187</v>
      </c>
      <c r="B202" s="89" t="s">
        <v>1225</v>
      </c>
      <c r="C202" s="123"/>
      <c r="D202" s="124"/>
      <c r="E202" s="124">
        <f t="shared" ref="E202:E208" si="23">D202*0.25</f>
        <v>0</v>
      </c>
      <c r="F202" s="124">
        <f t="shared" ref="F202:F208" si="24">D202-E202</f>
        <v>0</v>
      </c>
      <c r="H202" s="105"/>
      <c r="I202" s="105"/>
    </row>
    <row r="203" spans="1:9" ht="13.8" hidden="1" outlineLevel="2" thickBot="1">
      <c r="A203" s="122" t="s">
        <v>1145</v>
      </c>
      <c r="B203" s="167" t="s">
        <v>1182</v>
      </c>
      <c r="C203" s="123"/>
      <c r="D203" s="124"/>
      <c r="E203" s="124">
        <f t="shared" si="23"/>
        <v>0</v>
      </c>
      <c r="F203" s="124">
        <f t="shared" si="24"/>
        <v>0</v>
      </c>
      <c r="H203" s="105"/>
      <c r="I203" s="105"/>
    </row>
    <row r="204" spans="1:9" ht="13.8" hidden="1" outlineLevel="2" thickBot="1">
      <c r="A204" s="122" t="s">
        <v>1226</v>
      </c>
      <c r="B204" s="89"/>
      <c r="C204" s="123"/>
      <c r="D204" s="124"/>
      <c r="E204" s="124">
        <f t="shared" si="23"/>
        <v>0</v>
      </c>
      <c r="F204" s="124">
        <f t="shared" si="24"/>
        <v>0</v>
      </c>
      <c r="H204" s="105"/>
      <c r="I204" s="105"/>
    </row>
    <row r="205" spans="1:9" ht="13.8" hidden="1" outlineLevel="2" thickBot="1">
      <c r="A205" s="122" t="s">
        <v>1183</v>
      </c>
      <c r="B205" s="89" t="s">
        <v>1227</v>
      </c>
      <c r="C205" s="123"/>
      <c r="D205" s="124"/>
      <c r="E205" s="124">
        <f t="shared" si="23"/>
        <v>0</v>
      </c>
      <c r="F205" s="124">
        <f t="shared" si="24"/>
        <v>0</v>
      </c>
      <c r="H205" s="105"/>
      <c r="I205" s="105"/>
    </row>
    <row r="206" spans="1:9" ht="13.8" hidden="1" outlineLevel="2" thickBot="1">
      <c r="A206" s="122" t="s">
        <v>1063</v>
      </c>
      <c r="B206" s="89" t="s">
        <v>1228</v>
      </c>
      <c r="C206" s="123"/>
      <c r="D206" s="124"/>
      <c r="E206" s="124">
        <f t="shared" si="23"/>
        <v>0</v>
      </c>
      <c r="F206" s="124">
        <f t="shared" si="24"/>
        <v>0</v>
      </c>
      <c r="H206" s="105"/>
      <c r="I206" s="105"/>
    </row>
    <row r="207" spans="1:9" ht="13.8" hidden="1" outlineLevel="2" thickBot="1">
      <c r="A207" s="122" t="s">
        <v>1229</v>
      </c>
      <c r="B207" s="89"/>
      <c r="C207" s="123"/>
      <c r="D207" s="124"/>
      <c r="E207" s="124">
        <f t="shared" si="23"/>
        <v>0</v>
      </c>
      <c r="F207" s="124">
        <f t="shared" si="24"/>
        <v>0</v>
      </c>
      <c r="H207" s="105"/>
      <c r="I207" s="105"/>
    </row>
    <row r="208" spans="1:9" ht="13.8" hidden="1" outlineLevel="2" thickBot="1">
      <c r="A208" s="122" t="s">
        <v>1258</v>
      </c>
      <c r="B208" s="89" t="s">
        <v>1230</v>
      </c>
      <c r="C208" s="123"/>
      <c r="D208" s="124">
        <f>0.01*0.75*D201</f>
        <v>0</v>
      </c>
      <c r="E208" s="124">
        <f t="shared" si="23"/>
        <v>0</v>
      </c>
      <c r="F208" s="124">
        <f t="shared" si="24"/>
        <v>0</v>
      </c>
      <c r="H208" s="105"/>
      <c r="I208" s="105"/>
    </row>
    <row r="209" spans="1:9" ht="13.8" hidden="1" outlineLevel="2" thickBot="1">
      <c r="A209" s="122"/>
      <c r="B209" s="89"/>
      <c r="C209" s="123"/>
      <c r="D209" s="124"/>
      <c r="E209" s="124"/>
      <c r="F209" s="124"/>
      <c r="H209" s="105"/>
      <c r="I209" s="105"/>
    </row>
    <row r="210" spans="1:9" s="114" customFormat="1" ht="13.8" hidden="1" outlineLevel="1" thickBot="1">
      <c r="A210" s="122" t="s">
        <v>1231</v>
      </c>
      <c r="B210" s="89"/>
      <c r="C210" s="125" t="s">
        <v>941</v>
      </c>
      <c r="D210" s="113">
        <f>SUBTOTAL(9,D201:D209)</f>
        <v>0</v>
      </c>
      <c r="E210" s="113">
        <f>SUBTOTAL(9,E201:E209)</f>
        <v>0</v>
      </c>
      <c r="F210" s="113">
        <f>SUBTOTAL(9,F201:F209)</f>
        <v>0</v>
      </c>
    </row>
    <row r="211" spans="1:9" s="114" customFormat="1" ht="13.8" hidden="1" outlineLevel="1" thickBot="1">
      <c r="A211" s="166" t="s">
        <v>1232</v>
      </c>
      <c r="B211" s="126"/>
      <c r="C211" s="149"/>
      <c r="D211" s="121"/>
      <c r="E211" s="271">
        <v>0</v>
      </c>
      <c r="F211" s="271">
        <f>1-E211</f>
        <v>1</v>
      </c>
    </row>
    <row r="212" spans="1:9" ht="13.8" hidden="1" outlineLevel="2" thickBot="1">
      <c r="A212" s="122" t="s">
        <v>1186</v>
      </c>
      <c r="B212" s="89" t="s">
        <v>1233</v>
      </c>
      <c r="C212" s="123"/>
      <c r="D212" s="124">
        <v>0</v>
      </c>
      <c r="E212" s="124">
        <f>D212</f>
        <v>0</v>
      </c>
      <c r="F212" s="124">
        <f>D212-E212</f>
        <v>0</v>
      </c>
      <c r="H212" s="105"/>
      <c r="I212" s="105"/>
    </row>
    <row r="213" spans="1:9" ht="13.8" hidden="1" outlineLevel="2" thickBot="1">
      <c r="A213" s="122" t="s">
        <v>1187</v>
      </c>
      <c r="B213" s="89" t="s">
        <v>1234</v>
      </c>
      <c r="C213" s="123"/>
      <c r="D213" s="124"/>
      <c r="E213" s="124"/>
      <c r="F213" s="124"/>
      <c r="H213" s="105"/>
      <c r="I213" s="105"/>
    </row>
    <row r="214" spans="1:9" ht="13.8" hidden="1" outlineLevel="2" thickBot="1">
      <c r="A214" s="122" t="s">
        <v>1145</v>
      </c>
      <c r="B214" s="89" t="s">
        <v>1235</v>
      </c>
      <c r="C214" s="123"/>
      <c r="D214" s="124"/>
      <c r="E214" s="124"/>
      <c r="F214" s="124"/>
      <c r="H214" s="105"/>
      <c r="I214" s="105"/>
    </row>
    <row r="215" spans="1:9" ht="13.8" hidden="1" outlineLevel="2" thickBot="1">
      <c r="A215" s="122" t="s">
        <v>1202</v>
      </c>
      <c r="B215" s="89"/>
      <c r="C215" s="123"/>
      <c r="D215" s="124"/>
      <c r="E215" s="124"/>
      <c r="F215" s="124"/>
      <c r="H215" s="105"/>
      <c r="I215" s="105"/>
    </row>
    <row r="216" spans="1:9" ht="13.8" hidden="1" outlineLevel="2" thickBot="1">
      <c r="A216" s="122" t="s">
        <v>1183</v>
      </c>
      <c r="B216" s="221" t="s">
        <v>1236</v>
      </c>
      <c r="C216" s="123"/>
      <c r="D216" s="124"/>
      <c r="E216" s="124"/>
      <c r="F216" s="124"/>
      <c r="H216" s="105"/>
      <c r="I216" s="105"/>
    </row>
    <row r="217" spans="1:9" ht="13.8" hidden="1" outlineLevel="2" thickBot="1">
      <c r="A217" s="122" t="s">
        <v>1063</v>
      </c>
      <c r="B217" s="89"/>
      <c r="C217" s="123"/>
      <c r="D217" s="124"/>
      <c r="E217" s="124"/>
      <c r="F217" s="124"/>
      <c r="H217" s="105"/>
      <c r="I217" s="105"/>
    </row>
    <row r="218" spans="1:9" ht="13.8" hidden="1" outlineLevel="2" thickBot="1">
      <c r="A218" s="122" t="s">
        <v>1258</v>
      </c>
      <c r="B218" s="89"/>
      <c r="C218" s="123"/>
      <c r="D218" s="124"/>
      <c r="E218" s="124"/>
      <c r="F218" s="124"/>
      <c r="H218" s="105"/>
      <c r="I218" s="105"/>
    </row>
    <row r="219" spans="1:9" ht="13.8" hidden="1" outlineLevel="2" thickBot="1">
      <c r="A219" s="122"/>
      <c r="B219" s="89"/>
      <c r="C219" s="123"/>
      <c r="D219" s="124"/>
      <c r="E219" s="124"/>
      <c r="F219" s="124"/>
      <c r="H219" s="105"/>
      <c r="I219" s="105"/>
    </row>
    <row r="220" spans="1:9" s="114" customFormat="1" ht="13.8" hidden="1" outlineLevel="1" thickBot="1">
      <c r="A220" s="122"/>
      <c r="B220" s="89"/>
      <c r="C220" s="125" t="s">
        <v>941</v>
      </c>
      <c r="D220" s="113">
        <f>SUBTOTAL(9,D212:D219)</f>
        <v>0</v>
      </c>
      <c r="E220" s="113">
        <f>SUBTOTAL(9,E212:E217)</f>
        <v>0</v>
      </c>
      <c r="F220" s="113">
        <f>SUBTOTAL(9,F212:F217)</f>
        <v>0</v>
      </c>
    </row>
    <row r="221" spans="1:9" s="114" customFormat="1" ht="13.8" hidden="1" outlineLevel="1" thickBot="1">
      <c r="A221" s="166" t="s">
        <v>1237</v>
      </c>
      <c r="B221" s="126"/>
      <c r="C221" s="149"/>
      <c r="D221" s="121"/>
      <c r="E221" s="271">
        <v>0</v>
      </c>
      <c r="F221" s="271">
        <f>1-E221</f>
        <v>1</v>
      </c>
    </row>
    <row r="222" spans="1:9" ht="13.8" hidden="1" outlineLevel="2" thickBot="1">
      <c r="A222" s="122" t="s">
        <v>1186</v>
      </c>
      <c r="B222" s="89" t="s">
        <v>1238</v>
      </c>
      <c r="C222" s="123"/>
      <c r="D222" s="124">
        <v>0</v>
      </c>
      <c r="E222" s="124">
        <f>D222</f>
        <v>0</v>
      </c>
      <c r="F222" s="124">
        <f>D222-E222</f>
        <v>0</v>
      </c>
      <c r="H222" s="105"/>
      <c r="I222" s="105"/>
    </row>
    <row r="223" spans="1:9" ht="13.8" hidden="1" outlineLevel="2" thickBot="1">
      <c r="A223" s="122" t="s">
        <v>1187</v>
      </c>
      <c r="B223" s="89" t="s">
        <v>1239</v>
      </c>
      <c r="C223" s="123"/>
      <c r="D223" s="124">
        <v>0</v>
      </c>
      <c r="E223" s="124">
        <f>D223</f>
        <v>0</v>
      </c>
      <c r="F223" s="124">
        <f>D223-E223</f>
        <v>0</v>
      </c>
      <c r="H223" s="105"/>
      <c r="I223" s="105"/>
    </row>
    <row r="224" spans="1:9" ht="13.8" hidden="1" outlineLevel="2" thickBot="1">
      <c r="A224" s="122" t="s">
        <v>1145</v>
      </c>
      <c r="B224" s="89"/>
      <c r="C224" s="123"/>
      <c r="D224" s="124"/>
      <c r="E224" s="124">
        <f>D224</f>
        <v>0</v>
      </c>
      <c r="F224" s="124">
        <f>D224-E224</f>
        <v>0</v>
      </c>
      <c r="H224" s="105"/>
      <c r="I224" s="105"/>
    </row>
    <row r="225" spans="1:9" ht="13.8" hidden="1" outlineLevel="2" thickBot="1">
      <c r="A225" s="122" t="s">
        <v>1202</v>
      </c>
      <c r="B225" s="89"/>
      <c r="C225" s="123"/>
      <c r="D225" s="124"/>
      <c r="E225" s="124">
        <f>D225</f>
        <v>0</v>
      </c>
      <c r="F225" s="124">
        <f>D225-E225</f>
        <v>0</v>
      </c>
      <c r="H225" s="105"/>
      <c r="I225" s="105"/>
    </row>
    <row r="226" spans="1:9" ht="13.8" hidden="1" outlineLevel="2" thickBot="1">
      <c r="A226" s="122" t="s">
        <v>1183</v>
      </c>
      <c r="B226" s="89"/>
      <c r="C226" s="123"/>
      <c r="D226" s="124"/>
      <c r="E226" s="124">
        <f>D226</f>
        <v>0</v>
      </c>
      <c r="F226" s="124">
        <f>D226-E226</f>
        <v>0</v>
      </c>
      <c r="H226" s="105"/>
      <c r="I226" s="105"/>
    </row>
    <row r="227" spans="1:9" ht="13.8" hidden="1" outlineLevel="2" thickBot="1">
      <c r="A227" s="122" t="s">
        <v>1063</v>
      </c>
      <c r="B227" s="221" t="s">
        <v>1240</v>
      </c>
      <c r="C227" s="123"/>
      <c r="D227" s="124"/>
      <c r="E227" s="124"/>
      <c r="F227" s="124"/>
      <c r="H227" s="105"/>
      <c r="I227" s="105"/>
    </row>
    <row r="228" spans="1:9" ht="13.8" hidden="1" outlineLevel="2" thickBot="1">
      <c r="A228" s="122" t="s">
        <v>1258</v>
      </c>
      <c r="B228" s="89"/>
      <c r="C228" s="123"/>
      <c r="D228" s="124"/>
      <c r="E228" s="124"/>
      <c r="F228" s="124"/>
      <c r="H228" s="105"/>
      <c r="I228" s="105"/>
    </row>
    <row r="229" spans="1:9" ht="13.8" hidden="1" outlineLevel="2" thickBot="1">
      <c r="A229" s="122"/>
      <c r="B229" s="89"/>
      <c r="C229" s="123"/>
      <c r="D229" s="124"/>
      <c r="E229" s="124"/>
      <c r="F229" s="124"/>
      <c r="H229" s="105"/>
      <c r="I229" s="105"/>
    </row>
    <row r="230" spans="1:9" s="114" customFormat="1" ht="13.8" hidden="1" outlineLevel="1" thickBot="1">
      <c r="A230" s="122"/>
      <c r="B230" s="89"/>
      <c r="C230" s="125" t="s">
        <v>941</v>
      </c>
      <c r="D230" s="113">
        <f>SUBTOTAL(9,D222:D229)</f>
        <v>0</v>
      </c>
      <c r="E230" s="113">
        <f>SUBTOTAL(9,E222:E229)</f>
        <v>0</v>
      </c>
      <c r="F230" s="113">
        <f>SUBTOTAL(9,F222:F229)</f>
        <v>0</v>
      </c>
    </row>
    <row r="231" spans="1:9" s="114" customFormat="1" ht="13.8" outlineLevel="1" thickBot="1">
      <c r="A231" s="166" t="s">
        <v>1241</v>
      </c>
      <c r="B231" s="126"/>
      <c r="C231" s="149"/>
      <c r="D231" s="121"/>
      <c r="E231" s="271">
        <f>E249/D249</f>
        <v>0.69505494505494503</v>
      </c>
      <c r="F231" s="271">
        <f>1-E231</f>
        <v>0.30494505494505497</v>
      </c>
    </row>
    <row r="232" spans="1:9" ht="13.8" outlineLevel="2" thickBot="1">
      <c r="A232" s="500" t="s">
        <v>860</v>
      </c>
      <c r="B232" s="584" t="s">
        <v>861</v>
      </c>
      <c r="C232" s="123"/>
      <c r="D232" s="255">
        <v>7000</v>
      </c>
      <c r="E232" s="124">
        <f>D232*0.5</f>
        <v>3500</v>
      </c>
      <c r="F232" s="124">
        <f>D232-E232</f>
        <v>3500</v>
      </c>
      <c r="H232" s="105"/>
      <c r="I232" s="105"/>
    </row>
    <row r="233" spans="1:9" ht="13.8" outlineLevel="2" thickBot="1">
      <c r="A233" s="500" t="s">
        <v>862</v>
      </c>
      <c r="B233" s="584"/>
      <c r="C233" s="123"/>
      <c r="D233" s="255"/>
      <c r="E233" s="124">
        <f t="shared" ref="E233:E247" si="25">D233*0.75</f>
        <v>0</v>
      </c>
      <c r="F233" s="124">
        <f t="shared" ref="F233:F247" si="26">D233-E233</f>
        <v>0</v>
      </c>
      <c r="H233" s="105"/>
      <c r="I233" s="105"/>
    </row>
    <row r="234" spans="1:9" ht="13.8" outlineLevel="2" thickBot="1">
      <c r="A234" s="500" t="s">
        <v>863</v>
      </c>
      <c r="B234" s="501"/>
      <c r="C234" s="123"/>
      <c r="D234" s="255">
        <f>600*12</f>
        <v>7200</v>
      </c>
      <c r="E234" s="124">
        <f t="shared" si="25"/>
        <v>5400</v>
      </c>
      <c r="F234" s="124">
        <f t="shared" si="26"/>
        <v>1800</v>
      </c>
      <c r="H234" s="105"/>
      <c r="I234" s="105"/>
    </row>
    <row r="235" spans="1:9" ht="13.8" outlineLevel="2" thickBot="1">
      <c r="A235" s="500" t="s">
        <v>864</v>
      </c>
      <c r="B235" s="501" t="s">
        <v>865</v>
      </c>
      <c r="C235" s="123"/>
      <c r="D235" s="255">
        <f>450*12</f>
        <v>5400</v>
      </c>
      <c r="E235" s="124">
        <f t="shared" si="25"/>
        <v>4050</v>
      </c>
      <c r="F235" s="124">
        <f t="shared" si="26"/>
        <v>1350</v>
      </c>
      <c r="H235" s="105"/>
      <c r="I235" s="105"/>
    </row>
    <row r="236" spans="1:9" ht="13.8" outlineLevel="2" thickBot="1">
      <c r="A236" s="500" t="s">
        <v>866</v>
      </c>
      <c r="B236" s="501"/>
      <c r="C236" s="123"/>
      <c r="D236" s="255">
        <v>2000</v>
      </c>
      <c r="E236" s="124">
        <f t="shared" si="25"/>
        <v>1500</v>
      </c>
      <c r="F236" s="124">
        <f t="shared" si="26"/>
        <v>500</v>
      </c>
      <c r="H236" s="105"/>
      <c r="I236" s="105"/>
    </row>
    <row r="237" spans="1:9" ht="13.8" outlineLevel="2" thickBot="1">
      <c r="A237" s="500" t="s">
        <v>867</v>
      </c>
      <c r="B237" s="501" t="s">
        <v>606</v>
      </c>
      <c r="C237" s="123"/>
      <c r="D237" s="255"/>
      <c r="E237" s="124">
        <f t="shared" si="25"/>
        <v>0</v>
      </c>
      <c r="F237" s="124">
        <f t="shared" si="26"/>
        <v>0</v>
      </c>
      <c r="H237" s="105"/>
      <c r="I237" s="105"/>
    </row>
    <row r="238" spans="1:9" ht="13.8" outlineLevel="2" thickBot="1">
      <c r="A238" s="500" t="s">
        <v>868</v>
      </c>
      <c r="B238" s="501" t="s">
        <v>869</v>
      </c>
      <c r="C238" s="123"/>
      <c r="D238" s="255">
        <v>500</v>
      </c>
      <c r="E238" s="124">
        <f t="shared" si="25"/>
        <v>375</v>
      </c>
      <c r="F238" s="124">
        <f t="shared" si="26"/>
        <v>125</v>
      </c>
      <c r="H238" s="105"/>
      <c r="I238" s="105"/>
    </row>
    <row r="239" spans="1:9" ht="13.8" outlineLevel="2" thickBot="1">
      <c r="A239" s="500" t="s">
        <v>870</v>
      </c>
      <c r="B239" s="501" t="s">
        <v>871</v>
      </c>
      <c r="C239" s="123"/>
      <c r="D239" s="255">
        <v>250</v>
      </c>
      <c r="E239" s="124">
        <f t="shared" si="25"/>
        <v>187.5</v>
      </c>
      <c r="F239" s="124">
        <f t="shared" si="26"/>
        <v>62.5</v>
      </c>
      <c r="H239" s="105"/>
      <c r="I239" s="105"/>
    </row>
    <row r="240" spans="1:9" ht="13.8" outlineLevel="2" thickBot="1">
      <c r="A240" s="500" t="s">
        <v>565</v>
      </c>
      <c r="B240" s="501" t="s">
        <v>869</v>
      </c>
      <c r="C240" s="123"/>
      <c r="D240" s="255">
        <v>500</v>
      </c>
      <c r="E240" s="124">
        <f t="shared" si="25"/>
        <v>375</v>
      </c>
      <c r="F240" s="124">
        <f t="shared" si="26"/>
        <v>125</v>
      </c>
      <c r="H240" s="105"/>
      <c r="I240" s="105"/>
    </row>
    <row r="241" spans="1:9" ht="13.8" outlineLevel="2" thickBot="1">
      <c r="A241" s="500" t="s">
        <v>872</v>
      </c>
      <c r="B241" s="501"/>
      <c r="C241" s="123"/>
      <c r="D241" s="255"/>
      <c r="E241" s="124">
        <f t="shared" si="25"/>
        <v>0</v>
      </c>
      <c r="F241" s="124">
        <f t="shared" si="26"/>
        <v>0</v>
      </c>
      <c r="H241" s="105"/>
      <c r="I241" s="105"/>
    </row>
    <row r="242" spans="1:9" ht="13.8" outlineLevel="2" thickBot="1">
      <c r="A242" s="500" t="s">
        <v>873</v>
      </c>
      <c r="B242" s="501" t="s">
        <v>809</v>
      </c>
      <c r="C242" s="123"/>
      <c r="D242" s="255">
        <v>4000</v>
      </c>
      <c r="E242" s="124">
        <f t="shared" si="25"/>
        <v>3000</v>
      </c>
      <c r="F242" s="124">
        <f t="shared" si="26"/>
        <v>1000</v>
      </c>
      <c r="H242" s="105"/>
      <c r="I242" s="105"/>
    </row>
    <row r="243" spans="1:9" ht="13.8" outlineLevel="2" thickBot="1">
      <c r="A243" s="500" t="s">
        <v>874</v>
      </c>
      <c r="B243" s="583" t="s">
        <v>875</v>
      </c>
      <c r="C243" s="123"/>
      <c r="D243" s="255">
        <v>5000</v>
      </c>
      <c r="E243" s="124">
        <f t="shared" si="25"/>
        <v>3750</v>
      </c>
      <c r="F243" s="124">
        <f t="shared" si="26"/>
        <v>1250</v>
      </c>
      <c r="H243" s="105"/>
      <c r="I243" s="105"/>
    </row>
    <row r="244" spans="1:9" ht="13.8" hidden="1" outlineLevel="2" thickBot="1">
      <c r="A244" s="122"/>
      <c r="B244" s="89"/>
      <c r="C244" s="123"/>
      <c r="D244" s="124"/>
      <c r="E244" s="124">
        <f t="shared" si="25"/>
        <v>0</v>
      </c>
      <c r="F244" s="124">
        <f t="shared" si="26"/>
        <v>0</v>
      </c>
      <c r="H244" s="105"/>
      <c r="I244" s="105"/>
    </row>
    <row r="245" spans="1:9" ht="13.8" hidden="1" outlineLevel="2" thickBot="1">
      <c r="A245" s="122"/>
      <c r="B245" s="89"/>
      <c r="C245" s="123"/>
      <c r="D245" s="124"/>
      <c r="E245" s="124">
        <f t="shared" si="25"/>
        <v>0</v>
      </c>
      <c r="F245" s="124">
        <f t="shared" si="26"/>
        <v>0</v>
      </c>
      <c r="H245" s="105"/>
      <c r="I245" s="105"/>
    </row>
    <row r="246" spans="1:9" ht="13.8" hidden="1" outlineLevel="2" thickBot="1">
      <c r="A246" s="122"/>
      <c r="B246" s="89"/>
      <c r="C246" s="123"/>
      <c r="D246" s="124"/>
      <c r="E246" s="124">
        <f t="shared" si="25"/>
        <v>0</v>
      </c>
      <c r="F246" s="124">
        <f t="shared" si="26"/>
        <v>0</v>
      </c>
      <c r="H246" s="105"/>
      <c r="I246" s="105"/>
    </row>
    <row r="247" spans="1:9" ht="13.8" hidden="1" outlineLevel="2" thickBot="1">
      <c r="A247" s="122"/>
      <c r="B247" s="89"/>
      <c r="C247" s="123"/>
      <c r="D247" s="124"/>
      <c r="E247" s="124">
        <f t="shared" si="25"/>
        <v>0</v>
      </c>
      <c r="F247" s="124">
        <f t="shared" si="26"/>
        <v>0</v>
      </c>
      <c r="H247" s="105"/>
      <c r="I247" s="105"/>
    </row>
    <row r="248" spans="1:9" ht="13.8" outlineLevel="2" thickBot="1">
      <c r="A248" s="122"/>
      <c r="B248" s="89"/>
      <c r="C248" s="123"/>
      <c r="D248" s="124"/>
      <c r="E248" s="124"/>
      <c r="F248" s="124"/>
      <c r="H248" s="105"/>
      <c r="I248" s="105"/>
    </row>
    <row r="249" spans="1:9" s="114" customFormat="1" ht="13.8" outlineLevel="1" thickBot="1">
      <c r="A249" s="122" t="s">
        <v>806</v>
      </c>
      <c r="B249" s="89"/>
      <c r="C249" s="125" t="s">
        <v>941</v>
      </c>
      <c r="D249" s="113">
        <f>SUBTOTAL(9,D232:D248)</f>
        <v>31850</v>
      </c>
      <c r="E249" s="113">
        <f>SUBTOTAL(9,E232:E248)</f>
        <v>22137.5</v>
      </c>
      <c r="F249" s="113">
        <f>SUBTOTAL(9,F232:F248)</f>
        <v>9712.5</v>
      </c>
    </row>
    <row r="250" spans="1:9" s="114" customFormat="1" ht="13.8" outlineLevel="1" thickBot="1">
      <c r="A250" s="166" t="s">
        <v>566</v>
      </c>
      <c r="B250" s="126"/>
      <c r="C250" s="149"/>
      <c r="D250" s="121"/>
      <c r="E250" s="271">
        <f>E258/D258</f>
        <v>0</v>
      </c>
      <c r="F250" s="271">
        <f>1-E250</f>
        <v>1</v>
      </c>
    </row>
    <row r="251" spans="1:9" ht="13.8" outlineLevel="2" thickBot="1">
      <c r="A251" s="122" t="s">
        <v>166</v>
      </c>
      <c r="B251" s="89" t="s">
        <v>567</v>
      </c>
      <c r="C251" s="123" t="s">
        <v>568</v>
      </c>
      <c r="D251" s="124">
        <f>'O&amp;M_Estimate'!D63</f>
        <v>160000</v>
      </c>
      <c r="E251" s="124">
        <v>0</v>
      </c>
      <c r="F251" s="124">
        <f>D251-E251</f>
        <v>160000</v>
      </c>
      <c r="H251" s="105"/>
      <c r="I251" s="105"/>
    </row>
    <row r="252" spans="1:9" ht="13.8" outlineLevel="2" thickBot="1">
      <c r="A252" s="122"/>
      <c r="B252" s="89" t="s">
        <v>569</v>
      </c>
      <c r="C252" s="123" t="s">
        <v>570</v>
      </c>
      <c r="D252" s="124"/>
      <c r="E252" s="124"/>
      <c r="F252" s="124"/>
      <c r="H252" s="105"/>
      <c r="I252" s="105"/>
    </row>
    <row r="253" spans="1:9" ht="13.8" outlineLevel="2" thickBot="1">
      <c r="A253" s="122" t="s">
        <v>571</v>
      </c>
      <c r="B253" s="89" t="s">
        <v>572</v>
      </c>
      <c r="C253" s="123" t="s">
        <v>573</v>
      </c>
      <c r="D253" s="124"/>
      <c r="E253" s="124"/>
      <c r="F253" s="124"/>
      <c r="H253" s="105"/>
      <c r="I253" s="105"/>
    </row>
    <row r="254" spans="1:9" ht="13.8" outlineLevel="2" thickBot="1">
      <c r="A254" s="122" t="s">
        <v>574</v>
      </c>
      <c r="B254" s="89" t="s">
        <v>575</v>
      </c>
      <c r="C254" s="123" t="s">
        <v>576</v>
      </c>
      <c r="D254" s="124"/>
      <c r="E254" s="124"/>
      <c r="F254" s="124"/>
      <c r="H254" s="105"/>
      <c r="I254" s="105"/>
    </row>
    <row r="255" spans="1:9" ht="13.8" outlineLevel="2" thickBot="1">
      <c r="A255" s="122" t="s">
        <v>1226</v>
      </c>
      <c r="B255" s="89" t="s">
        <v>577</v>
      </c>
      <c r="C255" s="123" t="s">
        <v>578</v>
      </c>
      <c r="D255" s="124"/>
      <c r="E255" s="124"/>
      <c r="F255" s="124"/>
      <c r="H255" s="105"/>
      <c r="I255" s="105"/>
    </row>
    <row r="256" spans="1:9" ht="13.8" outlineLevel="2" thickBot="1">
      <c r="A256" s="122"/>
      <c r="B256" s="89" t="s">
        <v>579</v>
      </c>
      <c r="C256" s="123" t="s">
        <v>580</v>
      </c>
      <c r="D256" s="124"/>
      <c r="E256" s="124"/>
      <c r="F256" s="124"/>
      <c r="H256" s="105"/>
      <c r="I256" s="105"/>
    </row>
    <row r="257" spans="1:9" ht="13.8" outlineLevel="2" thickBot="1">
      <c r="A257" s="122"/>
      <c r="B257" s="89" t="s">
        <v>581</v>
      </c>
      <c r="C257" s="123" t="s">
        <v>582</v>
      </c>
      <c r="D257" s="124"/>
      <c r="E257" s="124"/>
      <c r="F257" s="124"/>
      <c r="H257" s="105"/>
      <c r="I257" s="105"/>
    </row>
    <row r="258" spans="1:9" s="114" customFormat="1" ht="13.8" outlineLevel="1" thickBot="1">
      <c r="A258" s="122"/>
      <c r="B258" s="89"/>
      <c r="C258" s="125" t="s">
        <v>941</v>
      </c>
      <c r="D258" s="113">
        <f>SUBTOTAL(9,D251:D253)</f>
        <v>160000</v>
      </c>
      <c r="E258" s="113">
        <f>SUBTOTAL(9,E251:E251)</f>
        <v>0</v>
      </c>
      <c r="F258" s="113">
        <f>SUBTOTAL(9,F251:F251)</f>
        <v>160000</v>
      </c>
    </row>
    <row r="259" spans="1:9" s="114" customFormat="1" ht="13.8" outlineLevel="1" thickBot="1">
      <c r="A259" s="118" t="s">
        <v>250</v>
      </c>
      <c r="B259" s="119"/>
      <c r="C259" s="120"/>
      <c r="D259" s="121"/>
      <c r="E259" s="271">
        <f>E264/D264</f>
        <v>0</v>
      </c>
      <c r="F259" s="271">
        <f>1-E259</f>
        <v>1</v>
      </c>
    </row>
    <row r="260" spans="1:9" ht="13.8" outlineLevel="2" thickBot="1">
      <c r="A260" s="84" t="s">
        <v>166</v>
      </c>
      <c r="B260" s="23" t="s">
        <v>169</v>
      </c>
      <c r="C260" s="297">
        <v>0.1</v>
      </c>
      <c r="D260" s="298"/>
      <c r="E260" s="124">
        <v>0</v>
      </c>
      <c r="F260" s="124">
        <f>D260-E260</f>
        <v>0</v>
      </c>
      <c r="H260" s="105"/>
      <c r="I260" s="105"/>
    </row>
    <row r="261" spans="1:9" ht="13.8" outlineLevel="2" thickBot="1">
      <c r="A261" s="84" t="s">
        <v>170</v>
      </c>
      <c r="B261" s="23" t="s">
        <v>171</v>
      </c>
      <c r="C261" s="297">
        <v>0.15</v>
      </c>
      <c r="D261" s="298">
        <f>C261</f>
        <v>0.15</v>
      </c>
      <c r="E261" s="124"/>
      <c r="F261" s="124"/>
      <c r="H261" s="105"/>
      <c r="I261" s="105"/>
    </row>
    <row r="262" spans="1:9" ht="13.8" outlineLevel="2" thickBot="1">
      <c r="A262" s="84" t="s">
        <v>172</v>
      </c>
      <c r="B262" s="23" t="s">
        <v>173</v>
      </c>
      <c r="C262" s="297">
        <v>0.2</v>
      </c>
      <c r="D262" s="298"/>
      <c r="E262" s="124"/>
      <c r="F262" s="124"/>
      <c r="H262" s="105"/>
      <c r="I262" s="105"/>
    </row>
    <row r="263" spans="1:9" ht="13.8" outlineLevel="2" thickBot="1">
      <c r="A263" s="84"/>
      <c r="B263" s="23"/>
      <c r="C263" s="66"/>
      <c r="D263" s="19"/>
      <c r="E263" s="124"/>
      <c r="F263" s="124"/>
      <c r="H263" s="105"/>
      <c r="I263" s="105"/>
    </row>
    <row r="264" spans="1:9" s="114" customFormat="1" ht="13.8" outlineLevel="1" thickBot="1">
      <c r="A264" s="84" t="s">
        <v>174</v>
      </c>
      <c r="B264" s="23"/>
      <c r="C264" s="86" t="s">
        <v>941</v>
      </c>
      <c r="D264" s="299">
        <f>SUBTOTAL(9,D260:D263)</f>
        <v>0.15</v>
      </c>
      <c r="E264" s="113">
        <f>SUBTOTAL(9,E260:E263)</f>
        <v>0</v>
      </c>
      <c r="F264" s="113">
        <f>SUBTOTAL(9,F260:F263)</f>
        <v>0</v>
      </c>
    </row>
    <row r="265" spans="1:9" s="114" customFormat="1" ht="13.8" outlineLevel="1" thickBot="1">
      <c r="A265" s="166" t="s">
        <v>583</v>
      </c>
      <c r="B265" s="126"/>
      <c r="C265" s="149"/>
      <c r="D265" s="121"/>
      <c r="E265" s="271">
        <f>E272/D272</f>
        <v>0.20000000000000004</v>
      </c>
      <c r="F265" s="271">
        <f>1-E265</f>
        <v>0.79999999999999993</v>
      </c>
    </row>
    <row r="266" spans="1:9" ht="13.8" outlineLevel="2" thickBot="1">
      <c r="A266" s="122" t="s">
        <v>584</v>
      </c>
      <c r="B266" s="89"/>
      <c r="C266" s="123"/>
      <c r="D266" s="124">
        <f>GE7EA!$W$36*1000*6</f>
        <v>11090544</v>
      </c>
      <c r="E266" s="124">
        <f>0.2*D266</f>
        <v>2218108.8000000003</v>
      </c>
      <c r="F266" s="124">
        <f>D266-E266</f>
        <v>8872435.1999999993</v>
      </c>
      <c r="H266" s="105"/>
      <c r="I266" s="105"/>
    </row>
    <row r="267" spans="1:9" ht="13.8" hidden="1" outlineLevel="2" thickBot="1">
      <c r="A267" s="122"/>
      <c r="B267" s="89"/>
      <c r="C267" s="123"/>
      <c r="D267" s="124"/>
      <c r="E267" s="124">
        <f>0.05*D267</f>
        <v>0</v>
      </c>
      <c r="F267" s="124">
        <f>D267-E267</f>
        <v>0</v>
      </c>
      <c r="H267" s="105"/>
      <c r="I267" s="105"/>
    </row>
    <row r="268" spans="1:9" ht="13.8" hidden="1" outlineLevel="2" thickBot="1">
      <c r="A268" s="122"/>
      <c r="B268" s="89"/>
      <c r="C268" s="123"/>
      <c r="D268" s="124"/>
      <c r="E268" s="124">
        <f>0.05*D268</f>
        <v>0</v>
      </c>
      <c r="F268" s="124">
        <f>D268-E268</f>
        <v>0</v>
      </c>
      <c r="H268" s="105"/>
      <c r="I268" s="105"/>
    </row>
    <row r="269" spans="1:9" ht="13.8" hidden="1" outlineLevel="2" thickBot="1">
      <c r="A269" s="122"/>
      <c r="B269" s="89"/>
      <c r="C269" s="123"/>
      <c r="D269" s="124"/>
      <c r="E269" s="124"/>
      <c r="F269" s="124"/>
      <c r="H269" s="105"/>
      <c r="I269" s="105"/>
    </row>
    <row r="270" spans="1:9" ht="13.8" hidden="1" outlineLevel="2" thickBot="1">
      <c r="A270" s="122"/>
      <c r="B270" s="89"/>
      <c r="C270" s="123"/>
      <c r="D270" s="124"/>
      <c r="E270" s="124"/>
      <c r="F270" s="124"/>
      <c r="H270" s="105"/>
      <c r="I270" s="105"/>
    </row>
    <row r="271" spans="1:9" ht="13.8" outlineLevel="2" thickBot="1">
      <c r="A271" s="122"/>
      <c r="B271" s="89"/>
      <c r="C271" s="123"/>
      <c r="D271" s="124"/>
      <c r="E271" s="124"/>
      <c r="F271" s="124"/>
      <c r="H271" s="105"/>
      <c r="I271" s="105"/>
    </row>
    <row r="272" spans="1:9" s="114" customFormat="1" ht="13.8" outlineLevel="1" thickBot="1">
      <c r="A272" s="122"/>
      <c r="B272" s="89"/>
      <c r="C272" s="125" t="s">
        <v>941</v>
      </c>
      <c r="D272" s="113">
        <f>SUBTOTAL(9,D266:D271)</f>
        <v>11090544</v>
      </c>
      <c r="E272" s="113">
        <f>SUBTOTAL(9,E266:E271)</f>
        <v>2218108.8000000003</v>
      </c>
      <c r="F272" s="113">
        <f>SUBTOTAL(9,F266:F271)</f>
        <v>8872435.1999999993</v>
      </c>
    </row>
    <row r="273" spans="1:9" s="114" customFormat="1" ht="13.8" hidden="1" outlineLevel="1" thickBot="1">
      <c r="A273" s="166" t="s">
        <v>261</v>
      </c>
      <c r="B273" s="126"/>
      <c r="C273" s="149"/>
      <c r="D273" s="121"/>
      <c r="E273" s="271" t="e">
        <f>E276/D276</f>
        <v>#DIV/0!</v>
      </c>
      <c r="F273" s="271" t="e">
        <f>1-E273</f>
        <v>#DIV/0!</v>
      </c>
    </row>
    <row r="274" spans="1:9" ht="13.8" hidden="1" outlineLevel="2" thickBot="1">
      <c r="A274" s="122" t="s">
        <v>585</v>
      </c>
      <c r="B274" s="89"/>
      <c r="C274" s="123"/>
      <c r="D274" s="124"/>
      <c r="E274" s="124">
        <f>D274</f>
        <v>0</v>
      </c>
      <c r="F274" s="124">
        <f>D274-E274</f>
        <v>0</v>
      </c>
      <c r="H274" s="105"/>
      <c r="I274" s="105"/>
    </row>
    <row r="275" spans="1:9" ht="13.8" hidden="1" outlineLevel="2" thickBot="1">
      <c r="A275" s="122"/>
      <c r="B275" s="89"/>
      <c r="C275" s="123"/>
      <c r="D275" s="124"/>
      <c r="E275" s="124"/>
      <c r="F275" s="124"/>
      <c r="H275" s="105"/>
      <c r="I275" s="105"/>
    </row>
    <row r="276" spans="1:9" s="114" customFormat="1" ht="13.8" hidden="1" outlineLevel="1" thickBot="1">
      <c r="A276" s="122" t="s">
        <v>1143</v>
      </c>
      <c r="B276" s="89"/>
      <c r="C276" s="125" t="s">
        <v>941</v>
      </c>
      <c r="D276" s="113">
        <f>SUBTOTAL(9,D274:D274)</f>
        <v>0</v>
      </c>
      <c r="E276" s="113">
        <f>SUBTOTAL(9,E274:E274)</f>
        <v>0</v>
      </c>
      <c r="F276" s="113">
        <f>SUBTOTAL(9,F274:F274)</f>
        <v>0</v>
      </c>
    </row>
    <row r="277" spans="1:9" s="114" customFormat="1" ht="13.8" outlineLevel="1" thickBot="1">
      <c r="A277" s="166" t="s">
        <v>1115</v>
      </c>
      <c r="B277" s="126"/>
      <c r="C277" s="149"/>
      <c r="D277" s="121"/>
      <c r="E277" s="271">
        <f>E281/D281</f>
        <v>0.75</v>
      </c>
      <c r="F277" s="271">
        <f>1-E277</f>
        <v>0.25</v>
      </c>
    </row>
    <row r="278" spans="1:9" ht="13.8" outlineLevel="2" thickBot="1">
      <c r="A278" s="122"/>
      <c r="B278" s="89" t="s">
        <v>586</v>
      </c>
      <c r="C278" s="172"/>
      <c r="D278" s="124">
        <f>0.1*Mob_Estimate!D36</f>
        <v>25552.080000000002</v>
      </c>
      <c r="E278" s="124">
        <f>0.75*D278</f>
        <v>19164.060000000001</v>
      </c>
      <c r="F278" s="124">
        <f>D278-E278</f>
        <v>6388.02</v>
      </c>
      <c r="H278" s="105"/>
      <c r="I278" s="105"/>
    </row>
    <row r="279" spans="1:9" ht="13.8" outlineLevel="2" thickBot="1">
      <c r="A279" s="89"/>
      <c r="B279" s="89"/>
      <c r="C279" s="123"/>
      <c r="D279" s="124"/>
      <c r="E279" s="124">
        <f>D279</f>
        <v>0</v>
      </c>
      <c r="F279" s="124">
        <f>D279-E279</f>
        <v>0</v>
      </c>
      <c r="H279" s="105"/>
      <c r="I279" s="105"/>
    </row>
    <row r="280" spans="1:9" ht="13.8" outlineLevel="2" thickBot="1">
      <c r="A280" s="122"/>
      <c r="B280" s="89"/>
      <c r="C280" s="123"/>
      <c r="D280" s="124"/>
      <c r="E280" s="124"/>
      <c r="F280" s="124"/>
      <c r="H280" s="105"/>
      <c r="I280" s="105"/>
    </row>
    <row r="281" spans="1:9" s="114" customFormat="1" ht="13.8" outlineLevel="1" thickBot="1">
      <c r="A281" s="89" t="s">
        <v>174</v>
      </c>
      <c r="C281" s="175" t="s">
        <v>941</v>
      </c>
      <c r="D281" s="113">
        <f>SUBTOTAL(9,D278:D280)</f>
        <v>25552.080000000002</v>
      </c>
      <c r="E281" s="113">
        <f>SUBTOTAL(9,E278:E280)</f>
        <v>19164.060000000001</v>
      </c>
      <c r="F281" s="113">
        <f>SUBTOTAL(9,F278:F280)</f>
        <v>6388.02</v>
      </c>
    </row>
    <row r="282" spans="1:9" ht="13.8" hidden="1" thickBot="1">
      <c r="A282" s="166" t="s">
        <v>587</v>
      </c>
      <c r="B282" s="126"/>
      <c r="C282" s="149"/>
      <c r="D282" s="121"/>
      <c r="E282" s="271" t="e">
        <f>E295/D295</f>
        <v>#DIV/0!</v>
      </c>
      <c r="F282" s="271" t="e">
        <f>1-E282</f>
        <v>#DIV/0!</v>
      </c>
      <c r="H282" s="105"/>
      <c r="I282" s="105"/>
    </row>
    <row r="283" spans="1:9" ht="13.8" hidden="1" thickBot="1">
      <c r="A283" s="122" t="s">
        <v>588</v>
      </c>
      <c r="B283" s="89"/>
      <c r="C283" s="123"/>
      <c r="D283" s="124"/>
      <c r="E283" s="124"/>
      <c r="F283" s="124"/>
      <c r="H283" s="105"/>
      <c r="I283" s="105"/>
    </row>
    <row r="284" spans="1:9" ht="13.8" hidden="1" thickBot="1">
      <c r="A284" s="122" t="s">
        <v>589</v>
      </c>
      <c r="B284" s="89"/>
      <c r="C284" s="123"/>
      <c r="D284" s="124"/>
      <c r="E284" s="124">
        <f>D284</f>
        <v>0</v>
      </c>
      <c r="F284" s="124">
        <f t="shared" ref="F284:F292" si="27">D284-E284</f>
        <v>0</v>
      </c>
      <c r="H284" s="105"/>
      <c r="I284" s="105"/>
    </row>
    <row r="285" spans="1:9" ht="13.8" hidden="1" thickBot="1">
      <c r="A285" s="122" t="s">
        <v>590</v>
      </c>
      <c r="B285" s="89"/>
      <c r="C285" s="123"/>
      <c r="D285" s="124"/>
      <c r="E285" s="124"/>
      <c r="F285" s="124">
        <f t="shared" si="27"/>
        <v>0</v>
      </c>
    </row>
    <row r="286" spans="1:9" ht="13.8" hidden="1" thickBot="1">
      <c r="A286" s="122" t="s">
        <v>591</v>
      </c>
      <c r="B286" s="89"/>
      <c r="C286" s="123"/>
      <c r="D286" s="124"/>
      <c r="E286" s="124">
        <f>D286</f>
        <v>0</v>
      </c>
      <c r="F286" s="124">
        <f t="shared" si="27"/>
        <v>0</v>
      </c>
    </row>
    <row r="287" spans="1:9" ht="13.8" hidden="1" thickBot="1">
      <c r="A287" s="122" t="s">
        <v>592</v>
      </c>
      <c r="B287" s="89"/>
      <c r="C287" s="123"/>
      <c r="D287" s="124"/>
      <c r="E287" s="124"/>
      <c r="F287" s="124">
        <f t="shared" si="27"/>
        <v>0</v>
      </c>
    </row>
    <row r="288" spans="1:9" ht="13.8" hidden="1" thickBot="1">
      <c r="A288" s="122" t="s">
        <v>593</v>
      </c>
      <c r="B288" s="89"/>
      <c r="C288" s="123"/>
      <c r="D288" s="124"/>
      <c r="E288" s="124">
        <f>D288</f>
        <v>0</v>
      </c>
      <c r="F288" s="124">
        <f t="shared" si="27"/>
        <v>0</v>
      </c>
    </row>
    <row r="289" spans="1:6" ht="13.8" hidden="1" thickBot="1">
      <c r="A289" s="122" t="s">
        <v>594</v>
      </c>
      <c r="B289" s="89"/>
      <c r="C289" s="123"/>
      <c r="D289" s="124"/>
      <c r="E289" s="124"/>
      <c r="F289" s="124">
        <f t="shared" si="27"/>
        <v>0</v>
      </c>
    </row>
    <row r="290" spans="1:6" ht="13.8" hidden="1" thickBot="1">
      <c r="A290" s="122" t="s">
        <v>595</v>
      </c>
      <c r="B290" s="89"/>
      <c r="C290" s="123"/>
      <c r="D290" s="124"/>
      <c r="E290" s="124">
        <f>D290</f>
        <v>0</v>
      </c>
      <c r="F290" s="124">
        <f t="shared" si="27"/>
        <v>0</v>
      </c>
    </row>
    <row r="291" spans="1:6" ht="13.8" hidden="1" thickBot="1">
      <c r="A291" s="122" t="s">
        <v>596</v>
      </c>
      <c r="B291" s="89"/>
      <c r="C291" s="123"/>
      <c r="D291" s="124"/>
      <c r="E291" s="124"/>
      <c r="F291" s="124">
        <f t="shared" si="27"/>
        <v>0</v>
      </c>
    </row>
    <row r="292" spans="1:6" ht="13.8" hidden="1" thickBot="1">
      <c r="A292" s="122" t="s">
        <v>597</v>
      </c>
      <c r="B292" s="89"/>
      <c r="C292" s="123"/>
      <c r="D292" s="124"/>
      <c r="E292" s="124">
        <f>D292</f>
        <v>0</v>
      </c>
      <c r="F292" s="124">
        <f t="shared" si="27"/>
        <v>0</v>
      </c>
    </row>
    <row r="293" spans="1:6" ht="13.8" hidden="1" thickBot="1">
      <c r="A293" s="122"/>
      <c r="B293" s="89"/>
      <c r="C293" s="172"/>
      <c r="D293" s="124"/>
      <c r="E293" s="124"/>
      <c r="F293" s="124"/>
    </row>
    <row r="294" spans="1:6" ht="13.8" hidden="1" thickBot="1">
      <c r="A294" s="253" t="s">
        <v>598</v>
      </c>
      <c r="B294" s="89"/>
      <c r="C294" s="123"/>
      <c r="D294" s="124"/>
      <c r="E294" s="124"/>
      <c r="F294" s="124"/>
    </row>
    <row r="295" spans="1:6" ht="13.8" hidden="1" thickBot="1">
      <c r="A295" s="173" t="s">
        <v>599</v>
      </c>
      <c r="B295" s="174"/>
      <c r="C295" s="175" t="s">
        <v>941</v>
      </c>
      <c r="D295" s="113">
        <f>SUM(D284:D293)</f>
        <v>0</v>
      </c>
      <c r="E295" s="113">
        <f>SUM(E284:E293)</f>
        <v>0</v>
      </c>
      <c r="F295" s="113">
        <f>SUM(F284:F293)</f>
        <v>0</v>
      </c>
    </row>
    <row r="296" spans="1:6" ht="13.8" thickBot="1">
      <c r="A296" s="166"/>
      <c r="B296" s="126"/>
      <c r="C296" s="149"/>
      <c r="D296" s="121"/>
      <c r="E296" s="121"/>
      <c r="F296" s="121"/>
    </row>
    <row r="297" spans="1:6">
      <c r="D297" s="130"/>
    </row>
    <row r="298" spans="1:6">
      <c r="D298" s="129"/>
    </row>
    <row r="871" spans="1:6">
      <c r="A871" s="127"/>
    </row>
    <row r="872" spans="1:6">
      <c r="B872" s="127"/>
      <c r="C872" s="127"/>
      <c r="D872" s="127"/>
      <c r="E872" s="127"/>
      <c r="F872" s="127"/>
    </row>
  </sheetData>
  <dataConsolidate/>
  <printOptions horizontalCentered="1"/>
  <pageMargins left="0.75" right="0.75" top="1" bottom="1" header="0.5" footer="0.5"/>
  <pageSetup scale="70" firstPageNumber="26" fitToHeight="5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52"/>
  <sheetViews>
    <sheetView showGridLines="0" tabSelected="1" zoomScale="75" zoomScaleNormal="25" zoomScaleSheetLayoutView="75" workbookViewId="0">
      <selection activeCell="D21" sqref="D21"/>
    </sheetView>
  </sheetViews>
  <sheetFormatPr defaultRowHeight="13.2"/>
  <cols>
    <col min="1" max="1" width="9.6640625" customWidth="1"/>
  </cols>
  <sheetData>
    <row r="1" spans="1:12" ht="15.6">
      <c r="A1" s="33" t="s">
        <v>346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5.6">
      <c r="A2" s="1" t="s">
        <v>184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5" spans="1:12">
      <c r="A5" s="193" t="s">
        <v>303</v>
      </c>
      <c r="D5" t="s">
        <v>304</v>
      </c>
    </row>
    <row r="6" spans="1:12">
      <c r="D6" t="s">
        <v>306</v>
      </c>
    </row>
    <row r="8" spans="1:12">
      <c r="A8" s="91" t="s">
        <v>1003</v>
      </c>
      <c r="D8" t="s">
        <v>300</v>
      </c>
    </row>
    <row r="9" spans="1:12">
      <c r="A9" s="91"/>
    </row>
    <row r="10" spans="1:12">
      <c r="A10" s="91" t="s">
        <v>1004</v>
      </c>
      <c r="D10" t="s">
        <v>301</v>
      </c>
    </row>
    <row r="12" spans="1:12">
      <c r="A12" s="91" t="s">
        <v>214</v>
      </c>
      <c r="D12" t="s">
        <v>302</v>
      </c>
    </row>
    <row r="13" spans="1:12">
      <c r="D13" t="s">
        <v>305</v>
      </c>
    </row>
    <row r="14" spans="1:12">
      <c r="D14" t="s">
        <v>317</v>
      </c>
    </row>
    <row r="15" spans="1:12">
      <c r="D15" t="s">
        <v>316</v>
      </c>
    </row>
    <row r="16" spans="1:12">
      <c r="D16" t="s">
        <v>315</v>
      </c>
    </row>
    <row r="17" spans="1:4">
      <c r="D17" t="s">
        <v>314</v>
      </c>
    </row>
    <row r="18" spans="1:4">
      <c r="D18" t="s">
        <v>313</v>
      </c>
    </row>
    <row r="19" spans="1:4">
      <c r="D19" t="s">
        <v>307</v>
      </c>
    </row>
    <row r="20" spans="1:4">
      <c r="D20" t="s">
        <v>358</v>
      </c>
    </row>
    <row r="22" spans="1:4">
      <c r="A22" s="91" t="s">
        <v>215</v>
      </c>
      <c r="D22" s="179" t="s">
        <v>1005</v>
      </c>
    </row>
    <row r="23" spans="1:4">
      <c r="D23" t="s">
        <v>1006</v>
      </c>
    </row>
    <row r="25" spans="1:4">
      <c r="A25" s="91" t="s">
        <v>216</v>
      </c>
      <c r="D25" s="179" t="s">
        <v>320</v>
      </c>
    </row>
    <row r="26" spans="1:4">
      <c r="D26" t="s">
        <v>321</v>
      </c>
    </row>
    <row r="28" spans="1:4">
      <c r="A28" s="193" t="s">
        <v>308</v>
      </c>
      <c r="D28" t="s">
        <v>309</v>
      </c>
    </row>
    <row r="29" spans="1:4">
      <c r="D29" t="s">
        <v>310</v>
      </c>
    </row>
    <row r="30" spans="1:4">
      <c r="D30" t="s">
        <v>328</v>
      </c>
    </row>
    <row r="31" spans="1:4">
      <c r="D31" t="s">
        <v>311</v>
      </c>
    </row>
    <row r="32" spans="1:4">
      <c r="D32" t="s">
        <v>312</v>
      </c>
    </row>
    <row r="34" spans="1:7">
      <c r="A34" s="91" t="s">
        <v>217</v>
      </c>
      <c r="D34" t="s">
        <v>319</v>
      </c>
    </row>
    <row r="36" spans="1:7">
      <c r="A36" s="91" t="s">
        <v>218</v>
      </c>
      <c r="D36" t="s">
        <v>318</v>
      </c>
      <c r="G36" s="254"/>
    </row>
    <row r="37" spans="1:7" ht="12" customHeight="1">
      <c r="G37" s="191"/>
    </row>
    <row r="38" spans="1:7" ht="12" customHeight="1">
      <c r="A38" s="91" t="s">
        <v>220</v>
      </c>
      <c r="D38" t="s">
        <v>327</v>
      </c>
    </row>
    <row r="40" spans="1:7">
      <c r="A40" s="193" t="s">
        <v>221</v>
      </c>
      <c r="D40" t="s">
        <v>327</v>
      </c>
    </row>
    <row r="49" spans="1:4">
      <c r="A49" s="91"/>
      <c r="D49" s="179"/>
    </row>
    <row r="52" spans="1:4">
      <c r="A52" s="91"/>
      <c r="D52" s="179"/>
    </row>
  </sheetData>
  <printOptions horizontalCentered="1"/>
  <pageMargins left="0.75" right="0.75" top="1" bottom="1" header="0.5" footer="0.5"/>
  <pageSetup scale="76" orientation="portrait" horizontalDpi="4294967292" verticalDpi="4294967292" r:id="rId1"/>
  <headerFooter alignWithMargins="0">
    <oddFooter>&amp;LScot Chambers
&amp;D&amp;R&amp;F
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E30"/>
  <sheetViews>
    <sheetView workbookViewId="0">
      <selection activeCell="F28" sqref="F28"/>
    </sheetView>
  </sheetViews>
  <sheetFormatPr defaultColWidth="9.109375" defaultRowHeight="13.2"/>
  <cols>
    <col min="1" max="1" width="4.6640625" style="3" customWidth="1"/>
    <col min="2" max="2" width="39.33203125" style="3" customWidth="1"/>
    <col min="3" max="3" width="11.5546875" style="3" customWidth="1"/>
    <col min="4" max="4" width="11.109375" style="3" hidden="1" customWidth="1"/>
    <col min="5" max="5" width="9.109375" style="3"/>
    <col min="6" max="16384" width="9.109375" style="2"/>
  </cols>
  <sheetData>
    <row r="1" spans="1:5" ht="15.6">
      <c r="A1" s="33" t="str">
        <f>Scope!$A$1</f>
        <v>Santee Cooper 5 x LM6000 PC Power Project (236 MW)</v>
      </c>
      <c r="B1" s="33"/>
      <c r="C1" s="478"/>
      <c r="D1" s="2"/>
      <c r="E1" s="2"/>
    </row>
    <row r="2" spans="1:5" ht="15.6">
      <c r="A2" s="1" t="s">
        <v>49</v>
      </c>
      <c r="B2" s="1"/>
      <c r="C2" s="478"/>
      <c r="D2" s="2"/>
      <c r="E2" s="2"/>
    </row>
    <row r="3" spans="1:5">
      <c r="A3" s="479" t="s">
        <v>606</v>
      </c>
      <c r="B3" s="478"/>
      <c r="C3" s="478"/>
      <c r="D3" s="2"/>
      <c r="E3" s="2"/>
    </row>
    <row r="4" spans="1:5">
      <c r="A4" s="480" t="s">
        <v>503</v>
      </c>
      <c r="B4" s="481"/>
      <c r="C4" s="482" t="s">
        <v>362</v>
      </c>
      <c r="D4" s="483" t="s">
        <v>48</v>
      </c>
      <c r="E4" s="2"/>
    </row>
    <row r="5" spans="1:5">
      <c r="A5" s="2"/>
      <c r="B5" s="480" t="s">
        <v>606</v>
      </c>
      <c r="C5" s="484"/>
      <c r="D5" s="485"/>
      <c r="E5" s="2"/>
    </row>
    <row r="6" spans="1:5">
      <c r="B6" s="3" t="s">
        <v>504</v>
      </c>
      <c r="C6" s="566">
        <f>GE7EA!$C$125*1000</f>
        <v>461760</v>
      </c>
      <c r="D6" s="497">
        <v>310000</v>
      </c>
      <c r="E6" s="2"/>
    </row>
    <row r="7" spans="1:5">
      <c r="A7" s="2"/>
      <c r="B7" t="s">
        <v>505</v>
      </c>
      <c r="C7" s="566">
        <v>168000</v>
      </c>
      <c r="D7" s="498">
        <v>160000</v>
      </c>
      <c r="E7" s="2"/>
    </row>
    <row r="8" spans="1:5">
      <c r="A8" s="2"/>
      <c r="B8" s="487" t="s">
        <v>506</v>
      </c>
      <c r="C8" s="566">
        <f>SUM(D8:D8)</f>
        <v>40000</v>
      </c>
      <c r="D8" s="498">
        <v>40000</v>
      </c>
      <c r="E8" s="2"/>
    </row>
    <row r="9" spans="1:5">
      <c r="A9" s="488"/>
      <c r="B9" s="489" t="s">
        <v>507</v>
      </c>
      <c r="C9" s="566">
        <v>205000</v>
      </c>
      <c r="D9" s="498">
        <v>180000</v>
      </c>
      <c r="E9" s="2"/>
    </row>
    <row r="10" spans="1:5">
      <c r="A10" s="2"/>
      <c r="B10" s="487" t="s">
        <v>508</v>
      </c>
      <c r="C10" s="566">
        <f>SUM(D10:D10)</f>
        <v>75000</v>
      </c>
      <c r="D10" s="498">
        <v>75000</v>
      </c>
      <c r="E10" s="2"/>
    </row>
    <row r="11" spans="1:5">
      <c r="A11" s="476"/>
      <c r="B11" s="489" t="s">
        <v>509</v>
      </c>
      <c r="C11" s="566">
        <f>SUM(D11:D11)</f>
        <v>15000</v>
      </c>
      <c r="D11" s="499">
        <v>15000</v>
      </c>
      <c r="E11" s="2"/>
    </row>
    <row r="12" spans="1:5">
      <c r="A12"/>
      <c r="B12"/>
      <c r="C12" s="486"/>
      <c r="D12" s="490"/>
      <c r="E12" s="2"/>
    </row>
    <row r="13" spans="1:5">
      <c r="A13" s="186"/>
      <c r="B13"/>
      <c r="C13" s="486"/>
      <c r="D13" s="490"/>
      <c r="E13" s="2"/>
    </row>
    <row r="14" spans="1:5">
      <c r="A14"/>
      <c r="B14" s="480"/>
      <c r="C14" s="486"/>
      <c r="D14" s="490"/>
      <c r="E14" s="2"/>
    </row>
    <row r="15" spans="1:5" ht="12.75" customHeight="1">
      <c r="B15"/>
      <c r="C15" s="491"/>
      <c r="D15" s="492"/>
    </row>
    <row r="16" spans="1:5">
      <c r="A16" s="186" t="s">
        <v>510</v>
      </c>
      <c r="B16" s="179"/>
      <c r="C16" s="493">
        <f>SUM(C6:C14)</f>
        <v>964760</v>
      </c>
      <c r="D16" s="483">
        <f>SUM(D6:D15)</f>
        <v>780000</v>
      </c>
    </row>
    <row r="17" spans="1:4">
      <c r="A17" s="186" t="s">
        <v>1258</v>
      </c>
      <c r="B17" s="179"/>
      <c r="C17" s="493">
        <f>C16*0.01</f>
        <v>9647.6</v>
      </c>
      <c r="D17" s="483">
        <f>D16*0.01</f>
        <v>7800</v>
      </c>
    </row>
    <row r="18" spans="1:4">
      <c r="A18" s="186" t="s">
        <v>511</v>
      </c>
      <c r="B18" s="179"/>
      <c r="C18" s="494">
        <f>SUM(C16:C17)</f>
        <v>974407.6</v>
      </c>
      <c r="D18" s="495">
        <f>D16+D17</f>
        <v>787800</v>
      </c>
    </row>
    <row r="19" spans="1:4">
      <c r="B19" s="496"/>
      <c r="C19" s="489"/>
    </row>
    <row r="20" spans="1:4">
      <c r="A20"/>
      <c r="B20" s="181"/>
      <c r="C20" s="489" t="s">
        <v>606</v>
      </c>
    </row>
    <row r="21" spans="1:4">
      <c r="A21" s="476"/>
    </row>
    <row r="22" spans="1:4">
      <c r="A22" s="476"/>
    </row>
    <row r="25" spans="1:4">
      <c r="A25"/>
    </row>
    <row r="28" spans="1:4">
      <c r="A28"/>
      <c r="B28"/>
    </row>
    <row r="29" spans="1:4">
      <c r="A29"/>
      <c r="B29"/>
    </row>
    <row r="30" spans="1:4">
      <c r="A30"/>
      <c r="B30"/>
    </row>
  </sheetData>
  <printOptions horizontalCentered="1"/>
  <pageMargins left="0.5" right="0.5" top="1" bottom="1" header="0.5" footer="0.5"/>
  <pageSetup scale="94" firstPageNumber="10" orientation="portrait" useFirstPageNumber="1" horizontalDpi="4294967292" verticalDpi="300" r:id="rId1"/>
  <headerFooter alignWithMargins="0">
    <oddFooter xml:space="preserve">&amp;LDREhler&amp;C&amp;D&amp;R&amp;F
Page &amp;P
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C151"/>
  <sheetViews>
    <sheetView topLeftCell="D24" zoomScale="75" zoomScaleNormal="25" zoomScaleSheetLayoutView="100" workbookViewId="0">
      <selection activeCell="F28" sqref="F28"/>
    </sheetView>
  </sheetViews>
  <sheetFormatPr defaultRowHeight="13.2"/>
  <cols>
    <col min="1" max="1" width="27" customWidth="1"/>
    <col min="4" max="4" width="10.33203125" bestFit="1" customWidth="1"/>
    <col min="23" max="23" width="10.5546875" customWidth="1"/>
    <col min="27" max="27" width="11.88671875" customWidth="1"/>
  </cols>
  <sheetData>
    <row r="1" spans="1:23">
      <c r="A1" s="327" t="s">
        <v>607</v>
      </c>
      <c r="B1" s="327"/>
      <c r="C1" s="328">
        <v>2001</v>
      </c>
      <c r="D1" s="329">
        <f t="shared" ref="D1:V1" si="0">C1+1</f>
        <v>2002</v>
      </c>
      <c r="E1" s="329">
        <f t="shared" si="0"/>
        <v>2003</v>
      </c>
      <c r="F1" s="329">
        <f t="shared" si="0"/>
        <v>2004</v>
      </c>
      <c r="G1" s="329">
        <f t="shared" si="0"/>
        <v>2005</v>
      </c>
      <c r="H1" s="329">
        <f t="shared" si="0"/>
        <v>2006</v>
      </c>
      <c r="I1" s="329">
        <f t="shared" si="0"/>
        <v>2007</v>
      </c>
      <c r="J1" s="329">
        <f t="shared" si="0"/>
        <v>2008</v>
      </c>
      <c r="K1" s="329">
        <f t="shared" si="0"/>
        <v>2009</v>
      </c>
      <c r="L1" s="329">
        <f t="shared" si="0"/>
        <v>2010</v>
      </c>
      <c r="M1" s="329">
        <f t="shared" si="0"/>
        <v>2011</v>
      </c>
      <c r="N1" s="329">
        <f t="shared" si="0"/>
        <v>2012</v>
      </c>
      <c r="O1" s="329">
        <f t="shared" si="0"/>
        <v>2013</v>
      </c>
      <c r="P1" s="329">
        <f t="shared" si="0"/>
        <v>2014</v>
      </c>
      <c r="Q1" s="329">
        <f t="shared" si="0"/>
        <v>2015</v>
      </c>
      <c r="R1" s="329">
        <f t="shared" si="0"/>
        <v>2016</v>
      </c>
      <c r="S1" s="329">
        <f t="shared" si="0"/>
        <v>2017</v>
      </c>
      <c r="T1" s="329">
        <f t="shared" si="0"/>
        <v>2018</v>
      </c>
      <c r="U1" s="329">
        <f t="shared" si="0"/>
        <v>2019</v>
      </c>
      <c r="V1" s="329">
        <f t="shared" si="0"/>
        <v>2020</v>
      </c>
    </row>
    <row r="2" spans="1:23">
      <c r="A2" s="327" t="s">
        <v>600</v>
      </c>
      <c r="B2" s="205">
        <v>0</v>
      </c>
      <c r="C2" s="205">
        <v>1</v>
      </c>
      <c r="D2" s="205">
        <v>2</v>
      </c>
      <c r="E2" s="205">
        <v>3</v>
      </c>
      <c r="F2" s="205">
        <v>4</v>
      </c>
      <c r="G2" s="205">
        <v>5</v>
      </c>
      <c r="H2" s="205">
        <v>6</v>
      </c>
      <c r="I2" s="205">
        <v>7</v>
      </c>
      <c r="J2" s="205">
        <v>8</v>
      </c>
      <c r="K2" s="205">
        <v>9</v>
      </c>
      <c r="L2" s="205">
        <v>10</v>
      </c>
      <c r="M2" s="205">
        <v>11</v>
      </c>
      <c r="N2" s="205">
        <v>12</v>
      </c>
      <c r="O2" s="205">
        <v>13</v>
      </c>
      <c r="P2" s="205">
        <v>14</v>
      </c>
      <c r="Q2" s="205">
        <v>15</v>
      </c>
      <c r="R2" s="205">
        <v>16</v>
      </c>
      <c r="S2" s="205">
        <v>17</v>
      </c>
      <c r="T2" s="205">
        <v>18</v>
      </c>
      <c r="U2" s="205">
        <v>19</v>
      </c>
      <c r="V2" s="205">
        <v>20</v>
      </c>
    </row>
    <row r="3" spans="1:23">
      <c r="A3" s="330" t="s">
        <v>608</v>
      </c>
      <c r="B3" s="205"/>
      <c r="C3" s="234"/>
      <c r="D3" s="234"/>
      <c r="E3" s="234"/>
      <c r="F3" s="234" t="s">
        <v>601</v>
      </c>
      <c r="G3" s="234"/>
      <c r="H3" s="234"/>
      <c r="I3" s="234"/>
      <c r="J3" s="234" t="s">
        <v>601</v>
      </c>
      <c r="K3" s="234"/>
      <c r="L3" s="234"/>
      <c r="M3" s="234"/>
      <c r="N3" s="234" t="s">
        <v>602</v>
      </c>
      <c r="O3" s="234"/>
      <c r="P3" s="234"/>
      <c r="Q3" s="234"/>
      <c r="R3" s="234" t="s">
        <v>601</v>
      </c>
      <c r="S3" s="234"/>
      <c r="T3" s="234"/>
      <c r="U3" s="234"/>
      <c r="V3" s="234" t="s">
        <v>601</v>
      </c>
    </row>
    <row r="4" spans="1:23">
      <c r="A4" s="327" t="s">
        <v>609</v>
      </c>
      <c r="B4" s="331"/>
      <c r="C4" s="205">
        <v>1200</v>
      </c>
      <c r="D4" s="205">
        <f t="shared" ref="D4:V4" si="1">+($C4*D2)</f>
        <v>2400</v>
      </c>
      <c r="E4" s="205">
        <f t="shared" si="1"/>
        <v>3600</v>
      </c>
      <c r="F4" s="205">
        <f t="shared" si="1"/>
        <v>4800</v>
      </c>
      <c r="G4" s="205">
        <f t="shared" si="1"/>
        <v>6000</v>
      </c>
      <c r="H4" s="205">
        <f t="shared" si="1"/>
        <v>7200</v>
      </c>
      <c r="I4" s="205">
        <f t="shared" si="1"/>
        <v>8400</v>
      </c>
      <c r="J4" s="205">
        <f t="shared" si="1"/>
        <v>9600</v>
      </c>
      <c r="K4" s="205">
        <f t="shared" si="1"/>
        <v>10800</v>
      </c>
      <c r="L4" s="205">
        <f t="shared" si="1"/>
        <v>12000</v>
      </c>
      <c r="M4" s="205">
        <f t="shared" si="1"/>
        <v>13200</v>
      </c>
      <c r="N4" s="205">
        <f t="shared" si="1"/>
        <v>14400</v>
      </c>
      <c r="O4" s="205">
        <f t="shared" si="1"/>
        <v>15600</v>
      </c>
      <c r="P4" s="205">
        <f t="shared" si="1"/>
        <v>16800</v>
      </c>
      <c r="Q4" s="205">
        <f t="shared" si="1"/>
        <v>18000</v>
      </c>
      <c r="R4" s="205">
        <f t="shared" si="1"/>
        <v>19200</v>
      </c>
      <c r="S4" s="205">
        <f t="shared" si="1"/>
        <v>20400</v>
      </c>
      <c r="T4" s="205">
        <f t="shared" si="1"/>
        <v>21600</v>
      </c>
      <c r="U4" s="205">
        <f t="shared" si="1"/>
        <v>22800</v>
      </c>
      <c r="V4" s="205">
        <f t="shared" si="1"/>
        <v>24000</v>
      </c>
    </row>
    <row r="5" spans="1:23">
      <c r="A5" s="330" t="s">
        <v>610</v>
      </c>
      <c r="B5" s="205"/>
      <c r="C5" s="205">
        <v>100</v>
      </c>
      <c r="D5" s="205">
        <f t="shared" ref="D5:V5" si="2">+($C5*D2)</f>
        <v>200</v>
      </c>
      <c r="E5" s="205">
        <f t="shared" si="2"/>
        <v>300</v>
      </c>
      <c r="F5" s="205">
        <f t="shared" si="2"/>
        <v>400</v>
      </c>
      <c r="G5" s="205">
        <f t="shared" si="2"/>
        <v>500</v>
      </c>
      <c r="H5" s="205">
        <f t="shared" si="2"/>
        <v>600</v>
      </c>
      <c r="I5" s="205">
        <f t="shared" si="2"/>
        <v>700</v>
      </c>
      <c r="J5" s="205">
        <f t="shared" si="2"/>
        <v>800</v>
      </c>
      <c r="K5" s="205">
        <f t="shared" si="2"/>
        <v>900</v>
      </c>
      <c r="L5" s="205">
        <f t="shared" si="2"/>
        <v>1000</v>
      </c>
      <c r="M5" s="205">
        <f t="shared" si="2"/>
        <v>1100</v>
      </c>
      <c r="N5" s="205">
        <f t="shared" si="2"/>
        <v>1200</v>
      </c>
      <c r="O5" s="205">
        <f t="shared" si="2"/>
        <v>1300</v>
      </c>
      <c r="P5" s="205">
        <f t="shared" si="2"/>
        <v>1400</v>
      </c>
      <c r="Q5" s="205">
        <f t="shared" si="2"/>
        <v>1500</v>
      </c>
      <c r="R5" s="205">
        <f t="shared" si="2"/>
        <v>1600</v>
      </c>
      <c r="S5" s="205">
        <f t="shared" si="2"/>
        <v>1700</v>
      </c>
      <c r="T5" s="205">
        <f t="shared" si="2"/>
        <v>1800</v>
      </c>
      <c r="U5" s="205">
        <f t="shared" si="2"/>
        <v>1900</v>
      </c>
      <c r="V5" s="205">
        <f t="shared" si="2"/>
        <v>2000</v>
      </c>
    </row>
    <row r="6" spans="1:23">
      <c r="A6" s="332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</row>
    <row r="7" spans="1:23">
      <c r="A7" s="332" t="s">
        <v>603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193" t="s">
        <v>362</v>
      </c>
    </row>
    <row r="8" spans="1:23">
      <c r="A8" s="330" t="s">
        <v>611</v>
      </c>
      <c r="B8" s="334">
        <f t="shared" ref="B8:B29" si="3">C122</f>
        <v>1198.8</v>
      </c>
      <c r="C8" s="335"/>
      <c r="D8" s="335"/>
      <c r="E8" s="335"/>
      <c r="F8" s="335"/>
      <c r="G8" s="327"/>
      <c r="H8" s="327"/>
      <c r="I8" s="335"/>
      <c r="J8" s="335"/>
      <c r="K8" s="335"/>
      <c r="L8" s="335"/>
      <c r="M8" s="335"/>
      <c r="N8" s="335"/>
      <c r="O8" s="335"/>
      <c r="P8" s="335"/>
      <c r="Q8" s="335"/>
      <c r="R8" s="205"/>
      <c r="S8" s="327"/>
      <c r="T8" s="327"/>
      <c r="U8" s="335"/>
      <c r="V8" s="334"/>
      <c r="W8" s="336">
        <f t="shared" ref="W8:W30" si="4">+SUM(C8:V8)</f>
        <v>0</v>
      </c>
    </row>
    <row r="9" spans="1:23">
      <c r="A9" s="327" t="s">
        <v>605</v>
      </c>
      <c r="B9" s="334">
        <f t="shared" si="3"/>
        <v>436.85199999999998</v>
      </c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35"/>
      <c r="S9" s="327"/>
      <c r="T9" s="327"/>
      <c r="U9" s="327"/>
      <c r="V9" s="327"/>
      <c r="W9" s="336">
        <f t="shared" si="4"/>
        <v>0</v>
      </c>
    </row>
    <row r="10" spans="1:23">
      <c r="A10" s="327" t="s">
        <v>612</v>
      </c>
      <c r="B10" s="334" t="str">
        <f t="shared" si="3"/>
        <v>NA</v>
      </c>
      <c r="C10" s="327"/>
      <c r="D10" s="327"/>
      <c r="E10" s="327"/>
      <c r="F10" s="335"/>
      <c r="G10" s="327"/>
      <c r="H10" s="327"/>
      <c r="I10" s="327"/>
      <c r="J10" s="334"/>
      <c r="K10" s="327"/>
      <c r="L10" s="327"/>
      <c r="M10" s="327"/>
      <c r="N10" s="334" t="str">
        <f>$B10</f>
        <v>NA</v>
      </c>
      <c r="O10" s="327"/>
      <c r="P10" s="327"/>
      <c r="Q10" s="327"/>
      <c r="R10" s="335"/>
      <c r="S10" s="327"/>
      <c r="T10" s="327"/>
      <c r="U10" s="327"/>
      <c r="V10" s="334"/>
      <c r="W10" s="336">
        <f t="shared" si="4"/>
        <v>0</v>
      </c>
    </row>
    <row r="11" spans="1:23">
      <c r="A11" s="327" t="s">
        <v>613</v>
      </c>
      <c r="B11" s="334">
        <f t="shared" si="3"/>
        <v>461.76</v>
      </c>
      <c r="C11" s="327"/>
      <c r="D11" s="327"/>
      <c r="E11" s="327"/>
      <c r="F11" s="327"/>
      <c r="G11" s="327"/>
      <c r="H11" s="327"/>
      <c r="I11" s="327"/>
      <c r="J11" s="335"/>
      <c r="K11" s="327"/>
      <c r="L11" s="327"/>
      <c r="M11" s="327"/>
      <c r="N11" s="334">
        <f>$B11</f>
        <v>461.76</v>
      </c>
      <c r="O11" s="327"/>
      <c r="P11" s="327"/>
      <c r="Q11" s="327"/>
      <c r="R11" s="335"/>
      <c r="S11" s="327"/>
      <c r="T11" s="327"/>
      <c r="U11" s="327"/>
      <c r="V11" s="327"/>
      <c r="W11" s="336">
        <f t="shared" si="4"/>
        <v>461.76</v>
      </c>
    </row>
    <row r="12" spans="1:23">
      <c r="A12" s="327" t="s">
        <v>614</v>
      </c>
      <c r="B12" s="334">
        <f t="shared" si="3"/>
        <v>859.00005999999996</v>
      </c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34"/>
      <c r="O12" s="327"/>
      <c r="P12" s="327"/>
      <c r="Q12" s="327"/>
      <c r="R12" s="327"/>
      <c r="S12" s="327"/>
      <c r="T12" s="327"/>
      <c r="U12" s="327"/>
      <c r="V12" s="327"/>
      <c r="W12" s="336">
        <f t="shared" si="4"/>
        <v>0</v>
      </c>
    </row>
    <row r="13" spans="1:23">
      <c r="A13" s="327" t="s">
        <v>615</v>
      </c>
      <c r="B13" s="334">
        <f t="shared" si="3"/>
        <v>850.91075000000001</v>
      </c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336">
        <f t="shared" si="4"/>
        <v>0</v>
      </c>
    </row>
    <row r="14" spans="1:23">
      <c r="A14" s="327" t="s">
        <v>616</v>
      </c>
      <c r="B14" s="334">
        <f t="shared" si="3"/>
        <v>746.46681000000001</v>
      </c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7"/>
      <c r="N14" s="327"/>
      <c r="O14" s="327"/>
      <c r="P14" s="327"/>
      <c r="Q14" s="327"/>
      <c r="R14" s="327"/>
      <c r="S14" s="327"/>
      <c r="T14" s="327"/>
      <c r="U14" s="327"/>
      <c r="V14" s="327"/>
      <c r="W14" s="336">
        <f t="shared" si="4"/>
        <v>0</v>
      </c>
    </row>
    <row r="15" spans="1:23">
      <c r="A15" s="330" t="s">
        <v>617</v>
      </c>
      <c r="B15" s="334">
        <f t="shared" si="3"/>
        <v>848.57299999999998</v>
      </c>
      <c r="C15" s="327"/>
      <c r="D15" s="205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35"/>
      <c r="S15" s="327"/>
      <c r="T15" s="327"/>
      <c r="U15" s="327"/>
      <c r="V15" s="327"/>
      <c r="W15" s="336">
        <f t="shared" si="4"/>
        <v>0</v>
      </c>
    </row>
    <row r="16" spans="1:23">
      <c r="A16" s="330" t="s">
        <v>618</v>
      </c>
      <c r="B16" s="334">
        <f t="shared" si="3"/>
        <v>874.50081</v>
      </c>
      <c r="C16" s="327"/>
      <c r="D16" s="205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35"/>
      <c r="S16" s="327"/>
      <c r="T16" s="327"/>
      <c r="U16" s="327"/>
      <c r="V16" s="327"/>
      <c r="W16" s="336">
        <f t="shared" si="4"/>
        <v>0</v>
      </c>
    </row>
    <row r="17" spans="1:23">
      <c r="A17" s="330" t="s">
        <v>619</v>
      </c>
      <c r="B17" s="334">
        <f t="shared" si="3"/>
        <v>930.72500000000002</v>
      </c>
      <c r="C17" s="327"/>
      <c r="D17" s="205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27"/>
      <c r="R17" s="335"/>
      <c r="S17" s="327"/>
      <c r="T17" s="327"/>
      <c r="U17" s="327"/>
      <c r="V17" s="327"/>
      <c r="W17" s="336">
        <f t="shared" si="4"/>
        <v>0</v>
      </c>
    </row>
    <row r="18" spans="1:23">
      <c r="A18" s="330" t="s">
        <v>620</v>
      </c>
      <c r="B18" s="334">
        <f t="shared" si="3"/>
        <v>36.558900000000001</v>
      </c>
      <c r="C18" s="327"/>
      <c r="D18" s="327"/>
      <c r="E18" s="327"/>
      <c r="F18" s="327"/>
      <c r="G18" s="327"/>
      <c r="H18" s="327"/>
      <c r="I18" s="327"/>
      <c r="J18" s="205"/>
      <c r="K18" s="205"/>
      <c r="L18" s="327"/>
      <c r="M18" s="205"/>
      <c r="N18" s="327"/>
      <c r="O18" s="327"/>
      <c r="P18" s="327"/>
      <c r="Q18" s="327"/>
      <c r="R18" s="327"/>
      <c r="S18" s="327"/>
      <c r="T18" s="327"/>
      <c r="U18" s="327"/>
      <c r="V18" s="327"/>
      <c r="W18" s="336">
        <f t="shared" si="4"/>
        <v>0</v>
      </c>
    </row>
    <row r="19" spans="1:23">
      <c r="A19" s="205" t="s">
        <v>621</v>
      </c>
      <c r="B19" s="334">
        <f t="shared" si="3"/>
        <v>172.54839000000001</v>
      </c>
      <c r="C19" s="327"/>
      <c r="D19" s="327"/>
      <c r="E19" s="327"/>
      <c r="F19" s="327"/>
      <c r="G19" s="327"/>
      <c r="H19" s="327"/>
      <c r="I19" s="327"/>
      <c r="J19" s="205"/>
      <c r="K19" s="205"/>
      <c r="L19" s="327"/>
      <c r="M19" s="205"/>
      <c r="N19" s="327"/>
      <c r="O19" s="327"/>
      <c r="P19" s="327"/>
      <c r="Q19" s="327"/>
      <c r="R19" s="327"/>
      <c r="S19" s="327"/>
      <c r="T19" s="327"/>
      <c r="U19" s="327"/>
      <c r="V19" s="327"/>
      <c r="W19" s="336">
        <f t="shared" si="4"/>
        <v>0</v>
      </c>
    </row>
    <row r="20" spans="1:23">
      <c r="A20" s="205" t="s">
        <v>622</v>
      </c>
      <c r="B20" s="334">
        <f t="shared" si="3"/>
        <v>200.16615999999999</v>
      </c>
      <c r="C20" s="327"/>
      <c r="D20" s="327"/>
      <c r="E20" s="327"/>
      <c r="F20" s="327"/>
      <c r="G20" s="327"/>
      <c r="H20" s="327"/>
      <c r="I20" s="327"/>
      <c r="J20" s="205"/>
      <c r="K20" s="205"/>
      <c r="L20" s="327"/>
      <c r="M20" s="205"/>
      <c r="N20" s="327"/>
      <c r="O20" s="327"/>
      <c r="P20" s="327"/>
      <c r="Q20" s="327"/>
      <c r="R20" s="327"/>
      <c r="S20" s="327"/>
      <c r="T20" s="327"/>
      <c r="U20" s="327"/>
      <c r="V20" s="327"/>
      <c r="W20" s="336">
        <f t="shared" si="4"/>
        <v>0</v>
      </c>
    </row>
    <row r="21" spans="1:23">
      <c r="A21" s="327" t="s">
        <v>623</v>
      </c>
      <c r="B21" s="334">
        <f t="shared" si="3"/>
        <v>798</v>
      </c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36">
        <f t="shared" si="4"/>
        <v>0</v>
      </c>
    </row>
    <row r="22" spans="1:23">
      <c r="A22" s="327" t="s">
        <v>624</v>
      </c>
      <c r="B22" s="334">
        <f t="shared" si="3"/>
        <v>765.46574999999996</v>
      </c>
      <c r="C22" s="327"/>
      <c r="D22" s="327"/>
      <c r="E22" s="327"/>
      <c r="F22" s="327"/>
      <c r="G22" s="327"/>
      <c r="H22" s="327"/>
      <c r="I22" s="327"/>
      <c r="J22" s="205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36">
        <f t="shared" si="4"/>
        <v>0</v>
      </c>
    </row>
    <row r="23" spans="1:23">
      <c r="A23" s="327" t="s">
        <v>625</v>
      </c>
      <c r="B23" s="334">
        <f t="shared" si="3"/>
        <v>1042</v>
      </c>
      <c r="C23" s="327"/>
      <c r="D23" s="327"/>
      <c r="E23" s="327"/>
      <c r="F23" s="327"/>
      <c r="G23" s="327"/>
      <c r="H23" s="327"/>
      <c r="I23" s="327"/>
      <c r="J23" s="205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36">
        <f t="shared" si="4"/>
        <v>0</v>
      </c>
    </row>
    <row r="24" spans="1:23">
      <c r="A24" s="327" t="s">
        <v>626</v>
      </c>
      <c r="B24" s="334" t="str">
        <f t="shared" si="3"/>
        <v>NA</v>
      </c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36">
        <f t="shared" si="4"/>
        <v>0</v>
      </c>
    </row>
    <row r="25" spans="1:23">
      <c r="A25" s="327" t="s">
        <v>627</v>
      </c>
      <c r="B25" s="334">
        <f t="shared" si="3"/>
        <v>19.882000000000001</v>
      </c>
      <c r="C25" s="327"/>
      <c r="D25" s="327"/>
      <c r="E25" s="327"/>
      <c r="F25" s="334">
        <f>$B25</f>
        <v>19.882000000000001</v>
      </c>
      <c r="G25" s="327"/>
      <c r="H25" s="327"/>
      <c r="I25" s="334"/>
      <c r="J25" s="334">
        <f>$B25</f>
        <v>19.882000000000001</v>
      </c>
      <c r="K25" s="327"/>
      <c r="L25" s="327"/>
      <c r="M25" s="327"/>
      <c r="N25" s="335"/>
      <c r="O25" s="327"/>
      <c r="P25" s="327"/>
      <c r="Q25" s="327"/>
      <c r="R25" s="334">
        <f>$B25</f>
        <v>19.882000000000001</v>
      </c>
      <c r="S25" s="327"/>
      <c r="T25" s="327"/>
      <c r="U25" s="327"/>
      <c r="V25" s="334"/>
      <c r="W25" s="336">
        <f t="shared" si="4"/>
        <v>59.646000000000001</v>
      </c>
    </row>
    <row r="26" spans="1:23">
      <c r="A26" s="327" t="s">
        <v>628</v>
      </c>
      <c r="B26" s="334">
        <f t="shared" si="3"/>
        <v>12.018000000000001</v>
      </c>
      <c r="C26" s="327"/>
      <c r="D26" s="327"/>
      <c r="E26" s="327"/>
      <c r="F26" s="327"/>
      <c r="G26" s="327"/>
      <c r="H26" s="327"/>
      <c r="I26" s="327"/>
      <c r="J26" s="335"/>
      <c r="K26" s="327"/>
      <c r="L26" s="327"/>
      <c r="M26" s="334"/>
      <c r="N26" s="334">
        <f>$B26</f>
        <v>12.018000000000001</v>
      </c>
      <c r="O26" s="327"/>
      <c r="P26" s="327"/>
      <c r="Q26" s="327"/>
      <c r="R26" s="327"/>
      <c r="S26" s="327"/>
      <c r="T26" s="327"/>
      <c r="U26" s="327"/>
      <c r="V26" s="327"/>
      <c r="W26" s="336">
        <f t="shared" si="4"/>
        <v>12.018000000000001</v>
      </c>
    </row>
    <row r="27" spans="1:23">
      <c r="A27" s="327" t="s">
        <v>629</v>
      </c>
      <c r="B27" s="334">
        <f t="shared" si="3"/>
        <v>122.319</v>
      </c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35"/>
      <c r="S27" s="327"/>
      <c r="T27" s="327"/>
      <c r="U27" s="327"/>
      <c r="V27" s="327"/>
      <c r="W27" s="336">
        <f t="shared" si="4"/>
        <v>0</v>
      </c>
    </row>
    <row r="28" spans="1:23">
      <c r="A28" s="327" t="s">
        <v>630</v>
      </c>
      <c r="B28" s="334" t="str">
        <f t="shared" si="3"/>
        <v>NA</v>
      </c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36">
        <f t="shared" si="4"/>
        <v>0</v>
      </c>
    </row>
    <row r="29" spans="1:23">
      <c r="A29" s="327" t="s">
        <v>631</v>
      </c>
      <c r="B29" s="334" t="str">
        <f t="shared" si="3"/>
        <v>NA</v>
      </c>
      <c r="C29" s="327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  <c r="W29" s="336">
        <f t="shared" si="4"/>
        <v>0</v>
      </c>
    </row>
    <row r="30" spans="1:23">
      <c r="A30" s="327"/>
      <c r="B30" s="335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27"/>
      <c r="R30" s="327"/>
      <c r="S30" s="327"/>
      <c r="T30" s="327"/>
      <c r="U30" s="327"/>
      <c r="V30" s="327"/>
      <c r="W30" s="336">
        <f t="shared" si="4"/>
        <v>0</v>
      </c>
    </row>
    <row r="31" spans="1:23">
      <c r="A31" s="206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</row>
    <row r="32" spans="1:23">
      <c r="A32" s="276" t="s">
        <v>632</v>
      </c>
      <c r="B32" s="276"/>
      <c r="C32" s="276">
        <f t="shared" ref="C32:W32" si="5">+SUM(C8:C30)</f>
        <v>0</v>
      </c>
      <c r="D32" s="276">
        <f t="shared" si="5"/>
        <v>0</v>
      </c>
      <c r="E32" s="276">
        <f t="shared" si="5"/>
        <v>0</v>
      </c>
      <c r="F32" s="276">
        <f t="shared" si="5"/>
        <v>19.882000000000001</v>
      </c>
      <c r="G32" s="276">
        <f t="shared" si="5"/>
        <v>0</v>
      </c>
      <c r="H32" s="276">
        <f t="shared" si="5"/>
        <v>0</v>
      </c>
      <c r="I32" s="276">
        <f t="shared" si="5"/>
        <v>0</v>
      </c>
      <c r="J32" s="276">
        <f t="shared" si="5"/>
        <v>19.882000000000001</v>
      </c>
      <c r="K32" s="276">
        <f t="shared" si="5"/>
        <v>0</v>
      </c>
      <c r="L32" s="276">
        <f t="shared" si="5"/>
        <v>0</v>
      </c>
      <c r="M32" s="276">
        <f t="shared" si="5"/>
        <v>0</v>
      </c>
      <c r="N32" s="276">
        <f t="shared" si="5"/>
        <v>473.77800000000002</v>
      </c>
      <c r="O32" s="276">
        <f t="shared" si="5"/>
        <v>0</v>
      </c>
      <c r="P32" s="276">
        <f t="shared" si="5"/>
        <v>0</v>
      </c>
      <c r="Q32" s="276">
        <f t="shared" si="5"/>
        <v>0</v>
      </c>
      <c r="R32" s="276">
        <f t="shared" si="5"/>
        <v>19.882000000000001</v>
      </c>
      <c r="S32" s="276">
        <f t="shared" si="5"/>
        <v>0</v>
      </c>
      <c r="T32" s="276">
        <f t="shared" si="5"/>
        <v>0</v>
      </c>
      <c r="U32" s="276">
        <f t="shared" si="5"/>
        <v>0</v>
      </c>
      <c r="V32" s="276">
        <f t="shared" si="5"/>
        <v>0</v>
      </c>
      <c r="W32" s="276">
        <f t="shared" si="5"/>
        <v>533.42399999999998</v>
      </c>
    </row>
    <row r="33" spans="1:29">
      <c r="A33" s="276"/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</row>
    <row r="34" spans="1:29">
      <c r="A34" s="276" t="s">
        <v>633</v>
      </c>
      <c r="B34" s="276"/>
      <c r="C34" s="276">
        <f t="shared" ref="C34:W34" si="6">C74</f>
        <v>0</v>
      </c>
      <c r="D34" s="276">
        <f t="shared" si="6"/>
        <v>0</v>
      </c>
      <c r="E34" s="276">
        <f t="shared" si="6"/>
        <v>0</v>
      </c>
      <c r="F34" s="276">
        <f t="shared" si="6"/>
        <v>180</v>
      </c>
      <c r="G34" s="276">
        <f t="shared" si="6"/>
        <v>0</v>
      </c>
      <c r="H34" s="276">
        <f t="shared" si="6"/>
        <v>0</v>
      </c>
      <c r="I34" s="276">
        <f t="shared" si="6"/>
        <v>0</v>
      </c>
      <c r="J34" s="276">
        <f t="shared" si="6"/>
        <v>180</v>
      </c>
      <c r="K34" s="276">
        <f t="shared" si="6"/>
        <v>0</v>
      </c>
      <c r="L34" s="276">
        <f t="shared" si="6"/>
        <v>0</v>
      </c>
      <c r="M34" s="276">
        <f t="shared" si="6"/>
        <v>0</v>
      </c>
      <c r="N34" s="276">
        <f t="shared" si="6"/>
        <v>775</v>
      </c>
      <c r="O34" s="276">
        <f t="shared" si="6"/>
        <v>0</v>
      </c>
      <c r="P34" s="276">
        <f t="shared" si="6"/>
        <v>0</v>
      </c>
      <c r="Q34" s="276">
        <f t="shared" si="6"/>
        <v>0</v>
      </c>
      <c r="R34" s="276">
        <f t="shared" si="6"/>
        <v>180</v>
      </c>
      <c r="S34" s="276">
        <f t="shared" si="6"/>
        <v>0</v>
      </c>
      <c r="T34" s="276">
        <f t="shared" si="6"/>
        <v>0</v>
      </c>
      <c r="U34" s="276">
        <f t="shared" si="6"/>
        <v>0</v>
      </c>
      <c r="V34" s="276">
        <f t="shared" si="6"/>
        <v>0</v>
      </c>
      <c r="W34" s="276">
        <f t="shared" si="6"/>
        <v>1315</v>
      </c>
      <c r="AC34" s="144" t="s">
        <v>634</v>
      </c>
    </row>
    <row r="35" spans="1:29">
      <c r="A35" s="27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AC35" s="144" t="s">
        <v>635</v>
      </c>
    </row>
    <row r="36" spans="1:29">
      <c r="A36" s="276" t="s">
        <v>636</v>
      </c>
      <c r="B36" s="276"/>
      <c r="C36" s="276">
        <f t="shared" ref="C36:W36" si="7">+(C32+C34)</f>
        <v>0</v>
      </c>
      <c r="D36" s="276">
        <f t="shared" si="7"/>
        <v>0</v>
      </c>
      <c r="E36" s="276">
        <f t="shared" si="7"/>
        <v>0</v>
      </c>
      <c r="F36" s="276">
        <f t="shared" si="7"/>
        <v>199.88200000000001</v>
      </c>
      <c r="G36" s="276">
        <f t="shared" si="7"/>
        <v>0</v>
      </c>
      <c r="H36" s="276">
        <f t="shared" si="7"/>
        <v>0</v>
      </c>
      <c r="I36" s="276">
        <f t="shared" si="7"/>
        <v>0</v>
      </c>
      <c r="J36" s="276">
        <f t="shared" si="7"/>
        <v>199.88200000000001</v>
      </c>
      <c r="K36" s="276">
        <f t="shared" si="7"/>
        <v>0</v>
      </c>
      <c r="L36" s="276">
        <f t="shared" si="7"/>
        <v>0</v>
      </c>
      <c r="M36" s="276">
        <f t="shared" si="7"/>
        <v>0</v>
      </c>
      <c r="N36" s="276">
        <f t="shared" si="7"/>
        <v>1248.778</v>
      </c>
      <c r="O36" s="276">
        <f t="shared" si="7"/>
        <v>0</v>
      </c>
      <c r="P36" s="276">
        <f t="shared" si="7"/>
        <v>0</v>
      </c>
      <c r="Q36" s="276">
        <f t="shared" si="7"/>
        <v>0</v>
      </c>
      <c r="R36" s="276">
        <f t="shared" si="7"/>
        <v>199.88200000000001</v>
      </c>
      <c r="S36" s="276">
        <f t="shared" si="7"/>
        <v>0</v>
      </c>
      <c r="T36" s="276">
        <f t="shared" si="7"/>
        <v>0</v>
      </c>
      <c r="U36" s="276">
        <f t="shared" si="7"/>
        <v>0</v>
      </c>
      <c r="V36" s="276">
        <f t="shared" si="7"/>
        <v>0</v>
      </c>
      <c r="W36" s="337">
        <f t="shared" si="7"/>
        <v>1848.424</v>
      </c>
      <c r="AC36" s="338">
        <f>(W36*1000)/2400</f>
        <v>770.17666666666662</v>
      </c>
    </row>
    <row r="39" spans="1:29">
      <c r="A39" s="327" t="s">
        <v>607</v>
      </c>
      <c r="B39" s="327"/>
      <c r="C39" s="328">
        <f t="shared" ref="C39:V39" si="8">C1</f>
        <v>2001</v>
      </c>
      <c r="D39" s="329">
        <f t="shared" si="8"/>
        <v>2002</v>
      </c>
      <c r="E39" s="329">
        <f t="shared" si="8"/>
        <v>2003</v>
      </c>
      <c r="F39" s="329">
        <f t="shared" si="8"/>
        <v>2004</v>
      </c>
      <c r="G39" s="329">
        <f t="shared" si="8"/>
        <v>2005</v>
      </c>
      <c r="H39" s="329">
        <f t="shared" si="8"/>
        <v>2006</v>
      </c>
      <c r="I39" s="329">
        <f t="shared" si="8"/>
        <v>2007</v>
      </c>
      <c r="J39" s="329">
        <f t="shared" si="8"/>
        <v>2008</v>
      </c>
      <c r="K39" s="329">
        <f t="shared" si="8"/>
        <v>2009</v>
      </c>
      <c r="L39" s="329">
        <f t="shared" si="8"/>
        <v>2010</v>
      </c>
      <c r="M39" s="329">
        <f t="shared" si="8"/>
        <v>2011</v>
      </c>
      <c r="N39" s="329">
        <f t="shared" si="8"/>
        <v>2012</v>
      </c>
      <c r="O39" s="329">
        <f t="shared" si="8"/>
        <v>2013</v>
      </c>
      <c r="P39" s="329">
        <f t="shared" si="8"/>
        <v>2014</v>
      </c>
      <c r="Q39" s="329">
        <f t="shared" si="8"/>
        <v>2015</v>
      </c>
      <c r="R39" s="329">
        <f t="shared" si="8"/>
        <v>2016</v>
      </c>
      <c r="S39" s="329">
        <f t="shared" si="8"/>
        <v>2017</v>
      </c>
      <c r="T39" s="329">
        <f t="shared" si="8"/>
        <v>2018</v>
      </c>
      <c r="U39" s="329">
        <f t="shared" si="8"/>
        <v>2019</v>
      </c>
      <c r="V39" s="329">
        <f t="shared" si="8"/>
        <v>2020</v>
      </c>
    </row>
    <row r="40" spans="1:29">
      <c r="A40" s="327" t="s">
        <v>600</v>
      </c>
      <c r="B40" s="205">
        <v>0</v>
      </c>
      <c r="C40" s="205">
        <f t="shared" ref="C40:V40" si="9">C2</f>
        <v>1</v>
      </c>
      <c r="D40" s="205">
        <f t="shared" si="9"/>
        <v>2</v>
      </c>
      <c r="E40" s="205">
        <f t="shared" si="9"/>
        <v>3</v>
      </c>
      <c r="F40" s="205">
        <f t="shared" si="9"/>
        <v>4</v>
      </c>
      <c r="G40" s="205">
        <f t="shared" si="9"/>
        <v>5</v>
      </c>
      <c r="H40" s="205">
        <f t="shared" si="9"/>
        <v>6</v>
      </c>
      <c r="I40" s="205">
        <f t="shared" si="9"/>
        <v>7</v>
      </c>
      <c r="J40" s="205">
        <f t="shared" si="9"/>
        <v>8</v>
      </c>
      <c r="K40" s="205">
        <f t="shared" si="9"/>
        <v>9</v>
      </c>
      <c r="L40" s="205">
        <f t="shared" si="9"/>
        <v>10</v>
      </c>
      <c r="M40" s="205">
        <f t="shared" si="9"/>
        <v>11</v>
      </c>
      <c r="N40" s="205">
        <f t="shared" si="9"/>
        <v>12</v>
      </c>
      <c r="O40" s="205">
        <f t="shared" si="9"/>
        <v>13</v>
      </c>
      <c r="P40" s="205">
        <f t="shared" si="9"/>
        <v>14</v>
      </c>
      <c r="Q40" s="205">
        <f t="shared" si="9"/>
        <v>15</v>
      </c>
      <c r="R40" s="205">
        <f t="shared" si="9"/>
        <v>16</v>
      </c>
      <c r="S40" s="205">
        <f t="shared" si="9"/>
        <v>17</v>
      </c>
      <c r="T40" s="205">
        <f t="shared" si="9"/>
        <v>18</v>
      </c>
      <c r="U40" s="205">
        <f t="shared" si="9"/>
        <v>19</v>
      </c>
      <c r="V40" s="205">
        <f t="shared" si="9"/>
        <v>20</v>
      </c>
    </row>
    <row r="41" spans="1:29">
      <c r="A41" s="330" t="s">
        <v>608</v>
      </c>
      <c r="B41" s="205"/>
      <c r="C41" s="234">
        <f t="shared" ref="C41:V41" si="10">C3</f>
        <v>0</v>
      </c>
      <c r="D41" s="234">
        <f t="shared" si="10"/>
        <v>0</v>
      </c>
      <c r="E41" s="234">
        <f t="shared" si="10"/>
        <v>0</v>
      </c>
      <c r="F41" s="234" t="str">
        <f t="shared" si="10"/>
        <v>C</v>
      </c>
      <c r="G41" s="234">
        <f t="shared" si="10"/>
        <v>0</v>
      </c>
      <c r="H41" s="234">
        <f t="shared" si="10"/>
        <v>0</v>
      </c>
      <c r="I41" s="234">
        <f t="shared" si="10"/>
        <v>0</v>
      </c>
      <c r="J41" s="234" t="str">
        <f t="shared" si="10"/>
        <v>C</v>
      </c>
      <c r="K41" s="234">
        <f t="shared" si="10"/>
        <v>0</v>
      </c>
      <c r="L41" s="234">
        <f t="shared" si="10"/>
        <v>0</v>
      </c>
      <c r="M41" s="234">
        <f t="shared" si="10"/>
        <v>0</v>
      </c>
      <c r="N41" s="234" t="str">
        <f t="shared" si="10"/>
        <v>H</v>
      </c>
      <c r="O41" s="234">
        <f t="shared" si="10"/>
        <v>0</v>
      </c>
      <c r="P41" s="234">
        <f t="shared" si="10"/>
        <v>0</v>
      </c>
      <c r="Q41" s="234">
        <f t="shared" si="10"/>
        <v>0</v>
      </c>
      <c r="R41" s="234" t="str">
        <f t="shared" si="10"/>
        <v>C</v>
      </c>
      <c r="S41" s="234">
        <f t="shared" si="10"/>
        <v>0</v>
      </c>
      <c r="T41" s="234">
        <f t="shared" si="10"/>
        <v>0</v>
      </c>
      <c r="U41" s="234">
        <f t="shared" si="10"/>
        <v>0</v>
      </c>
      <c r="V41" s="234" t="str">
        <f t="shared" si="10"/>
        <v>C</v>
      </c>
    </row>
    <row r="42" spans="1:29">
      <c r="A42" s="327" t="s">
        <v>609</v>
      </c>
      <c r="B42" s="331"/>
      <c r="C42" s="205">
        <f t="shared" ref="C42:V42" si="11">C4</f>
        <v>1200</v>
      </c>
      <c r="D42" s="205">
        <f t="shared" si="11"/>
        <v>2400</v>
      </c>
      <c r="E42" s="205">
        <f t="shared" si="11"/>
        <v>3600</v>
      </c>
      <c r="F42" s="205">
        <f t="shared" si="11"/>
        <v>4800</v>
      </c>
      <c r="G42" s="205">
        <f t="shared" si="11"/>
        <v>6000</v>
      </c>
      <c r="H42" s="205">
        <f t="shared" si="11"/>
        <v>7200</v>
      </c>
      <c r="I42" s="205">
        <f t="shared" si="11"/>
        <v>8400</v>
      </c>
      <c r="J42" s="205">
        <f t="shared" si="11"/>
        <v>9600</v>
      </c>
      <c r="K42" s="205">
        <f t="shared" si="11"/>
        <v>10800</v>
      </c>
      <c r="L42" s="205">
        <f t="shared" si="11"/>
        <v>12000</v>
      </c>
      <c r="M42" s="205">
        <f t="shared" si="11"/>
        <v>13200</v>
      </c>
      <c r="N42" s="205">
        <f t="shared" si="11"/>
        <v>14400</v>
      </c>
      <c r="O42" s="205">
        <f t="shared" si="11"/>
        <v>15600</v>
      </c>
      <c r="P42" s="205">
        <f t="shared" si="11"/>
        <v>16800</v>
      </c>
      <c r="Q42" s="205">
        <f t="shared" si="11"/>
        <v>18000</v>
      </c>
      <c r="R42" s="205">
        <f t="shared" si="11"/>
        <v>19200</v>
      </c>
      <c r="S42" s="205">
        <f t="shared" si="11"/>
        <v>20400</v>
      </c>
      <c r="T42" s="205">
        <f t="shared" si="11"/>
        <v>21600</v>
      </c>
      <c r="U42" s="205">
        <f t="shared" si="11"/>
        <v>22800</v>
      </c>
      <c r="V42" s="205">
        <f t="shared" si="11"/>
        <v>24000</v>
      </c>
    </row>
    <row r="43" spans="1:29">
      <c r="A43" s="330" t="s">
        <v>610</v>
      </c>
      <c r="B43" s="205"/>
      <c r="C43" s="205">
        <f t="shared" ref="C43:V43" si="12">C5</f>
        <v>100</v>
      </c>
      <c r="D43" s="205">
        <f t="shared" si="12"/>
        <v>200</v>
      </c>
      <c r="E43" s="205">
        <f t="shared" si="12"/>
        <v>300</v>
      </c>
      <c r="F43" s="205">
        <f t="shared" si="12"/>
        <v>400</v>
      </c>
      <c r="G43" s="205">
        <f t="shared" si="12"/>
        <v>500</v>
      </c>
      <c r="H43" s="205">
        <f t="shared" si="12"/>
        <v>600</v>
      </c>
      <c r="I43" s="205">
        <f t="shared" si="12"/>
        <v>700</v>
      </c>
      <c r="J43" s="205">
        <f t="shared" si="12"/>
        <v>800</v>
      </c>
      <c r="K43" s="205">
        <f t="shared" si="12"/>
        <v>900</v>
      </c>
      <c r="L43" s="205">
        <f t="shared" si="12"/>
        <v>1000</v>
      </c>
      <c r="M43" s="205">
        <f t="shared" si="12"/>
        <v>1100</v>
      </c>
      <c r="N43" s="205">
        <f t="shared" si="12"/>
        <v>1200</v>
      </c>
      <c r="O43" s="205">
        <f t="shared" si="12"/>
        <v>1300</v>
      </c>
      <c r="P43" s="205">
        <f t="shared" si="12"/>
        <v>1400</v>
      </c>
      <c r="Q43" s="205">
        <f t="shared" si="12"/>
        <v>1500</v>
      </c>
      <c r="R43" s="205">
        <f t="shared" si="12"/>
        <v>1600</v>
      </c>
      <c r="S43" s="205">
        <f t="shared" si="12"/>
        <v>1700</v>
      </c>
      <c r="T43" s="205">
        <f t="shared" si="12"/>
        <v>1800</v>
      </c>
      <c r="U43" s="205">
        <f t="shared" si="12"/>
        <v>1900</v>
      </c>
      <c r="V43" s="205">
        <f t="shared" si="12"/>
        <v>2000</v>
      </c>
      <c r="W43" s="336" t="s">
        <v>362</v>
      </c>
    </row>
    <row r="44" spans="1:29">
      <c r="A44" s="339"/>
      <c r="B44" s="340"/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</row>
    <row r="45" spans="1:29">
      <c r="A45" s="336" t="s">
        <v>637</v>
      </c>
      <c r="B45" s="341"/>
      <c r="C45" s="205"/>
      <c r="D45" s="341"/>
      <c r="E45" s="342"/>
      <c r="F45" s="341">
        <f>$G$146</f>
        <v>25</v>
      </c>
      <c r="G45" s="341"/>
      <c r="H45" s="342"/>
      <c r="I45" s="341"/>
      <c r="J45" s="341">
        <f>$G$146</f>
        <v>25</v>
      </c>
      <c r="K45" s="342"/>
      <c r="L45" s="341"/>
      <c r="M45" s="341"/>
      <c r="N45" s="341">
        <f>$G$147</f>
        <v>100</v>
      </c>
      <c r="O45" s="341"/>
      <c r="P45" s="341"/>
      <c r="Q45" s="342"/>
      <c r="R45" s="341">
        <f>$G$146</f>
        <v>25</v>
      </c>
      <c r="S45" s="205"/>
      <c r="T45" s="342"/>
      <c r="U45" s="341"/>
      <c r="V45" s="341"/>
      <c r="W45" s="336">
        <f>+SUM(C45:V45)</f>
        <v>175</v>
      </c>
    </row>
    <row r="46" spans="1:29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N46" s="167"/>
      <c r="O46" s="167"/>
      <c r="P46" s="167"/>
      <c r="Q46" s="167"/>
      <c r="S46" s="167"/>
      <c r="T46" s="343"/>
      <c r="W46" s="193"/>
    </row>
    <row r="47" spans="1:29">
      <c r="A47" s="336" t="s">
        <v>604</v>
      </c>
      <c r="K47" s="137"/>
      <c r="T47" s="276"/>
      <c r="W47" s="193"/>
    </row>
    <row r="48" spans="1:29">
      <c r="A48" s="205" t="s">
        <v>611</v>
      </c>
      <c r="B48" s="205">
        <f t="shared" ref="B48:B69" si="13">G122</f>
        <v>50</v>
      </c>
      <c r="C48" s="205"/>
      <c r="D48" s="205"/>
      <c r="E48" s="205"/>
      <c r="F48" s="205">
        <f>$B48</f>
        <v>50</v>
      </c>
      <c r="G48" s="205"/>
      <c r="H48" s="205"/>
      <c r="I48" s="205"/>
      <c r="J48" s="205">
        <f>$B48</f>
        <v>50</v>
      </c>
      <c r="K48" s="205"/>
      <c r="L48" s="205"/>
      <c r="M48" s="205"/>
      <c r="N48" s="205">
        <f>$B48</f>
        <v>50</v>
      </c>
      <c r="O48" s="205"/>
      <c r="P48" s="205"/>
      <c r="Q48" s="205"/>
      <c r="R48" s="205">
        <f>$B48</f>
        <v>50</v>
      </c>
      <c r="S48" s="205"/>
      <c r="T48" s="205"/>
      <c r="U48" s="205"/>
      <c r="V48" s="205"/>
      <c r="W48" s="336">
        <f t="shared" ref="W48:W70" si="14">+SUM(C48:V48)</f>
        <v>200</v>
      </c>
    </row>
    <row r="49" spans="1:23">
      <c r="A49" s="205" t="s">
        <v>605</v>
      </c>
      <c r="B49" s="335">
        <f t="shared" si="13"/>
        <v>30</v>
      </c>
      <c r="C49" s="205"/>
      <c r="D49" s="205"/>
      <c r="E49" s="205"/>
      <c r="F49" s="205">
        <f>$B49</f>
        <v>30</v>
      </c>
      <c r="G49" s="205"/>
      <c r="H49" s="205"/>
      <c r="I49" s="205"/>
      <c r="J49" s="205">
        <f>$B49</f>
        <v>30</v>
      </c>
      <c r="K49" s="205"/>
      <c r="L49" s="205"/>
      <c r="M49" s="205"/>
      <c r="N49" s="205">
        <f>$B49</f>
        <v>30</v>
      </c>
      <c r="O49" s="205"/>
      <c r="P49" s="205"/>
      <c r="Q49" s="205"/>
      <c r="R49" s="205">
        <f>$B49</f>
        <v>30</v>
      </c>
      <c r="S49" s="205"/>
      <c r="T49" s="205"/>
      <c r="U49" s="205"/>
      <c r="V49" s="205"/>
      <c r="W49" s="336">
        <f t="shared" si="14"/>
        <v>120</v>
      </c>
    </row>
    <row r="50" spans="1:23">
      <c r="A50" s="205" t="s">
        <v>612</v>
      </c>
      <c r="B50" s="335" t="str">
        <f t="shared" si="13"/>
        <v>NA</v>
      </c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336">
        <f t="shared" si="14"/>
        <v>0</v>
      </c>
    </row>
    <row r="51" spans="1:23">
      <c r="A51" s="205" t="s">
        <v>613</v>
      </c>
      <c r="B51" s="335">
        <f t="shared" si="13"/>
        <v>75</v>
      </c>
      <c r="C51" s="205"/>
      <c r="D51" s="205"/>
      <c r="E51" s="205"/>
      <c r="F51" s="205">
        <f>$B51</f>
        <v>75</v>
      </c>
      <c r="G51" s="205"/>
      <c r="H51" s="205"/>
      <c r="I51" s="205"/>
      <c r="J51" s="205">
        <f>$B51</f>
        <v>75</v>
      </c>
      <c r="K51" s="205"/>
      <c r="L51" s="205"/>
      <c r="M51" s="205"/>
      <c r="N51" s="205"/>
      <c r="O51" s="205"/>
      <c r="P51" s="205"/>
      <c r="Q51" s="205"/>
      <c r="R51" s="205">
        <f>$B51</f>
        <v>75</v>
      </c>
      <c r="S51" s="205"/>
      <c r="T51" s="205"/>
      <c r="U51" s="205"/>
      <c r="V51" s="205"/>
      <c r="W51" s="336">
        <f t="shared" si="14"/>
        <v>225</v>
      </c>
    </row>
    <row r="52" spans="1:23">
      <c r="A52" s="205" t="s">
        <v>614</v>
      </c>
      <c r="B52" s="335">
        <f t="shared" si="13"/>
        <v>75</v>
      </c>
      <c r="C52" s="335"/>
      <c r="D52" s="205"/>
      <c r="E52" s="205"/>
      <c r="F52" s="205"/>
      <c r="G52" s="205"/>
      <c r="H52" s="205"/>
      <c r="I52" s="205"/>
      <c r="J52" s="205"/>
      <c r="K52" s="335"/>
      <c r="L52" s="205"/>
      <c r="M52" s="205"/>
      <c r="N52" s="205">
        <f t="shared" ref="N52:N60" si="15">$B52</f>
        <v>75</v>
      </c>
      <c r="O52" s="205"/>
      <c r="P52" s="205"/>
      <c r="Q52" s="205"/>
      <c r="R52" s="205"/>
      <c r="S52" s="205"/>
      <c r="T52" s="205"/>
      <c r="U52" s="205"/>
      <c r="V52" s="205"/>
      <c r="W52" s="336">
        <f t="shared" si="14"/>
        <v>75</v>
      </c>
    </row>
    <row r="53" spans="1:23">
      <c r="A53" s="205" t="s">
        <v>615</v>
      </c>
      <c r="B53" s="335">
        <f t="shared" si="13"/>
        <v>75</v>
      </c>
      <c r="C53" s="335"/>
      <c r="D53" s="205"/>
      <c r="E53" s="335"/>
      <c r="F53" s="205"/>
      <c r="G53" s="205"/>
      <c r="H53" s="205"/>
      <c r="I53" s="205"/>
      <c r="J53" s="205"/>
      <c r="K53" s="335"/>
      <c r="L53" s="205"/>
      <c r="M53" s="205"/>
      <c r="N53" s="205">
        <f t="shared" si="15"/>
        <v>75</v>
      </c>
      <c r="O53" s="205"/>
      <c r="P53" s="205"/>
      <c r="Q53" s="335"/>
      <c r="R53" s="205"/>
      <c r="S53" s="205"/>
      <c r="T53" s="205"/>
      <c r="U53" s="205"/>
      <c r="V53" s="205"/>
      <c r="W53" s="336">
        <f t="shared" si="14"/>
        <v>75</v>
      </c>
    </row>
    <row r="54" spans="1:23">
      <c r="A54" s="205" t="s">
        <v>616</v>
      </c>
      <c r="B54" s="335">
        <f t="shared" si="13"/>
        <v>75</v>
      </c>
      <c r="C54" s="335"/>
      <c r="D54" s="205"/>
      <c r="E54" s="335"/>
      <c r="F54" s="205"/>
      <c r="G54" s="205"/>
      <c r="H54" s="205"/>
      <c r="I54" s="205"/>
      <c r="J54" s="205"/>
      <c r="K54" s="335"/>
      <c r="L54" s="205"/>
      <c r="M54" s="205"/>
      <c r="N54" s="205">
        <f t="shared" si="15"/>
        <v>75</v>
      </c>
      <c r="O54" s="205"/>
      <c r="P54" s="205"/>
      <c r="Q54" s="335"/>
      <c r="R54" s="205"/>
      <c r="S54" s="205"/>
      <c r="T54" s="205"/>
      <c r="U54" s="205"/>
      <c r="V54" s="205"/>
      <c r="W54" s="336">
        <f t="shared" si="14"/>
        <v>75</v>
      </c>
    </row>
    <row r="55" spans="1:23">
      <c r="A55" s="205" t="s">
        <v>617</v>
      </c>
      <c r="B55" s="335">
        <f t="shared" si="13"/>
        <v>100</v>
      </c>
      <c r="C55" s="205"/>
      <c r="D55" s="205"/>
      <c r="E55" s="205"/>
      <c r="F55" s="205"/>
      <c r="G55" s="205"/>
      <c r="H55" s="205"/>
      <c r="I55" s="205"/>
      <c r="J55" s="205"/>
      <c r="K55" s="335"/>
      <c r="L55" s="205"/>
      <c r="M55" s="205"/>
      <c r="N55" s="205">
        <f t="shared" si="15"/>
        <v>100</v>
      </c>
      <c r="O55" s="205"/>
      <c r="P55" s="335"/>
      <c r="Q55" s="205"/>
      <c r="R55" s="205"/>
      <c r="S55" s="205"/>
      <c r="T55" s="205"/>
      <c r="U55" s="205"/>
      <c r="V55" s="205"/>
      <c r="W55" s="336">
        <f t="shared" si="14"/>
        <v>100</v>
      </c>
    </row>
    <row r="56" spans="1:23">
      <c r="A56" s="205" t="s">
        <v>618</v>
      </c>
      <c r="B56" s="335">
        <f t="shared" si="13"/>
        <v>75</v>
      </c>
      <c r="C56" s="205"/>
      <c r="D56" s="205"/>
      <c r="E56" s="335"/>
      <c r="F56" s="205"/>
      <c r="G56" s="205"/>
      <c r="H56" s="205"/>
      <c r="I56" s="205"/>
      <c r="J56" s="205"/>
      <c r="K56" s="335"/>
      <c r="L56" s="205"/>
      <c r="M56" s="205"/>
      <c r="N56" s="205">
        <f t="shared" si="15"/>
        <v>75</v>
      </c>
      <c r="O56" s="205"/>
      <c r="P56" s="335"/>
      <c r="Q56" s="335"/>
      <c r="R56" s="205"/>
      <c r="S56" s="205"/>
      <c r="T56" s="205"/>
      <c r="U56" s="205"/>
      <c r="V56" s="205"/>
      <c r="W56" s="336">
        <f t="shared" si="14"/>
        <v>75</v>
      </c>
    </row>
    <row r="57" spans="1:23">
      <c r="A57" s="205" t="s">
        <v>619</v>
      </c>
      <c r="B57" s="335">
        <f t="shared" si="13"/>
        <v>75</v>
      </c>
      <c r="C57" s="205"/>
      <c r="D57" s="205"/>
      <c r="E57" s="335"/>
      <c r="F57" s="205"/>
      <c r="G57" s="205"/>
      <c r="H57" s="205"/>
      <c r="I57" s="205"/>
      <c r="J57" s="205"/>
      <c r="K57" s="335"/>
      <c r="L57" s="205"/>
      <c r="M57" s="205"/>
      <c r="N57" s="205">
        <f t="shared" si="15"/>
        <v>75</v>
      </c>
      <c r="O57" s="205"/>
      <c r="P57" s="335"/>
      <c r="Q57" s="335"/>
      <c r="R57" s="205"/>
      <c r="S57" s="205"/>
      <c r="T57" s="205"/>
      <c r="U57" s="205"/>
      <c r="V57" s="205"/>
      <c r="W57" s="336">
        <f t="shared" si="14"/>
        <v>75</v>
      </c>
    </row>
    <row r="58" spans="1:23">
      <c r="A58" s="205" t="s">
        <v>638</v>
      </c>
      <c r="B58" s="335">
        <f t="shared" si="13"/>
        <v>30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>
        <f t="shared" si="15"/>
        <v>30</v>
      </c>
      <c r="O58" s="205"/>
      <c r="P58" s="205"/>
      <c r="Q58" s="205"/>
      <c r="R58" s="205"/>
      <c r="S58" s="205"/>
      <c r="T58" s="205"/>
      <c r="U58" s="205"/>
      <c r="V58" s="205"/>
      <c r="W58" s="336">
        <f t="shared" si="14"/>
        <v>30</v>
      </c>
    </row>
    <row r="59" spans="1:23">
      <c r="A59" s="205" t="s">
        <v>621</v>
      </c>
      <c r="B59" s="335">
        <f t="shared" si="13"/>
        <v>30</v>
      </c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>
        <f t="shared" si="15"/>
        <v>30</v>
      </c>
      <c r="O59" s="205"/>
      <c r="P59" s="205"/>
      <c r="Q59" s="205"/>
      <c r="R59" s="205"/>
      <c r="S59" s="205"/>
      <c r="T59" s="205"/>
      <c r="U59" s="205"/>
      <c r="V59" s="205"/>
      <c r="W59" s="336">
        <f t="shared" si="14"/>
        <v>30</v>
      </c>
    </row>
    <row r="60" spans="1:23">
      <c r="A60" s="205" t="s">
        <v>622</v>
      </c>
      <c r="B60" s="335">
        <f t="shared" si="13"/>
        <v>60</v>
      </c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>
        <f t="shared" si="15"/>
        <v>60</v>
      </c>
      <c r="O60" s="205"/>
      <c r="P60" s="205"/>
      <c r="Q60" s="205"/>
      <c r="R60" s="205"/>
      <c r="S60" s="205"/>
      <c r="T60" s="205"/>
      <c r="U60" s="205"/>
      <c r="V60" s="205"/>
      <c r="W60" s="336">
        <f t="shared" si="14"/>
        <v>60</v>
      </c>
    </row>
    <row r="61" spans="1:23">
      <c r="A61" s="205" t="s">
        <v>623</v>
      </c>
      <c r="B61" s="335" t="str">
        <f t="shared" si="13"/>
        <v>NA</v>
      </c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344"/>
      <c r="U61" s="205"/>
      <c r="V61" s="205"/>
      <c r="W61" s="336">
        <f t="shared" si="14"/>
        <v>0</v>
      </c>
    </row>
    <row r="62" spans="1:23">
      <c r="A62" s="205" t="s">
        <v>624</v>
      </c>
      <c r="B62" s="335">
        <f t="shared" si="13"/>
        <v>40</v>
      </c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336">
        <f t="shared" si="14"/>
        <v>0</v>
      </c>
    </row>
    <row r="63" spans="1:23">
      <c r="A63" s="205" t="s">
        <v>625</v>
      </c>
      <c r="B63" s="335">
        <f t="shared" si="13"/>
        <v>40</v>
      </c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342"/>
      <c r="V63" s="342"/>
      <c r="W63" s="336">
        <f t="shared" si="14"/>
        <v>0</v>
      </c>
    </row>
    <row r="64" spans="1:23">
      <c r="A64" s="205" t="s">
        <v>626</v>
      </c>
      <c r="B64" s="335">
        <f t="shared" si="13"/>
        <v>25</v>
      </c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336">
        <f t="shared" si="14"/>
        <v>0</v>
      </c>
    </row>
    <row r="65" spans="1:25">
      <c r="A65" s="205" t="s">
        <v>627</v>
      </c>
      <c r="B65" s="335" t="str">
        <f t="shared" si="13"/>
        <v>NA</v>
      </c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344"/>
      <c r="U65" s="205"/>
      <c r="V65" s="205"/>
      <c r="W65" s="336">
        <f t="shared" si="14"/>
        <v>0</v>
      </c>
    </row>
    <row r="66" spans="1:25">
      <c r="A66" s="205" t="s">
        <v>628</v>
      </c>
      <c r="B66" s="335" t="str">
        <f t="shared" si="13"/>
        <v>NA</v>
      </c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344"/>
      <c r="U66" s="205"/>
      <c r="V66" s="205"/>
      <c r="W66" s="336">
        <f t="shared" si="14"/>
        <v>0</v>
      </c>
    </row>
    <row r="67" spans="1:25">
      <c r="A67" s="205" t="s">
        <v>629</v>
      </c>
      <c r="B67" s="335" t="str">
        <f t="shared" si="13"/>
        <v>NA</v>
      </c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336">
        <f t="shared" si="14"/>
        <v>0</v>
      </c>
    </row>
    <row r="68" spans="1:25">
      <c r="A68" s="205" t="s">
        <v>630</v>
      </c>
      <c r="B68" s="335">
        <f t="shared" si="13"/>
        <v>75</v>
      </c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336">
        <f t="shared" si="14"/>
        <v>0</v>
      </c>
    </row>
    <row r="69" spans="1:25">
      <c r="A69" s="205" t="s">
        <v>631</v>
      </c>
      <c r="B69" s="335">
        <f t="shared" si="13"/>
        <v>50</v>
      </c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336">
        <f t="shared" si="14"/>
        <v>0</v>
      </c>
    </row>
    <row r="70" spans="1:25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344"/>
      <c r="U70" s="205"/>
      <c r="V70" s="205"/>
      <c r="W70" s="336">
        <f t="shared" si="14"/>
        <v>0</v>
      </c>
    </row>
    <row r="71" spans="1:25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343"/>
    </row>
    <row r="72" spans="1:25">
      <c r="A72" s="222" t="s">
        <v>639</v>
      </c>
      <c r="B72" s="222"/>
      <c r="C72" s="343">
        <f t="shared" ref="C72:W72" si="16">+SUM(C48:C70)</f>
        <v>0</v>
      </c>
      <c r="D72" s="343">
        <f t="shared" si="16"/>
        <v>0</v>
      </c>
      <c r="E72" s="343">
        <f t="shared" si="16"/>
        <v>0</v>
      </c>
      <c r="F72" s="343">
        <f t="shared" si="16"/>
        <v>155</v>
      </c>
      <c r="G72" s="343">
        <f t="shared" si="16"/>
        <v>0</v>
      </c>
      <c r="H72" s="343">
        <f t="shared" si="16"/>
        <v>0</v>
      </c>
      <c r="I72" s="343">
        <f t="shared" si="16"/>
        <v>0</v>
      </c>
      <c r="J72" s="343">
        <f t="shared" si="16"/>
        <v>155</v>
      </c>
      <c r="K72" s="343">
        <f t="shared" si="16"/>
        <v>0</v>
      </c>
      <c r="L72" s="343">
        <f t="shared" si="16"/>
        <v>0</v>
      </c>
      <c r="M72" s="343">
        <f t="shared" si="16"/>
        <v>0</v>
      </c>
      <c r="N72" s="343">
        <f t="shared" si="16"/>
        <v>675</v>
      </c>
      <c r="O72" s="343">
        <f t="shared" si="16"/>
        <v>0</v>
      </c>
      <c r="P72" s="343">
        <f t="shared" si="16"/>
        <v>0</v>
      </c>
      <c r="Q72" s="343">
        <f t="shared" si="16"/>
        <v>0</v>
      </c>
      <c r="R72" s="343">
        <f t="shared" si="16"/>
        <v>155</v>
      </c>
      <c r="S72" s="343">
        <f t="shared" si="16"/>
        <v>0</v>
      </c>
      <c r="T72" s="343">
        <f t="shared" si="16"/>
        <v>0</v>
      </c>
      <c r="U72" s="343">
        <f t="shared" si="16"/>
        <v>0</v>
      </c>
      <c r="V72" s="343">
        <f t="shared" si="16"/>
        <v>0</v>
      </c>
      <c r="W72" s="343">
        <f t="shared" si="16"/>
        <v>1140</v>
      </c>
    </row>
    <row r="73" spans="1:25">
      <c r="A73" s="222"/>
      <c r="B73" s="222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3"/>
      <c r="V73" s="343"/>
      <c r="W73" s="167"/>
    </row>
    <row r="74" spans="1:25">
      <c r="A74" s="193" t="s">
        <v>640</v>
      </c>
      <c r="B74" s="193"/>
      <c r="C74" s="343">
        <f>+SUM(C48:C72)</f>
        <v>0</v>
      </c>
      <c r="D74" s="276">
        <f t="shared" ref="D74:W74" si="17">+D72+D45</f>
        <v>0</v>
      </c>
      <c r="E74" s="276">
        <f t="shared" si="17"/>
        <v>0</v>
      </c>
      <c r="F74" s="276">
        <f t="shared" si="17"/>
        <v>180</v>
      </c>
      <c r="G74" s="276">
        <f t="shared" si="17"/>
        <v>0</v>
      </c>
      <c r="H74" s="276">
        <f t="shared" si="17"/>
        <v>0</v>
      </c>
      <c r="I74" s="276">
        <f t="shared" si="17"/>
        <v>0</v>
      </c>
      <c r="J74" s="276">
        <f t="shared" si="17"/>
        <v>180</v>
      </c>
      <c r="K74" s="276">
        <f t="shared" si="17"/>
        <v>0</v>
      </c>
      <c r="L74" s="276">
        <f t="shared" si="17"/>
        <v>0</v>
      </c>
      <c r="M74" s="276">
        <f t="shared" si="17"/>
        <v>0</v>
      </c>
      <c r="N74" s="276">
        <f t="shared" si="17"/>
        <v>775</v>
      </c>
      <c r="O74" s="276">
        <f t="shared" si="17"/>
        <v>0</v>
      </c>
      <c r="P74" s="276">
        <f t="shared" si="17"/>
        <v>0</v>
      </c>
      <c r="Q74" s="276">
        <f t="shared" si="17"/>
        <v>0</v>
      </c>
      <c r="R74" s="276">
        <f t="shared" si="17"/>
        <v>180</v>
      </c>
      <c r="S74" s="276">
        <f t="shared" si="17"/>
        <v>0</v>
      </c>
      <c r="T74" s="276">
        <f t="shared" si="17"/>
        <v>0</v>
      </c>
      <c r="U74" s="276">
        <f t="shared" si="17"/>
        <v>0</v>
      </c>
      <c r="V74" s="276">
        <f t="shared" si="17"/>
        <v>0</v>
      </c>
      <c r="W74" s="276">
        <f t="shared" si="17"/>
        <v>1315</v>
      </c>
    </row>
    <row r="77" spans="1:25">
      <c r="A77" s="193" t="s">
        <v>641</v>
      </c>
    </row>
    <row r="79" spans="1:25">
      <c r="A79" s="205" t="s">
        <v>600</v>
      </c>
      <c r="B79" s="205">
        <v>2001</v>
      </c>
      <c r="C79" s="205">
        <f t="shared" ref="C79:Y79" si="18">+B79+1</f>
        <v>2002</v>
      </c>
      <c r="D79" s="205">
        <f t="shared" si="18"/>
        <v>2003</v>
      </c>
      <c r="E79" s="205">
        <f t="shared" si="18"/>
        <v>2004</v>
      </c>
      <c r="F79" s="205">
        <f t="shared" si="18"/>
        <v>2005</v>
      </c>
      <c r="G79" s="205">
        <f t="shared" si="18"/>
        <v>2006</v>
      </c>
      <c r="H79" s="205">
        <f t="shared" si="18"/>
        <v>2007</v>
      </c>
      <c r="I79" s="205">
        <f t="shared" si="18"/>
        <v>2008</v>
      </c>
      <c r="J79" s="205">
        <f t="shared" si="18"/>
        <v>2009</v>
      </c>
      <c r="K79" s="205">
        <f t="shared" si="18"/>
        <v>2010</v>
      </c>
      <c r="L79" s="205">
        <f t="shared" si="18"/>
        <v>2011</v>
      </c>
      <c r="M79" s="205">
        <f t="shared" si="18"/>
        <v>2012</v>
      </c>
      <c r="N79" s="205">
        <f t="shared" si="18"/>
        <v>2013</v>
      </c>
      <c r="O79" s="205">
        <f t="shared" si="18"/>
        <v>2014</v>
      </c>
      <c r="P79" s="205">
        <f t="shared" si="18"/>
        <v>2015</v>
      </c>
      <c r="Q79" s="205">
        <f t="shared" si="18"/>
        <v>2016</v>
      </c>
      <c r="R79" s="205">
        <f t="shared" si="18"/>
        <v>2017</v>
      </c>
      <c r="S79" s="205">
        <f t="shared" si="18"/>
        <v>2018</v>
      </c>
      <c r="T79" s="205">
        <f t="shared" si="18"/>
        <v>2019</v>
      </c>
      <c r="U79" s="205">
        <f t="shared" si="18"/>
        <v>2020</v>
      </c>
      <c r="V79" s="205">
        <f t="shared" si="18"/>
        <v>2021</v>
      </c>
      <c r="W79" s="205">
        <f t="shared" si="18"/>
        <v>2022</v>
      </c>
      <c r="X79" s="205">
        <f t="shared" si="18"/>
        <v>2023</v>
      </c>
      <c r="Y79" s="205">
        <f t="shared" si="18"/>
        <v>2024</v>
      </c>
    </row>
    <row r="80" spans="1:25">
      <c r="A80" s="205" t="s">
        <v>642</v>
      </c>
      <c r="B80" s="335"/>
      <c r="C80" s="335"/>
      <c r="D80" s="335"/>
      <c r="E80" s="234" t="s">
        <v>601</v>
      </c>
      <c r="F80" s="335"/>
      <c r="G80" s="335"/>
      <c r="H80" s="335"/>
      <c r="I80" s="234" t="s">
        <v>601</v>
      </c>
      <c r="J80" s="335"/>
      <c r="K80" s="335"/>
      <c r="L80" s="335"/>
      <c r="M80" s="335" t="s">
        <v>602</v>
      </c>
      <c r="N80" s="335"/>
      <c r="O80" s="335"/>
      <c r="P80" s="335"/>
      <c r="Q80" s="234" t="s">
        <v>601</v>
      </c>
      <c r="R80" s="335"/>
      <c r="S80" s="335"/>
      <c r="T80" s="335"/>
      <c r="U80" s="234" t="s">
        <v>601</v>
      </c>
      <c r="V80" s="335"/>
      <c r="W80" s="335"/>
      <c r="X80" s="335"/>
      <c r="Y80" s="335" t="s">
        <v>375</v>
      </c>
    </row>
    <row r="81" spans="1:25">
      <c r="A81" s="205" t="s">
        <v>643</v>
      </c>
      <c r="B81" s="335">
        <v>1500</v>
      </c>
      <c r="C81" s="335">
        <f t="shared" ref="C81:Y81" si="19">D4</f>
        <v>2400</v>
      </c>
      <c r="D81" s="335">
        <f t="shared" si="19"/>
        <v>3600</v>
      </c>
      <c r="E81" s="335">
        <f t="shared" si="19"/>
        <v>4800</v>
      </c>
      <c r="F81" s="335">
        <f t="shared" si="19"/>
        <v>6000</v>
      </c>
      <c r="G81" s="335">
        <f t="shared" si="19"/>
        <v>7200</v>
      </c>
      <c r="H81" s="335">
        <f t="shared" si="19"/>
        <v>8400</v>
      </c>
      <c r="I81" s="335">
        <f t="shared" si="19"/>
        <v>9600</v>
      </c>
      <c r="J81" s="335">
        <f t="shared" si="19"/>
        <v>10800</v>
      </c>
      <c r="K81" s="335">
        <f t="shared" si="19"/>
        <v>12000</v>
      </c>
      <c r="L81" s="335">
        <f t="shared" si="19"/>
        <v>13200</v>
      </c>
      <c r="M81" s="335">
        <f t="shared" si="19"/>
        <v>14400</v>
      </c>
      <c r="N81" s="335">
        <f t="shared" si="19"/>
        <v>15600</v>
      </c>
      <c r="O81" s="335">
        <f t="shared" si="19"/>
        <v>16800</v>
      </c>
      <c r="P81" s="335">
        <f t="shared" si="19"/>
        <v>18000</v>
      </c>
      <c r="Q81" s="335">
        <f t="shared" si="19"/>
        <v>19200</v>
      </c>
      <c r="R81" s="335">
        <f t="shared" si="19"/>
        <v>20400</v>
      </c>
      <c r="S81" s="335">
        <f t="shared" si="19"/>
        <v>21600</v>
      </c>
      <c r="T81" s="335">
        <f t="shared" si="19"/>
        <v>22800</v>
      </c>
      <c r="U81" s="335">
        <f t="shared" si="19"/>
        <v>24000</v>
      </c>
      <c r="V81" s="335">
        <f t="shared" si="19"/>
        <v>0</v>
      </c>
      <c r="W81" s="335">
        <f t="shared" si="19"/>
        <v>0</v>
      </c>
      <c r="X81" s="335">
        <f t="shared" si="19"/>
        <v>0</v>
      </c>
      <c r="Y81" s="335">
        <f t="shared" si="19"/>
        <v>0</v>
      </c>
    </row>
    <row r="82" spans="1:25">
      <c r="A82" s="205" t="s">
        <v>610</v>
      </c>
      <c r="B82" s="335">
        <v>120</v>
      </c>
      <c r="C82" s="335">
        <f t="shared" ref="C82:Y82" si="20">D5</f>
        <v>200</v>
      </c>
      <c r="D82" s="335">
        <f t="shared" si="20"/>
        <v>300</v>
      </c>
      <c r="E82" s="335">
        <f t="shared" si="20"/>
        <v>400</v>
      </c>
      <c r="F82" s="335">
        <f t="shared" si="20"/>
        <v>500</v>
      </c>
      <c r="G82" s="335">
        <f t="shared" si="20"/>
        <v>600</v>
      </c>
      <c r="H82" s="335">
        <f t="shared" si="20"/>
        <v>700</v>
      </c>
      <c r="I82" s="335">
        <f t="shared" si="20"/>
        <v>800</v>
      </c>
      <c r="J82" s="335">
        <f t="shared" si="20"/>
        <v>900</v>
      </c>
      <c r="K82" s="335">
        <f t="shared" si="20"/>
        <v>1000</v>
      </c>
      <c r="L82" s="335">
        <f t="shared" si="20"/>
        <v>1100</v>
      </c>
      <c r="M82" s="335">
        <f t="shared" si="20"/>
        <v>1200</v>
      </c>
      <c r="N82" s="335">
        <f t="shared" si="20"/>
        <v>1300</v>
      </c>
      <c r="O82" s="335">
        <f t="shared" si="20"/>
        <v>1400</v>
      </c>
      <c r="P82" s="335">
        <f t="shared" si="20"/>
        <v>1500</v>
      </c>
      <c r="Q82" s="335">
        <f t="shared" si="20"/>
        <v>1600</v>
      </c>
      <c r="R82" s="335">
        <f t="shared" si="20"/>
        <v>1700</v>
      </c>
      <c r="S82" s="335">
        <f t="shared" si="20"/>
        <v>1800</v>
      </c>
      <c r="T82" s="335">
        <f t="shared" si="20"/>
        <v>1900</v>
      </c>
      <c r="U82" s="335">
        <f t="shared" si="20"/>
        <v>2000</v>
      </c>
      <c r="V82" s="335">
        <f t="shared" si="20"/>
        <v>0</v>
      </c>
      <c r="W82" s="335">
        <f t="shared" si="20"/>
        <v>0</v>
      </c>
      <c r="X82" s="335">
        <f t="shared" si="20"/>
        <v>0</v>
      </c>
      <c r="Y82" s="335">
        <f t="shared" si="20"/>
        <v>0</v>
      </c>
    </row>
    <row r="83" spans="1:25">
      <c r="A83" s="345"/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</row>
    <row r="84" spans="1:25">
      <c r="A84" s="331" t="s">
        <v>644</v>
      </c>
      <c r="B84" s="347"/>
      <c r="C84" s="347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47"/>
      <c r="P84" s="347"/>
      <c r="Q84" s="347"/>
      <c r="R84" s="347"/>
      <c r="S84" s="347"/>
      <c r="T84" s="347"/>
      <c r="U84" s="347"/>
      <c r="V84" s="347"/>
      <c r="W84" s="347"/>
      <c r="X84" s="347"/>
      <c r="Y84" s="347"/>
    </row>
    <row r="85" spans="1:25">
      <c r="A85" s="205" t="s">
        <v>645</v>
      </c>
      <c r="B85" s="335" t="s">
        <v>646</v>
      </c>
      <c r="C85" s="335" t="s">
        <v>646</v>
      </c>
      <c r="D85" s="335" t="s">
        <v>646</v>
      </c>
      <c r="E85" s="335" t="s">
        <v>647</v>
      </c>
      <c r="F85" s="335" t="s">
        <v>646</v>
      </c>
      <c r="G85" s="335" t="s">
        <v>646</v>
      </c>
      <c r="H85" s="335" t="s">
        <v>646</v>
      </c>
      <c r="I85" s="335" t="s">
        <v>647</v>
      </c>
      <c r="J85" s="335" t="s">
        <v>646</v>
      </c>
      <c r="K85" s="335" t="s">
        <v>646</v>
      </c>
      <c r="L85" s="335" t="s">
        <v>646</v>
      </c>
      <c r="M85" s="335" t="s">
        <v>647</v>
      </c>
      <c r="N85" s="335" t="s">
        <v>646</v>
      </c>
      <c r="O85" s="335" t="s">
        <v>646</v>
      </c>
      <c r="P85" s="335" t="s">
        <v>646</v>
      </c>
      <c r="Q85" s="335" t="s">
        <v>647</v>
      </c>
      <c r="R85" s="335" t="s">
        <v>646</v>
      </c>
      <c r="S85" s="335" t="s">
        <v>646</v>
      </c>
      <c r="T85" s="335" t="s">
        <v>646</v>
      </c>
      <c r="U85" s="335" t="s">
        <v>647</v>
      </c>
      <c r="V85" s="335" t="s">
        <v>646</v>
      </c>
      <c r="W85" s="335" t="s">
        <v>646</v>
      </c>
      <c r="X85" s="335" t="s">
        <v>646</v>
      </c>
      <c r="Y85" s="335" t="s">
        <v>646</v>
      </c>
    </row>
    <row r="86" spans="1:25">
      <c r="A86" s="205" t="s">
        <v>648</v>
      </c>
      <c r="B86" s="335" t="s">
        <v>646</v>
      </c>
      <c r="C86" s="335" t="s">
        <v>646</v>
      </c>
      <c r="D86" s="335" t="s">
        <v>646</v>
      </c>
      <c r="E86" s="335" t="s">
        <v>646</v>
      </c>
      <c r="F86" s="335" t="s">
        <v>646</v>
      </c>
      <c r="G86" s="335" t="s">
        <v>646</v>
      </c>
      <c r="H86" s="335" t="s">
        <v>646</v>
      </c>
      <c r="I86" s="335" t="s">
        <v>646</v>
      </c>
      <c r="J86" s="335" t="s">
        <v>646</v>
      </c>
      <c r="K86" s="335" t="s">
        <v>646</v>
      </c>
      <c r="L86" s="335" t="s">
        <v>646</v>
      </c>
      <c r="M86" s="335" t="s">
        <v>646</v>
      </c>
      <c r="N86" s="335" t="s">
        <v>646</v>
      </c>
      <c r="O86" s="335" t="s">
        <v>646</v>
      </c>
      <c r="P86" s="335" t="s">
        <v>646</v>
      </c>
      <c r="Q86" s="335" t="s">
        <v>646</v>
      </c>
      <c r="R86" s="335" t="s">
        <v>646</v>
      </c>
      <c r="S86" s="335" t="s">
        <v>646</v>
      </c>
      <c r="T86" s="335" t="s">
        <v>646</v>
      </c>
      <c r="U86" s="335" t="s">
        <v>646</v>
      </c>
      <c r="V86" s="335" t="s">
        <v>646</v>
      </c>
      <c r="W86" s="335" t="s">
        <v>646</v>
      </c>
      <c r="X86" s="335" t="s">
        <v>646</v>
      </c>
      <c r="Y86" s="335" t="s">
        <v>647</v>
      </c>
    </row>
    <row r="88" spans="1:25">
      <c r="A88" t="s">
        <v>649</v>
      </c>
    </row>
    <row r="89" spans="1:25">
      <c r="A89" s="348" t="s">
        <v>645</v>
      </c>
      <c r="B89" s="335" t="s">
        <v>646</v>
      </c>
      <c r="C89" s="335" t="s">
        <v>646</v>
      </c>
      <c r="D89" s="335" t="s">
        <v>646</v>
      </c>
      <c r="E89" s="335" t="s">
        <v>647</v>
      </c>
      <c r="F89" s="335" t="s">
        <v>646</v>
      </c>
      <c r="G89" s="335" t="s">
        <v>646</v>
      </c>
      <c r="H89" s="335" t="s">
        <v>646</v>
      </c>
      <c r="I89" s="335" t="s">
        <v>647</v>
      </c>
      <c r="J89" s="335" t="s">
        <v>646</v>
      </c>
      <c r="K89" s="335" t="s">
        <v>646</v>
      </c>
      <c r="L89" s="335" t="s">
        <v>646</v>
      </c>
      <c r="M89" s="335" t="s">
        <v>647</v>
      </c>
      <c r="N89" s="335" t="s">
        <v>646</v>
      </c>
      <c r="O89" s="335" t="s">
        <v>646</v>
      </c>
      <c r="P89" s="335" t="s">
        <v>646</v>
      </c>
      <c r="Q89" s="335" t="s">
        <v>647</v>
      </c>
      <c r="R89" s="335" t="s">
        <v>646</v>
      </c>
      <c r="S89" s="335" t="s">
        <v>646</v>
      </c>
      <c r="T89" s="335" t="s">
        <v>646</v>
      </c>
      <c r="U89" s="335" t="s">
        <v>646</v>
      </c>
      <c r="V89" s="335" t="s">
        <v>646</v>
      </c>
      <c r="W89" s="335" t="s">
        <v>646</v>
      </c>
      <c r="X89" s="335" t="s">
        <v>646</v>
      </c>
      <c r="Y89" s="335" t="s">
        <v>647</v>
      </c>
    </row>
    <row r="90" spans="1:25">
      <c r="A90" s="348" t="s">
        <v>648</v>
      </c>
      <c r="B90" s="335" t="s">
        <v>646</v>
      </c>
      <c r="C90" s="335" t="s">
        <v>646</v>
      </c>
      <c r="D90" s="335" t="s">
        <v>646</v>
      </c>
      <c r="E90" s="335" t="s">
        <v>646</v>
      </c>
      <c r="F90" s="335" t="s">
        <v>646</v>
      </c>
      <c r="G90" s="335" t="s">
        <v>646</v>
      </c>
      <c r="H90" s="335" t="s">
        <v>646</v>
      </c>
      <c r="I90" s="335" t="s">
        <v>646</v>
      </c>
      <c r="J90" s="335" t="s">
        <v>646</v>
      </c>
      <c r="K90" s="335" t="s">
        <v>646</v>
      </c>
      <c r="L90" s="335" t="s">
        <v>646</v>
      </c>
      <c r="M90" s="335" t="s">
        <v>646</v>
      </c>
      <c r="N90" s="335" t="s">
        <v>646</v>
      </c>
      <c r="O90" s="335" t="s">
        <v>646</v>
      </c>
      <c r="P90" s="335" t="s">
        <v>646</v>
      </c>
      <c r="Q90" s="335" t="s">
        <v>646</v>
      </c>
      <c r="R90" s="335" t="s">
        <v>646</v>
      </c>
      <c r="S90" s="335" t="s">
        <v>646</v>
      </c>
      <c r="T90" s="335" t="s">
        <v>646</v>
      </c>
      <c r="U90" s="335" t="s">
        <v>647</v>
      </c>
      <c r="V90" s="335" t="s">
        <v>646</v>
      </c>
      <c r="W90" s="335" t="s">
        <v>646</v>
      </c>
      <c r="X90" s="335" t="s">
        <v>646</v>
      </c>
      <c r="Y90" s="335" t="s">
        <v>646</v>
      </c>
    </row>
    <row r="92" spans="1:25">
      <c r="A92" t="s">
        <v>650</v>
      </c>
    </row>
    <row r="93" spans="1:25">
      <c r="A93" s="205" t="s">
        <v>645</v>
      </c>
      <c r="B93" s="335" t="s">
        <v>646</v>
      </c>
      <c r="C93" s="335" t="s">
        <v>646</v>
      </c>
      <c r="D93" s="335" t="s">
        <v>646</v>
      </c>
      <c r="E93" s="335" t="s">
        <v>647</v>
      </c>
      <c r="F93" s="335" t="s">
        <v>646</v>
      </c>
      <c r="G93" s="335" t="s">
        <v>646</v>
      </c>
      <c r="H93" s="335" t="s">
        <v>646</v>
      </c>
      <c r="I93" s="335" t="s">
        <v>647</v>
      </c>
      <c r="J93" s="335" t="s">
        <v>646</v>
      </c>
      <c r="K93" s="335" t="s">
        <v>646</v>
      </c>
      <c r="L93" s="335" t="s">
        <v>646</v>
      </c>
      <c r="M93" s="335" t="s">
        <v>646</v>
      </c>
      <c r="N93" s="335" t="s">
        <v>646</v>
      </c>
      <c r="O93" s="335" t="s">
        <v>646</v>
      </c>
      <c r="P93" s="335" t="s">
        <v>646</v>
      </c>
      <c r="Q93" s="335" t="s">
        <v>647</v>
      </c>
      <c r="R93" s="335" t="s">
        <v>646</v>
      </c>
      <c r="S93" s="335" t="s">
        <v>646</v>
      </c>
      <c r="T93" s="335" t="s">
        <v>646</v>
      </c>
      <c r="U93" s="335" t="s">
        <v>647</v>
      </c>
      <c r="V93" s="335" t="s">
        <v>646</v>
      </c>
      <c r="W93" s="335" t="s">
        <v>646</v>
      </c>
      <c r="X93" s="335" t="s">
        <v>646</v>
      </c>
      <c r="Y93" s="335" t="s">
        <v>646</v>
      </c>
    </row>
    <row r="94" spans="1:25">
      <c r="A94" s="205" t="s">
        <v>648</v>
      </c>
      <c r="B94" s="335" t="s">
        <v>646</v>
      </c>
      <c r="C94" s="335" t="s">
        <v>646</v>
      </c>
      <c r="D94" s="335" t="s">
        <v>646</v>
      </c>
      <c r="E94" s="335" t="s">
        <v>646</v>
      </c>
      <c r="F94" s="335" t="s">
        <v>646</v>
      </c>
      <c r="G94" s="335" t="s">
        <v>646</v>
      </c>
      <c r="H94" s="335" t="s">
        <v>646</v>
      </c>
      <c r="I94" s="335" t="s">
        <v>646</v>
      </c>
      <c r="J94" s="335" t="s">
        <v>646</v>
      </c>
      <c r="K94" s="335" t="s">
        <v>646</v>
      </c>
      <c r="L94" s="335" t="s">
        <v>646</v>
      </c>
      <c r="M94" s="335" t="s">
        <v>647</v>
      </c>
      <c r="N94" s="335" t="s">
        <v>646</v>
      </c>
      <c r="O94" s="335" t="s">
        <v>646</v>
      </c>
      <c r="P94" s="335" t="s">
        <v>646</v>
      </c>
      <c r="Q94" s="335" t="s">
        <v>646</v>
      </c>
      <c r="R94" s="335" t="s">
        <v>646</v>
      </c>
      <c r="S94" s="335" t="s">
        <v>646</v>
      </c>
      <c r="T94" s="335" t="s">
        <v>646</v>
      </c>
      <c r="U94" s="335" t="s">
        <v>646</v>
      </c>
      <c r="V94" s="335" t="s">
        <v>646</v>
      </c>
      <c r="W94" s="335" t="s">
        <v>646</v>
      </c>
      <c r="X94" s="335" t="s">
        <v>646</v>
      </c>
      <c r="Y94" s="335" t="s">
        <v>647</v>
      </c>
    </row>
    <row r="96" spans="1:25">
      <c r="A96" t="s">
        <v>651</v>
      </c>
    </row>
    <row r="97" spans="1:25">
      <c r="A97" s="205" t="s">
        <v>645</v>
      </c>
      <c r="B97" s="335" t="s">
        <v>646</v>
      </c>
      <c r="C97" s="335" t="s">
        <v>646</v>
      </c>
      <c r="D97" s="335" t="s">
        <v>646</v>
      </c>
      <c r="E97" s="335" t="s">
        <v>646</v>
      </c>
      <c r="F97" s="335" t="s">
        <v>646</v>
      </c>
      <c r="G97" s="335" t="s">
        <v>646</v>
      </c>
      <c r="H97" s="335" t="s">
        <v>646</v>
      </c>
      <c r="I97" s="335" t="s">
        <v>646</v>
      </c>
      <c r="J97" s="335" t="s">
        <v>646</v>
      </c>
      <c r="K97" s="335" t="s">
        <v>646</v>
      </c>
      <c r="L97" s="335" t="s">
        <v>646</v>
      </c>
      <c r="M97" s="335" t="s">
        <v>647</v>
      </c>
      <c r="N97" s="335" t="s">
        <v>646</v>
      </c>
      <c r="O97" s="335" t="s">
        <v>646</v>
      </c>
      <c r="P97" s="335" t="s">
        <v>646</v>
      </c>
      <c r="Q97" s="335" t="s">
        <v>646</v>
      </c>
      <c r="R97" s="335" t="s">
        <v>646</v>
      </c>
      <c r="S97" s="335" t="s">
        <v>646</v>
      </c>
      <c r="T97" s="335" t="s">
        <v>646</v>
      </c>
      <c r="U97" s="335" t="s">
        <v>646</v>
      </c>
      <c r="V97" s="335" t="s">
        <v>646</v>
      </c>
      <c r="W97" s="335" t="s">
        <v>646</v>
      </c>
      <c r="X97" s="335" t="s">
        <v>646</v>
      </c>
      <c r="Y97" s="335" t="s">
        <v>647</v>
      </c>
    </row>
    <row r="98" spans="1:25">
      <c r="A98" s="205" t="s">
        <v>648</v>
      </c>
      <c r="B98" s="335" t="s">
        <v>646</v>
      </c>
      <c r="C98" s="335" t="s">
        <v>646</v>
      </c>
      <c r="D98" s="335" t="s">
        <v>646</v>
      </c>
      <c r="E98" s="335" t="s">
        <v>646</v>
      </c>
      <c r="F98" s="335" t="s">
        <v>646</v>
      </c>
      <c r="G98" s="335" t="s">
        <v>646</v>
      </c>
      <c r="H98" s="335" t="s">
        <v>646</v>
      </c>
      <c r="I98" s="335" t="s">
        <v>646</v>
      </c>
      <c r="J98" s="335" t="s">
        <v>646</v>
      </c>
      <c r="K98" s="335" t="s">
        <v>646</v>
      </c>
      <c r="L98" s="335" t="s">
        <v>646</v>
      </c>
      <c r="M98" s="335" t="s">
        <v>646</v>
      </c>
      <c r="N98" s="335" t="s">
        <v>646</v>
      </c>
      <c r="O98" s="335" t="s">
        <v>646</v>
      </c>
      <c r="P98" s="335" t="s">
        <v>646</v>
      </c>
      <c r="Q98" s="335" t="s">
        <v>646</v>
      </c>
      <c r="R98" s="335" t="s">
        <v>646</v>
      </c>
      <c r="S98" s="335" t="s">
        <v>646</v>
      </c>
      <c r="T98" s="335" t="s">
        <v>646</v>
      </c>
      <c r="U98" s="335" t="s">
        <v>646</v>
      </c>
      <c r="V98" s="335" t="s">
        <v>646</v>
      </c>
      <c r="W98" s="335" t="s">
        <v>646</v>
      </c>
      <c r="X98" s="335" t="s">
        <v>646</v>
      </c>
      <c r="Y98" s="335" t="s">
        <v>646</v>
      </c>
    </row>
    <row r="99" spans="1:25">
      <c r="A99" s="167"/>
      <c r="B99" s="333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33"/>
      <c r="P99" s="333"/>
      <c r="Q99" s="333"/>
      <c r="R99" s="333"/>
      <c r="S99" s="333"/>
      <c r="T99" s="333"/>
      <c r="U99" s="333"/>
      <c r="V99" s="333"/>
      <c r="W99" s="333"/>
      <c r="X99" s="137"/>
    </row>
    <row r="100" spans="1:25">
      <c r="A100" t="s">
        <v>652</v>
      </c>
      <c r="X100" s="137"/>
    </row>
    <row r="101" spans="1:25">
      <c r="A101" s="205" t="s">
        <v>645</v>
      </c>
      <c r="B101" s="335" t="s">
        <v>646</v>
      </c>
      <c r="C101" s="335" t="s">
        <v>646</v>
      </c>
      <c r="D101" s="335" t="s">
        <v>646</v>
      </c>
      <c r="E101" s="335" t="s">
        <v>646</v>
      </c>
      <c r="F101" s="335" t="s">
        <v>646</v>
      </c>
      <c r="G101" s="335" t="s">
        <v>646</v>
      </c>
      <c r="H101" s="335" t="s">
        <v>646</v>
      </c>
      <c r="I101" s="335" t="s">
        <v>646</v>
      </c>
      <c r="J101" s="335" t="s">
        <v>646</v>
      </c>
      <c r="K101" s="335" t="s">
        <v>646</v>
      </c>
      <c r="L101" s="335" t="s">
        <v>646</v>
      </c>
      <c r="M101" s="335" t="s">
        <v>647</v>
      </c>
      <c r="N101" s="335" t="s">
        <v>646</v>
      </c>
      <c r="O101" s="335" t="s">
        <v>646</v>
      </c>
      <c r="P101" s="335" t="s">
        <v>646</v>
      </c>
      <c r="Q101" s="335" t="s">
        <v>646</v>
      </c>
      <c r="R101" s="335" t="s">
        <v>646</v>
      </c>
      <c r="S101" s="335" t="s">
        <v>646</v>
      </c>
      <c r="T101" s="335" t="s">
        <v>646</v>
      </c>
      <c r="U101" s="335" t="s">
        <v>646</v>
      </c>
      <c r="V101" s="335" t="s">
        <v>646</v>
      </c>
      <c r="W101" s="335" t="s">
        <v>646</v>
      </c>
      <c r="X101" s="335" t="s">
        <v>646</v>
      </c>
      <c r="Y101" s="335" t="s">
        <v>647</v>
      </c>
    </row>
    <row r="102" spans="1:25">
      <c r="A102" s="205" t="s">
        <v>648</v>
      </c>
      <c r="B102" s="335" t="s">
        <v>646</v>
      </c>
      <c r="C102" s="335" t="s">
        <v>646</v>
      </c>
      <c r="D102" s="335" t="s">
        <v>646</v>
      </c>
      <c r="E102" s="335" t="s">
        <v>646</v>
      </c>
      <c r="F102" s="335" t="s">
        <v>646</v>
      </c>
      <c r="G102" s="335" t="s">
        <v>646</v>
      </c>
      <c r="H102" s="335" t="s">
        <v>646</v>
      </c>
      <c r="I102" s="335" t="s">
        <v>646</v>
      </c>
      <c r="J102" s="335" t="s">
        <v>646</v>
      </c>
      <c r="K102" s="335" t="s">
        <v>646</v>
      </c>
      <c r="L102" s="335" t="s">
        <v>646</v>
      </c>
      <c r="M102" s="335" t="s">
        <v>646</v>
      </c>
      <c r="N102" s="335" t="s">
        <v>646</v>
      </c>
      <c r="O102" s="335" t="s">
        <v>646</v>
      </c>
      <c r="P102" s="335" t="s">
        <v>646</v>
      </c>
      <c r="Q102" s="335" t="s">
        <v>646</v>
      </c>
      <c r="R102" s="335" t="s">
        <v>646</v>
      </c>
      <c r="S102" s="335" t="s">
        <v>646</v>
      </c>
      <c r="T102" s="335" t="s">
        <v>646</v>
      </c>
      <c r="U102" s="335" t="s">
        <v>646</v>
      </c>
      <c r="V102" s="335" t="s">
        <v>646</v>
      </c>
      <c r="W102" s="335" t="s">
        <v>646</v>
      </c>
      <c r="X102" s="335" t="s">
        <v>646</v>
      </c>
      <c r="Y102" s="335" t="s">
        <v>646</v>
      </c>
    </row>
    <row r="103" spans="1:25">
      <c r="A103" s="167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3"/>
      <c r="N103" s="333"/>
      <c r="O103" s="333"/>
      <c r="P103" s="333"/>
      <c r="Q103" s="333"/>
      <c r="R103" s="333"/>
      <c r="S103" s="333"/>
      <c r="T103" s="333"/>
      <c r="U103" s="333"/>
      <c r="V103" s="333"/>
      <c r="W103" s="333"/>
      <c r="X103" s="333"/>
      <c r="Y103" s="333"/>
    </row>
    <row r="104" spans="1:25">
      <c r="A104" t="s">
        <v>653</v>
      </c>
      <c r="X104" s="137"/>
    </row>
    <row r="105" spans="1:25">
      <c r="A105" s="205" t="s">
        <v>645</v>
      </c>
      <c r="B105" s="335" t="s">
        <v>646</v>
      </c>
      <c r="C105" s="335" t="s">
        <v>646</v>
      </c>
      <c r="D105" s="335" t="s">
        <v>646</v>
      </c>
      <c r="E105" s="335" t="s">
        <v>646</v>
      </c>
      <c r="F105" s="335" t="s">
        <v>646</v>
      </c>
      <c r="G105" s="335" t="s">
        <v>646</v>
      </c>
      <c r="H105" s="335" t="s">
        <v>646</v>
      </c>
      <c r="I105" s="335" t="s">
        <v>646</v>
      </c>
      <c r="J105" s="335" t="s">
        <v>646</v>
      </c>
      <c r="K105" s="335" t="s">
        <v>646</v>
      </c>
      <c r="L105" s="335" t="s">
        <v>646</v>
      </c>
      <c r="M105" s="335" t="s">
        <v>646</v>
      </c>
      <c r="N105" s="335" t="s">
        <v>646</v>
      </c>
      <c r="O105" s="335" t="s">
        <v>646</v>
      </c>
      <c r="P105" s="335" t="s">
        <v>646</v>
      </c>
      <c r="Q105" s="335" t="s">
        <v>646</v>
      </c>
      <c r="R105" s="335" t="s">
        <v>646</v>
      </c>
      <c r="S105" s="335" t="s">
        <v>646</v>
      </c>
      <c r="T105" s="335" t="s">
        <v>646</v>
      </c>
      <c r="U105" s="335" t="s">
        <v>646</v>
      </c>
      <c r="V105" s="335" t="s">
        <v>646</v>
      </c>
      <c r="W105" s="335" t="s">
        <v>646</v>
      </c>
      <c r="X105" s="335" t="s">
        <v>646</v>
      </c>
      <c r="Y105" s="335" t="s">
        <v>647</v>
      </c>
    </row>
    <row r="106" spans="1:25">
      <c r="A106" s="205" t="s">
        <v>648</v>
      </c>
      <c r="B106" s="335" t="s">
        <v>646</v>
      </c>
      <c r="C106" s="335" t="s">
        <v>646</v>
      </c>
      <c r="D106" s="335" t="s">
        <v>646</v>
      </c>
      <c r="E106" s="335" t="s">
        <v>646</v>
      </c>
      <c r="F106" s="335" t="s">
        <v>646</v>
      </c>
      <c r="G106" s="335" t="s">
        <v>646</v>
      </c>
      <c r="H106" s="335" t="s">
        <v>646</v>
      </c>
      <c r="I106" s="335" t="s">
        <v>646</v>
      </c>
      <c r="J106" s="335" t="s">
        <v>646</v>
      </c>
      <c r="K106" s="335" t="s">
        <v>646</v>
      </c>
      <c r="L106" s="335" t="s">
        <v>646</v>
      </c>
      <c r="M106" s="335" t="s">
        <v>646</v>
      </c>
      <c r="N106" s="335" t="s">
        <v>646</v>
      </c>
      <c r="O106" s="335" t="s">
        <v>646</v>
      </c>
      <c r="P106" s="335" t="s">
        <v>646</v>
      </c>
      <c r="Q106" s="335" t="s">
        <v>646</v>
      </c>
      <c r="R106" s="335" t="s">
        <v>646</v>
      </c>
      <c r="S106" s="335" t="s">
        <v>646</v>
      </c>
      <c r="T106" s="335" t="s">
        <v>646</v>
      </c>
      <c r="U106" s="335" t="s">
        <v>646</v>
      </c>
      <c r="V106" s="335" t="s">
        <v>646</v>
      </c>
      <c r="W106" s="335" t="s">
        <v>646</v>
      </c>
      <c r="X106" s="335" t="s">
        <v>646</v>
      </c>
      <c r="Y106" s="335" t="s">
        <v>646</v>
      </c>
    </row>
    <row r="108" spans="1:25">
      <c r="A108" t="s">
        <v>654</v>
      </c>
    </row>
    <row r="109" spans="1:25">
      <c r="A109" s="348" t="s">
        <v>645</v>
      </c>
      <c r="B109" s="335" t="s">
        <v>646</v>
      </c>
      <c r="C109" s="335" t="s">
        <v>646</v>
      </c>
      <c r="D109" s="335" t="s">
        <v>646</v>
      </c>
      <c r="E109" s="335" t="s">
        <v>646</v>
      </c>
      <c r="F109" s="335" t="s">
        <v>646</v>
      </c>
      <c r="G109" s="335" t="s">
        <v>646</v>
      </c>
      <c r="H109" s="335" t="s">
        <v>646</v>
      </c>
      <c r="I109" s="335" t="s">
        <v>646</v>
      </c>
      <c r="J109" s="335" t="s">
        <v>646</v>
      </c>
      <c r="K109" s="335" t="s">
        <v>646</v>
      </c>
      <c r="L109" s="335" t="s">
        <v>646</v>
      </c>
      <c r="M109" s="335" t="s">
        <v>647</v>
      </c>
      <c r="N109" s="335" t="s">
        <v>646</v>
      </c>
      <c r="O109" s="335" t="s">
        <v>646</v>
      </c>
      <c r="P109" s="335" t="s">
        <v>646</v>
      </c>
      <c r="Q109" s="335" t="s">
        <v>646</v>
      </c>
      <c r="R109" s="335" t="s">
        <v>646</v>
      </c>
      <c r="S109" s="335" t="s">
        <v>646</v>
      </c>
      <c r="T109" s="335" t="s">
        <v>646</v>
      </c>
      <c r="U109" s="335" t="s">
        <v>646</v>
      </c>
      <c r="V109" s="335" t="s">
        <v>646</v>
      </c>
      <c r="W109" s="335" t="s">
        <v>646</v>
      </c>
      <c r="X109" s="335" t="s">
        <v>646</v>
      </c>
      <c r="Y109" s="335" t="s">
        <v>646</v>
      </c>
    </row>
    <row r="110" spans="1:25">
      <c r="A110" s="348" t="s">
        <v>648</v>
      </c>
      <c r="B110" s="335" t="s">
        <v>646</v>
      </c>
      <c r="C110" s="335" t="s">
        <v>646</v>
      </c>
      <c r="D110" s="335" t="s">
        <v>646</v>
      </c>
      <c r="E110" s="335" t="s">
        <v>646</v>
      </c>
      <c r="F110" s="335" t="s">
        <v>646</v>
      </c>
      <c r="G110" s="335" t="s">
        <v>646</v>
      </c>
      <c r="H110" s="335" t="s">
        <v>646</v>
      </c>
      <c r="I110" s="335" t="s">
        <v>646</v>
      </c>
      <c r="J110" s="335" t="s">
        <v>646</v>
      </c>
      <c r="K110" s="335" t="s">
        <v>646</v>
      </c>
      <c r="L110" s="335" t="s">
        <v>646</v>
      </c>
      <c r="M110" s="335" t="s">
        <v>646</v>
      </c>
      <c r="N110" s="335" t="s">
        <v>646</v>
      </c>
      <c r="O110" s="335" t="s">
        <v>646</v>
      </c>
      <c r="P110" s="335" t="s">
        <v>646</v>
      </c>
      <c r="Q110" s="335" t="s">
        <v>646</v>
      </c>
      <c r="R110" s="335" t="s">
        <v>646</v>
      </c>
      <c r="S110" s="335" t="s">
        <v>646</v>
      </c>
      <c r="T110" s="335" t="s">
        <v>646</v>
      </c>
      <c r="U110" s="335" t="s">
        <v>646</v>
      </c>
      <c r="V110" s="335" t="s">
        <v>646</v>
      </c>
      <c r="W110" s="335" t="s">
        <v>646</v>
      </c>
      <c r="X110" s="335" t="s">
        <v>646</v>
      </c>
      <c r="Y110" s="335" t="s">
        <v>647</v>
      </c>
    </row>
    <row r="112" spans="1:25">
      <c r="A112" t="s">
        <v>655</v>
      </c>
    </row>
    <row r="113" spans="1:25">
      <c r="A113" s="348" t="s">
        <v>645</v>
      </c>
      <c r="B113" s="335" t="s">
        <v>646</v>
      </c>
      <c r="C113" s="335" t="s">
        <v>646</v>
      </c>
      <c r="D113" s="335" t="s">
        <v>646</v>
      </c>
      <c r="E113" s="335" t="s">
        <v>646</v>
      </c>
      <c r="F113" s="335" t="s">
        <v>646</v>
      </c>
      <c r="G113" s="335" t="s">
        <v>646</v>
      </c>
      <c r="H113" s="335" t="s">
        <v>646</v>
      </c>
      <c r="I113" s="335" t="s">
        <v>646</v>
      </c>
      <c r="J113" s="335" t="s">
        <v>646</v>
      </c>
      <c r="K113" s="335" t="s">
        <v>646</v>
      </c>
      <c r="L113" s="335" t="s">
        <v>646</v>
      </c>
      <c r="M113" s="335" t="s">
        <v>647</v>
      </c>
      <c r="N113" s="335" t="s">
        <v>646</v>
      </c>
      <c r="O113" s="335" t="s">
        <v>646</v>
      </c>
      <c r="P113" s="335" t="s">
        <v>646</v>
      </c>
      <c r="Q113" s="335" t="s">
        <v>646</v>
      </c>
      <c r="R113" s="335" t="s">
        <v>646</v>
      </c>
      <c r="S113" s="335" t="s">
        <v>646</v>
      </c>
      <c r="T113" s="335" t="s">
        <v>646</v>
      </c>
      <c r="U113" s="335" t="s">
        <v>646</v>
      </c>
      <c r="V113" s="335" t="s">
        <v>646</v>
      </c>
      <c r="W113" s="335" t="s">
        <v>646</v>
      </c>
      <c r="X113" s="335" t="s">
        <v>646</v>
      </c>
      <c r="Y113" s="335" t="s">
        <v>647</v>
      </c>
    </row>
    <row r="114" spans="1:25">
      <c r="A114" s="348" t="s">
        <v>648</v>
      </c>
      <c r="B114" s="335" t="s">
        <v>646</v>
      </c>
      <c r="C114" s="335" t="s">
        <v>646</v>
      </c>
      <c r="D114" s="335" t="s">
        <v>646</v>
      </c>
      <c r="E114" s="335" t="s">
        <v>646</v>
      </c>
      <c r="F114" s="335" t="s">
        <v>646</v>
      </c>
      <c r="G114" s="335" t="s">
        <v>646</v>
      </c>
      <c r="H114" s="335" t="s">
        <v>646</v>
      </c>
      <c r="I114" s="335" t="s">
        <v>646</v>
      </c>
      <c r="J114" s="335" t="s">
        <v>646</v>
      </c>
      <c r="K114" s="335" t="s">
        <v>646</v>
      </c>
      <c r="L114" s="335" t="s">
        <v>646</v>
      </c>
      <c r="M114" s="335" t="s">
        <v>646</v>
      </c>
      <c r="N114" s="335" t="s">
        <v>646</v>
      </c>
      <c r="O114" s="335" t="s">
        <v>646</v>
      </c>
      <c r="P114" s="335" t="s">
        <v>646</v>
      </c>
      <c r="Q114" s="335" t="s">
        <v>646</v>
      </c>
      <c r="R114" s="335" t="s">
        <v>646</v>
      </c>
      <c r="S114" s="335" t="s">
        <v>646</v>
      </c>
      <c r="T114" s="335" t="s">
        <v>646</v>
      </c>
      <c r="U114" s="335" t="s">
        <v>646</v>
      </c>
      <c r="V114" s="335" t="s">
        <v>646</v>
      </c>
      <c r="W114" s="335" t="s">
        <v>646</v>
      </c>
      <c r="X114" s="335" t="s">
        <v>646</v>
      </c>
      <c r="Y114" s="335" t="s">
        <v>646</v>
      </c>
    </row>
    <row r="117" spans="1:25">
      <c r="A117" t="s">
        <v>656</v>
      </c>
    </row>
    <row r="118" spans="1:25">
      <c r="A118" s="167" t="s">
        <v>657</v>
      </c>
      <c r="B118" s="167"/>
      <c r="C118" s="167"/>
      <c r="D118" s="167"/>
      <c r="E118" s="167"/>
      <c r="F118" s="167"/>
      <c r="G118" s="167"/>
      <c r="H118" s="167"/>
      <c r="I118" s="167"/>
    </row>
    <row r="119" spans="1:25">
      <c r="A119" s="167"/>
      <c r="B119" s="167"/>
      <c r="C119" s="167"/>
      <c r="D119" s="167"/>
      <c r="E119" s="167"/>
      <c r="F119" s="167"/>
      <c r="G119" s="167"/>
      <c r="H119" s="167"/>
      <c r="I119" s="167"/>
    </row>
    <row r="120" spans="1:25">
      <c r="A120" s="205" t="s">
        <v>658</v>
      </c>
      <c r="B120" s="205"/>
      <c r="C120" s="205" t="s">
        <v>659</v>
      </c>
      <c r="D120" s="205" t="s">
        <v>660</v>
      </c>
      <c r="E120" s="205"/>
      <c r="F120" s="205"/>
      <c r="G120" s="205" t="s">
        <v>661</v>
      </c>
      <c r="H120" s="205" t="s">
        <v>662</v>
      </c>
      <c r="I120" s="205"/>
    </row>
    <row r="121" spans="1:25">
      <c r="A121" s="205"/>
      <c r="B121" s="205"/>
      <c r="C121" s="205" t="s">
        <v>663</v>
      </c>
      <c r="D121" s="205" t="s">
        <v>664</v>
      </c>
      <c r="E121" s="205" t="s">
        <v>665</v>
      </c>
      <c r="F121" s="205"/>
      <c r="G121" s="205" t="s">
        <v>663</v>
      </c>
      <c r="H121" s="205" t="s">
        <v>664</v>
      </c>
      <c r="I121" s="205" t="s">
        <v>665</v>
      </c>
    </row>
    <row r="122" spans="1:25">
      <c r="A122" s="205" t="s">
        <v>611</v>
      </c>
      <c r="B122" s="205"/>
      <c r="C122" s="330">
        <f>119.88*10</f>
        <v>1198.8</v>
      </c>
      <c r="D122" s="327">
        <f>5*8000</f>
        <v>40000</v>
      </c>
      <c r="E122" s="205">
        <f>5*I122</f>
        <v>2000</v>
      </c>
      <c r="F122" s="205"/>
      <c r="G122" s="205">
        <v>50</v>
      </c>
      <c r="H122" s="205">
        <v>8000</v>
      </c>
      <c r="I122" s="205">
        <v>400</v>
      </c>
    </row>
    <row r="123" spans="1:25">
      <c r="A123" s="205" t="s">
        <v>605</v>
      </c>
      <c r="B123" s="205"/>
      <c r="C123" s="330">
        <f>436852/1000</f>
        <v>436.85199999999998</v>
      </c>
      <c r="D123" s="327">
        <f>6*8000</f>
        <v>48000</v>
      </c>
      <c r="E123" s="205">
        <f>6*I123</f>
        <v>2400</v>
      </c>
      <c r="F123" s="205"/>
      <c r="G123" s="205">
        <v>30</v>
      </c>
      <c r="H123" s="205">
        <v>8000</v>
      </c>
      <c r="I123" s="205">
        <v>400</v>
      </c>
    </row>
    <row r="124" spans="1:25">
      <c r="A124" s="205" t="s">
        <v>612</v>
      </c>
      <c r="B124" s="205"/>
      <c r="C124" s="335" t="s">
        <v>1075</v>
      </c>
      <c r="D124" s="335" t="s">
        <v>1075</v>
      </c>
      <c r="E124" s="335" t="s">
        <v>1075</v>
      </c>
      <c r="F124" s="205"/>
      <c r="G124" s="335" t="s">
        <v>1075</v>
      </c>
      <c r="H124" s="335" t="s">
        <v>1075</v>
      </c>
      <c r="I124" s="205"/>
    </row>
    <row r="125" spans="1:25">
      <c r="A125" s="205" t="s">
        <v>613</v>
      </c>
      <c r="B125" s="205"/>
      <c r="C125" s="330">
        <f>350.76+111</f>
        <v>461.76</v>
      </c>
      <c r="D125" s="327">
        <f>3*8000</f>
        <v>24000</v>
      </c>
      <c r="E125" s="205">
        <f>3*I125</f>
        <v>1200</v>
      </c>
      <c r="F125" s="205"/>
      <c r="G125" s="205">
        <v>75</v>
      </c>
      <c r="H125" s="205">
        <v>8000</v>
      </c>
      <c r="I125" s="205">
        <v>400</v>
      </c>
    </row>
    <row r="126" spans="1:25">
      <c r="A126" s="205" t="s">
        <v>614</v>
      </c>
      <c r="B126" s="205"/>
      <c r="C126" s="327">
        <v>859.00005999999996</v>
      </c>
      <c r="D126" s="327">
        <f>2*24000</f>
        <v>48000</v>
      </c>
      <c r="E126" s="205">
        <f>3*I126</f>
        <v>3600</v>
      </c>
      <c r="F126" s="205"/>
      <c r="G126" s="205">
        <v>75</v>
      </c>
      <c r="H126" s="205">
        <v>24000</v>
      </c>
      <c r="I126" s="205">
        <v>1200</v>
      </c>
    </row>
    <row r="127" spans="1:25">
      <c r="A127" s="205" t="s">
        <v>615</v>
      </c>
      <c r="B127" s="205"/>
      <c r="C127" s="327">
        <v>850.91075000000001</v>
      </c>
      <c r="D127" s="327">
        <f>3*24000</f>
        <v>72000</v>
      </c>
      <c r="E127" s="205">
        <f>4*I127</f>
        <v>4800</v>
      </c>
      <c r="F127" s="205"/>
      <c r="G127" s="205">
        <v>75</v>
      </c>
      <c r="H127" s="205">
        <v>24000</v>
      </c>
      <c r="I127" s="205">
        <v>1200</v>
      </c>
    </row>
    <row r="128" spans="1:25">
      <c r="A128" s="205" t="s">
        <v>616</v>
      </c>
      <c r="B128" s="205"/>
      <c r="C128" s="330">
        <v>746.46681000000001</v>
      </c>
      <c r="D128" s="327">
        <f>3*24000</f>
        <v>72000</v>
      </c>
      <c r="E128" s="205">
        <f>4*I128</f>
        <v>4800</v>
      </c>
      <c r="F128" s="205"/>
      <c r="G128" s="205">
        <v>75</v>
      </c>
      <c r="H128" s="205">
        <v>24000</v>
      </c>
      <c r="I128" s="205">
        <v>1200</v>
      </c>
    </row>
    <row r="129" spans="1:9">
      <c r="A129" s="205" t="s">
        <v>666</v>
      </c>
      <c r="B129" s="205"/>
      <c r="C129" s="327">
        <v>848.57299999999998</v>
      </c>
      <c r="D129" s="327">
        <f>3*24000</f>
        <v>72000</v>
      </c>
      <c r="E129" s="205">
        <f>3*I129</f>
        <v>3600</v>
      </c>
      <c r="F129" s="205"/>
      <c r="G129" s="205">
        <v>100</v>
      </c>
      <c r="H129" s="205">
        <v>24000</v>
      </c>
      <c r="I129" s="205">
        <v>1200</v>
      </c>
    </row>
    <row r="130" spans="1:9">
      <c r="A130" s="205" t="s">
        <v>618</v>
      </c>
      <c r="B130" s="205"/>
      <c r="C130" s="327">
        <v>874.50081</v>
      </c>
      <c r="D130" s="327">
        <f>3*24000</f>
        <v>72000</v>
      </c>
      <c r="E130" s="205">
        <f>3*I130</f>
        <v>3600</v>
      </c>
      <c r="F130" s="205"/>
      <c r="G130" s="205">
        <v>75</v>
      </c>
      <c r="H130" s="205">
        <v>24000</v>
      </c>
      <c r="I130" s="205">
        <v>1200</v>
      </c>
    </row>
    <row r="131" spans="1:9">
      <c r="A131" s="205" t="s">
        <v>619</v>
      </c>
      <c r="B131" s="205"/>
      <c r="C131" s="327">
        <v>930.72500000000002</v>
      </c>
      <c r="D131" s="327">
        <f>3*24000</f>
        <v>72000</v>
      </c>
      <c r="E131" s="205">
        <f>3*I131</f>
        <v>3600</v>
      </c>
      <c r="F131" s="205"/>
      <c r="G131" s="205">
        <v>75</v>
      </c>
      <c r="H131" s="205">
        <v>24000</v>
      </c>
      <c r="I131" s="205">
        <v>1200</v>
      </c>
    </row>
    <row r="132" spans="1:9">
      <c r="A132" s="205" t="s">
        <v>638</v>
      </c>
      <c r="B132" s="205"/>
      <c r="C132" s="327">
        <v>36.558900000000001</v>
      </c>
      <c r="D132" s="327">
        <v>72000</v>
      </c>
      <c r="E132" s="205">
        <v>3600</v>
      </c>
      <c r="F132" s="205"/>
      <c r="G132" s="205">
        <v>30</v>
      </c>
      <c r="H132" s="205">
        <v>24000</v>
      </c>
      <c r="I132" s="205">
        <v>1200</v>
      </c>
    </row>
    <row r="133" spans="1:9">
      <c r="A133" s="205" t="s">
        <v>621</v>
      </c>
      <c r="B133" s="205"/>
      <c r="C133" s="327">
        <v>172.54839000000001</v>
      </c>
      <c r="D133" s="327">
        <f>2*24000</f>
        <v>48000</v>
      </c>
      <c r="E133" s="205">
        <f>2*I133</f>
        <v>2400</v>
      </c>
      <c r="F133" s="205"/>
      <c r="G133" s="205">
        <v>30</v>
      </c>
      <c r="H133" s="205">
        <v>24000</v>
      </c>
      <c r="I133" s="205">
        <v>1200</v>
      </c>
    </row>
    <row r="134" spans="1:9">
      <c r="A134" s="205" t="s">
        <v>622</v>
      </c>
      <c r="B134" s="205"/>
      <c r="C134" s="327">
        <f>129.63556+70.5306</f>
        <v>200.16615999999999</v>
      </c>
      <c r="D134" s="327">
        <v>72000</v>
      </c>
      <c r="E134" s="205">
        <f>4*I134</f>
        <v>4800</v>
      </c>
      <c r="F134" s="205"/>
      <c r="G134" s="205">
        <v>60</v>
      </c>
      <c r="H134" s="205">
        <v>48000</v>
      </c>
      <c r="I134" s="205">
        <v>1200</v>
      </c>
    </row>
    <row r="135" spans="1:9">
      <c r="A135" s="205" t="s">
        <v>623</v>
      </c>
      <c r="B135" s="205"/>
      <c r="C135" s="327">
        <v>798</v>
      </c>
      <c r="D135" s="327">
        <v>96000</v>
      </c>
      <c r="E135" s="205">
        <v>4800</v>
      </c>
      <c r="F135" s="205"/>
      <c r="G135" s="335" t="s">
        <v>1075</v>
      </c>
      <c r="H135" s="335" t="s">
        <v>1075</v>
      </c>
      <c r="I135" s="205"/>
    </row>
    <row r="136" spans="1:9">
      <c r="A136" s="205" t="s">
        <v>624</v>
      </c>
      <c r="B136" s="205"/>
      <c r="C136" s="327">
        <v>765.46574999999996</v>
      </c>
      <c r="D136" s="327">
        <v>120000</v>
      </c>
      <c r="E136" s="205">
        <v>6000</v>
      </c>
      <c r="F136" s="205"/>
      <c r="G136" s="335">
        <v>40</v>
      </c>
      <c r="H136" s="205">
        <v>48000</v>
      </c>
      <c r="I136" s="205">
        <v>2400</v>
      </c>
    </row>
    <row r="137" spans="1:9">
      <c r="A137" s="205" t="s">
        <v>625</v>
      </c>
      <c r="B137" s="205"/>
      <c r="C137" s="327">
        <v>1042</v>
      </c>
      <c r="D137" s="327">
        <v>120000</v>
      </c>
      <c r="E137" s="205">
        <v>6000</v>
      </c>
      <c r="F137" s="205"/>
      <c r="G137" s="205">
        <v>40</v>
      </c>
      <c r="H137" s="205">
        <v>48000</v>
      </c>
      <c r="I137" s="205">
        <v>2400</v>
      </c>
    </row>
    <row r="138" spans="1:9">
      <c r="A138" s="205" t="s">
        <v>626</v>
      </c>
      <c r="B138" s="205"/>
      <c r="C138" s="349" t="s">
        <v>1075</v>
      </c>
      <c r="D138" s="349" t="s">
        <v>1075</v>
      </c>
      <c r="E138" s="205"/>
      <c r="F138" s="205"/>
      <c r="G138" s="205">
        <v>25</v>
      </c>
      <c r="H138" s="205">
        <v>48000</v>
      </c>
      <c r="I138" s="205">
        <v>2400</v>
      </c>
    </row>
    <row r="139" spans="1:9">
      <c r="A139" s="205" t="s">
        <v>627</v>
      </c>
      <c r="B139" s="205"/>
      <c r="C139" s="327">
        <v>19.882000000000001</v>
      </c>
      <c r="D139" s="327">
        <v>8000</v>
      </c>
      <c r="E139" s="205">
        <v>400</v>
      </c>
      <c r="F139" s="205"/>
      <c r="G139" s="335" t="s">
        <v>1075</v>
      </c>
      <c r="H139" s="335" t="s">
        <v>1075</v>
      </c>
      <c r="I139" s="205"/>
    </row>
    <row r="140" spans="1:9">
      <c r="A140" s="205" t="s">
        <v>628</v>
      </c>
      <c r="B140" s="205"/>
      <c r="C140" s="327">
        <v>12.018000000000001</v>
      </c>
      <c r="D140" s="327">
        <v>24000</v>
      </c>
      <c r="E140" s="205">
        <v>1200</v>
      </c>
      <c r="F140" s="205"/>
      <c r="G140" s="335" t="s">
        <v>1075</v>
      </c>
      <c r="H140" s="335" t="s">
        <v>1075</v>
      </c>
      <c r="I140" s="205"/>
    </row>
    <row r="141" spans="1:9">
      <c r="A141" s="205" t="s">
        <v>629</v>
      </c>
      <c r="B141" s="205"/>
      <c r="C141" s="327">
        <v>122.319</v>
      </c>
      <c r="D141" s="327">
        <v>48000</v>
      </c>
      <c r="E141" s="205">
        <v>2400</v>
      </c>
      <c r="F141" s="205"/>
      <c r="G141" s="335" t="s">
        <v>1075</v>
      </c>
      <c r="H141" s="335" t="s">
        <v>1075</v>
      </c>
      <c r="I141" s="205"/>
    </row>
    <row r="142" spans="1:9">
      <c r="A142" s="205" t="s">
        <v>630</v>
      </c>
      <c r="B142" s="205"/>
      <c r="C142" s="350" t="s">
        <v>1075</v>
      </c>
      <c r="D142" s="349" t="s">
        <v>1075</v>
      </c>
      <c r="E142" s="205"/>
      <c r="F142" s="205"/>
      <c r="G142" s="205">
        <v>75</v>
      </c>
      <c r="H142" s="205">
        <v>48000</v>
      </c>
      <c r="I142" s="205">
        <v>2400</v>
      </c>
    </row>
    <row r="143" spans="1:9">
      <c r="A143" s="205" t="s">
        <v>631</v>
      </c>
      <c r="B143" s="205"/>
      <c r="C143" s="350" t="s">
        <v>1075</v>
      </c>
      <c r="D143" s="349" t="s">
        <v>1075</v>
      </c>
      <c r="E143" s="205"/>
      <c r="F143" s="205"/>
      <c r="G143" s="205">
        <v>50</v>
      </c>
      <c r="H143" s="205">
        <v>48000</v>
      </c>
      <c r="I143" s="205">
        <v>2400</v>
      </c>
    </row>
    <row r="144" spans="1:9">
      <c r="A144" s="205"/>
      <c r="B144" s="205"/>
      <c r="C144" s="205"/>
      <c r="D144" s="205"/>
      <c r="E144" s="205"/>
      <c r="F144" s="205"/>
      <c r="G144" s="205"/>
      <c r="H144" s="205"/>
      <c r="I144" s="205"/>
    </row>
    <row r="145" spans="1:9">
      <c r="A145" s="205" t="s">
        <v>667</v>
      </c>
      <c r="B145" s="205"/>
      <c r="C145" s="205"/>
      <c r="D145" s="205"/>
      <c r="E145" s="205"/>
      <c r="F145" s="205"/>
      <c r="G145" s="205"/>
      <c r="H145" s="205"/>
      <c r="I145" s="205"/>
    </row>
    <row r="146" spans="1:9">
      <c r="A146" s="205" t="s">
        <v>668</v>
      </c>
      <c r="B146" s="205"/>
      <c r="C146" s="205"/>
      <c r="D146" s="205"/>
      <c r="E146" s="205"/>
      <c r="F146" s="205"/>
      <c r="G146" s="205">
        <v>25</v>
      </c>
      <c r="H146" s="205">
        <v>8000</v>
      </c>
      <c r="I146" s="205">
        <v>400</v>
      </c>
    </row>
    <row r="147" spans="1:9">
      <c r="A147" s="205" t="s">
        <v>669</v>
      </c>
      <c r="B147" s="205"/>
      <c r="C147" s="205"/>
      <c r="D147" s="205"/>
      <c r="E147" s="205"/>
      <c r="F147" s="205"/>
      <c r="G147" s="205">
        <v>100</v>
      </c>
      <c r="H147" s="205">
        <v>24000</v>
      </c>
      <c r="I147" s="205">
        <v>1200</v>
      </c>
    </row>
    <row r="148" spans="1:9">
      <c r="A148" s="205" t="s">
        <v>670</v>
      </c>
      <c r="B148" s="205"/>
      <c r="C148" s="205"/>
      <c r="D148" s="205"/>
      <c r="E148" s="205"/>
      <c r="F148" s="205"/>
      <c r="G148" s="205">
        <v>175</v>
      </c>
      <c r="H148" s="205">
        <v>48000</v>
      </c>
      <c r="I148" s="205">
        <v>2400</v>
      </c>
    </row>
    <row r="149" spans="1:9">
      <c r="A149" s="205"/>
      <c r="B149" s="205"/>
      <c r="C149" s="205"/>
      <c r="D149" s="205"/>
      <c r="E149" s="205"/>
      <c r="F149" s="205"/>
      <c r="G149" s="205"/>
      <c r="H149" s="205"/>
      <c r="I149" s="205"/>
    </row>
    <row r="151" spans="1:9">
      <c r="A151" t="s">
        <v>671</v>
      </c>
    </row>
  </sheetData>
  <printOptions horizontalCentered="1"/>
  <pageMargins left="0.75" right="0.75" top="1" bottom="1" header="0.5" footer="0.5"/>
  <pageSetup scale="45" firstPageNumber="25" fitToHeight="3" orientation="landscape" horizontalDpi="4294967292" verticalDpi="4294967292" r:id="rId1"/>
  <headerFooter alignWithMargins="0">
    <oddFooter>&amp;LRichard Bickings
&amp;D&amp;CPage &amp;P&amp;R&amp;F
&amp;A</oddFooter>
  </headerFooter>
  <rowBreaks count="1" manualBreakCount="1">
    <brk id="75" max="2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R327"/>
  <sheetViews>
    <sheetView topLeftCell="A15" zoomScale="75" zoomScaleNormal="25" zoomScaleSheetLayoutView="75" workbookViewId="0">
      <selection activeCell="A51" sqref="A51"/>
    </sheetView>
  </sheetViews>
  <sheetFormatPr defaultColWidth="9.109375" defaultRowHeight="13.2"/>
  <cols>
    <col min="1" max="1" width="4.6640625" style="563" customWidth="1"/>
    <col min="2" max="10" width="9.109375" style="135"/>
    <col min="11" max="11" width="7.5546875" style="135" customWidth="1"/>
    <col min="12" max="16384" width="9.109375" style="135"/>
  </cols>
  <sheetData>
    <row r="1" spans="1:44" s="133" customFormat="1" ht="15.6">
      <c r="A1" s="131" t="str">
        <f>Scope!A1</f>
        <v>Santee Cooper 5 x LM6000 PC Power Project (236 MW)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44" s="133" customFormat="1" ht="15.6">
      <c r="A2" s="131" t="s">
        <v>185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44" s="133" customFormat="1" ht="15.6">
      <c r="A3" s="559"/>
      <c r="B3" s="131"/>
      <c r="C3" s="131"/>
      <c r="D3" s="131"/>
      <c r="E3" s="131"/>
      <c r="F3" s="131"/>
      <c r="G3" s="131"/>
      <c r="H3" s="131"/>
      <c r="I3" s="132"/>
      <c r="J3" s="132"/>
      <c r="K3" s="132"/>
    </row>
    <row r="4" spans="1:44" s="134" customFormat="1">
      <c r="A4" s="560" t="s">
        <v>188</v>
      </c>
      <c r="B4" s="597" t="s">
        <v>189</v>
      </c>
      <c r="C4" s="598"/>
      <c r="D4" s="598"/>
      <c r="E4" s="598"/>
      <c r="F4" s="598"/>
      <c r="G4" s="598"/>
      <c r="H4" s="598"/>
      <c r="I4" s="598"/>
      <c r="J4" s="93"/>
      <c r="K4" s="93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</row>
    <row r="5" spans="1:44" s="134" customFormat="1">
      <c r="A5" s="561" t="s">
        <v>190</v>
      </c>
      <c r="B5" s="627" t="s">
        <v>191</v>
      </c>
      <c r="C5" s="628"/>
      <c r="D5" s="628"/>
      <c r="E5" s="628"/>
      <c r="F5" s="628"/>
      <c r="G5" s="628"/>
      <c r="H5" s="628"/>
      <c r="I5" s="628"/>
      <c r="J5" s="628"/>
      <c r="K5" s="628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</row>
    <row r="6" spans="1:44" s="134" customFormat="1">
      <c r="A6" s="561" t="s">
        <v>192</v>
      </c>
      <c r="B6" s="632" t="s">
        <v>193</v>
      </c>
      <c r="C6" s="628"/>
      <c r="D6" s="628"/>
      <c r="E6" s="628"/>
      <c r="F6" s="628"/>
      <c r="G6" s="628"/>
      <c r="H6" s="628"/>
      <c r="I6" s="628"/>
      <c r="J6" s="628"/>
      <c r="K6" s="628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</row>
    <row r="7" spans="1:44" s="134" customFormat="1" ht="12.75" customHeight="1">
      <c r="A7" s="561" t="s">
        <v>194</v>
      </c>
      <c r="B7" s="627" t="s">
        <v>337</v>
      </c>
      <c r="C7" s="628"/>
      <c r="D7" s="628"/>
      <c r="E7" s="628"/>
      <c r="F7" s="628"/>
      <c r="G7" s="628"/>
      <c r="H7" s="628"/>
      <c r="I7" s="628"/>
      <c r="J7" s="628"/>
      <c r="K7" s="628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</row>
    <row r="8" spans="1:44" s="134" customFormat="1" ht="12.75" customHeight="1">
      <c r="A8" s="561"/>
      <c r="B8" s="628"/>
      <c r="C8" s="628"/>
      <c r="D8" s="628"/>
      <c r="E8" s="628"/>
      <c r="F8" s="628"/>
      <c r="G8" s="628"/>
      <c r="H8" s="628"/>
      <c r="I8" s="628"/>
      <c r="J8" s="628"/>
      <c r="K8" s="628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</row>
    <row r="9" spans="1:44" s="134" customFormat="1">
      <c r="A9" s="561" t="s">
        <v>195</v>
      </c>
      <c r="B9" s="630" t="s">
        <v>322</v>
      </c>
      <c r="C9" s="628"/>
      <c r="D9" s="628"/>
      <c r="E9" s="628"/>
      <c r="F9" s="628"/>
      <c r="G9" s="628"/>
      <c r="H9" s="628"/>
      <c r="I9" s="628"/>
      <c r="J9" s="628"/>
      <c r="K9" s="628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</row>
    <row r="10" spans="1:44" s="134" customFormat="1">
      <c r="A10" s="561" t="s">
        <v>196</v>
      </c>
      <c r="B10" s="599" t="s">
        <v>336</v>
      </c>
      <c r="C10" s="93"/>
      <c r="D10" s="93"/>
      <c r="E10" s="93"/>
      <c r="F10" s="93"/>
      <c r="G10" s="93"/>
      <c r="H10" s="93"/>
      <c r="I10" s="93"/>
      <c r="J10" s="93"/>
      <c r="K10" s="93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</row>
    <row r="11" spans="1:44" s="134" customFormat="1">
      <c r="A11" s="561" t="s">
        <v>197</v>
      </c>
      <c r="B11" s="601" t="s">
        <v>340</v>
      </c>
      <c r="C11" s="93"/>
      <c r="D11" s="93"/>
      <c r="E11" s="93"/>
      <c r="F11" s="93"/>
      <c r="G11" s="93"/>
      <c r="H11" s="93"/>
      <c r="I11" s="93"/>
      <c r="J11" s="93"/>
      <c r="K11" s="93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</row>
    <row r="12" spans="1:44" s="134" customFormat="1">
      <c r="A12" s="110" t="s">
        <v>832</v>
      </c>
      <c r="B12" s="627" t="s">
        <v>338</v>
      </c>
      <c r="C12" s="628"/>
      <c r="D12" s="628"/>
      <c r="E12" s="628"/>
      <c r="F12" s="628"/>
      <c r="G12" s="628"/>
      <c r="H12" s="628"/>
      <c r="I12" s="628"/>
      <c r="J12" s="628"/>
      <c r="K12" s="628"/>
      <c r="L12" s="129"/>
      <c r="M12" s="186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</row>
    <row r="13" spans="1:44" s="134" customFormat="1">
      <c r="A13" s="110"/>
      <c r="B13" s="628"/>
      <c r="C13" s="628"/>
      <c r="D13" s="628"/>
      <c r="E13" s="628"/>
      <c r="F13" s="628"/>
      <c r="G13" s="628"/>
      <c r="H13" s="628"/>
      <c r="I13" s="628"/>
      <c r="J13" s="628"/>
      <c r="K13" s="628"/>
      <c r="L13" s="129"/>
      <c r="M13" s="186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</row>
    <row r="14" spans="1:44" s="134" customFormat="1">
      <c r="A14" s="244" t="s">
        <v>833</v>
      </c>
      <c r="B14" s="627" t="s">
        <v>324</v>
      </c>
      <c r="C14" s="628"/>
      <c r="D14" s="628"/>
      <c r="E14" s="628"/>
      <c r="F14" s="628"/>
      <c r="G14" s="628"/>
      <c r="H14" s="628"/>
      <c r="I14" s="628"/>
      <c r="J14" s="628"/>
      <c r="K14" s="628"/>
      <c r="L14" s="129"/>
      <c r="M14" s="186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</row>
    <row r="15" spans="1:44" s="134" customFormat="1">
      <c r="A15" s="562" t="s">
        <v>834</v>
      </c>
      <c r="B15" s="627" t="s">
        <v>323</v>
      </c>
      <c r="C15" s="628"/>
      <c r="D15" s="628"/>
      <c r="E15" s="628"/>
      <c r="F15" s="628"/>
      <c r="G15" s="628"/>
      <c r="H15" s="628"/>
      <c r="I15" s="628"/>
      <c r="J15" s="628"/>
      <c r="K15" s="628"/>
      <c r="L15" s="129"/>
      <c r="M15" s="186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</row>
    <row r="16" spans="1:44">
      <c r="A16" s="561" t="s">
        <v>835</v>
      </c>
      <c r="B16" s="630" t="s">
        <v>199</v>
      </c>
      <c r="C16" s="628"/>
      <c r="D16" s="628"/>
      <c r="E16" s="628"/>
      <c r="F16" s="628"/>
      <c r="G16" s="628"/>
      <c r="H16" s="628"/>
      <c r="I16" s="628"/>
      <c r="J16" s="628"/>
      <c r="K16" s="628"/>
      <c r="L16" s="105"/>
      <c r="M16" s="186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</row>
    <row r="17" spans="1:44">
      <c r="A17" s="110" t="s">
        <v>198</v>
      </c>
      <c r="B17" s="630" t="s">
        <v>325</v>
      </c>
      <c r="C17" s="628"/>
      <c r="D17" s="628"/>
      <c r="E17" s="628"/>
      <c r="F17" s="628"/>
      <c r="G17" s="628"/>
      <c r="H17" s="628"/>
      <c r="I17" s="628"/>
      <c r="J17" s="628"/>
      <c r="K17" s="628"/>
      <c r="L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</row>
    <row r="18" spans="1:44">
      <c r="A18" s="561" t="s">
        <v>836</v>
      </c>
      <c r="B18" s="629" t="s">
        <v>326</v>
      </c>
      <c r="C18" s="628"/>
      <c r="D18" s="628"/>
      <c r="E18" s="628"/>
      <c r="F18" s="628"/>
      <c r="G18" s="628"/>
      <c r="H18" s="628"/>
      <c r="I18" s="628"/>
      <c r="J18" s="628"/>
      <c r="K18" s="628"/>
      <c r="L18" s="105"/>
      <c r="M18" s="186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</row>
    <row r="19" spans="1:44">
      <c r="A19" s="561" t="s">
        <v>837</v>
      </c>
      <c r="B19" s="600" t="s">
        <v>339</v>
      </c>
      <c r="C19" s="93"/>
      <c r="D19" s="93"/>
      <c r="E19" s="93"/>
      <c r="F19" s="93"/>
      <c r="G19" s="93"/>
      <c r="H19" s="93"/>
      <c r="I19" s="93"/>
      <c r="J19" s="93"/>
      <c r="K19" s="93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</row>
    <row r="20" spans="1:44">
      <c r="A20" s="561" t="s">
        <v>839</v>
      </c>
      <c r="B20" s="629" t="s">
        <v>840</v>
      </c>
      <c r="C20" s="628"/>
      <c r="D20" s="628"/>
      <c r="E20" s="628"/>
      <c r="F20" s="628"/>
      <c r="G20" s="628"/>
      <c r="H20" s="628"/>
      <c r="I20" s="628"/>
      <c r="J20" s="628"/>
      <c r="K20" s="628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</row>
    <row r="21" spans="1:44">
      <c r="A21" s="561"/>
      <c r="B21" s="628"/>
      <c r="C21" s="628"/>
      <c r="D21" s="628"/>
      <c r="E21" s="628"/>
      <c r="F21" s="628"/>
      <c r="G21" s="628"/>
      <c r="H21" s="628"/>
      <c r="I21" s="628"/>
      <c r="J21" s="628"/>
      <c r="K21" s="628"/>
      <c r="L21" s="105"/>
      <c r="M21" s="179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</row>
    <row r="22" spans="1:44">
      <c r="A22" s="561" t="s">
        <v>838</v>
      </c>
      <c r="B22" s="629" t="s">
        <v>202</v>
      </c>
      <c r="C22" s="628"/>
      <c r="D22" s="628"/>
      <c r="E22" s="628"/>
      <c r="F22" s="628"/>
      <c r="G22" s="628"/>
      <c r="H22" s="628"/>
      <c r="I22" s="628"/>
      <c r="J22" s="628"/>
      <c r="K22" s="628"/>
      <c r="L22" s="105"/>
      <c r="M22" s="128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</row>
    <row r="23" spans="1:44">
      <c r="A23" s="561" t="s">
        <v>222</v>
      </c>
      <c r="B23" s="89" t="s">
        <v>223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</row>
    <row r="24" spans="1:44">
      <c r="A24" s="561"/>
      <c r="B24" s="89" t="s">
        <v>224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468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</row>
    <row r="25" spans="1:44">
      <c r="A25" s="561"/>
      <c r="B25" s="89" t="s">
        <v>225</v>
      </c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86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</row>
    <row r="26" spans="1:44">
      <c r="A26" s="561"/>
      <c r="B26" s="89" t="s">
        <v>226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86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</row>
    <row r="27" spans="1:44">
      <c r="A27" s="561"/>
      <c r="B27" s="89" t="s">
        <v>227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</row>
    <row r="28" spans="1:44">
      <c r="A28" s="561"/>
      <c r="B28" s="89" t="s">
        <v>228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</row>
    <row r="29" spans="1:44">
      <c r="A29" s="561"/>
      <c r="B29" s="89" t="s">
        <v>229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86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</row>
    <row r="30" spans="1:44">
      <c r="A30" s="561"/>
      <c r="B30" s="89" t="s">
        <v>230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86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</row>
    <row r="31" spans="1:44">
      <c r="A31" s="561"/>
      <c r="B31" s="89" t="s">
        <v>231</v>
      </c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</row>
    <row r="32" spans="1:44" hidden="1">
      <c r="A32" s="561"/>
      <c r="B32" s="89" t="s">
        <v>232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</row>
    <row r="33" spans="1:44">
      <c r="A33" s="561"/>
      <c r="B33" s="89" t="s">
        <v>233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</row>
    <row r="34" spans="1:44">
      <c r="A34" s="561"/>
      <c r="B34" s="89" t="s">
        <v>234</v>
      </c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</row>
    <row r="35" spans="1:44">
      <c r="A35" s="560" t="s">
        <v>200</v>
      </c>
      <c r="B35" s="631" t="s">
        <v>201</v>
      </c>
      <c r="C35" s="628"/>
      <c r="D35" s="628"/>
      <c r="E35" s="628"/>
      <c r="F35" s="628"/>
      <c r="G35" s="628"/>
      <c r="H35" s="628"/>
      <c r="I35" s="628"/>
      <c r="J35" s="628"/>
      <c r="K35" s="628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</row>
    <row r="36" spans="1:44">
      <c r="A36" s="561"/>
      <c r="B36" s="265" t="s">
        <v>329</v>
      </c>
      <c r="C36" s="89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</row>
    <row r="37" spans="1:44">
      <c r="A37" s="561"/>
      <c r="B37" s="265" t="s">
        <v>330</v>
      </c>
      <c r="C37" s="89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</row>
    <row r="38" spans="1:44">
      <c r="A38" s="561"/>
      <c r="B38" s="265" t="s">
        <v>235</v>
      </c>
      <c r="C38" s="89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</row>
    <row r="39" spans="1:44">
      <c r="A39" s="561"/>
      <c r="B39" s="265" t="s">
        <v>335</v>
      </c>
      <c r="C39" s="89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</row>
    <row r="40" spans="1:44">
      <c r="A40" s="561"/>
      <c r="B40" s="265" t="s">
        <v>236</v>
      </c>
      <c r="C40" s="89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</row>
    <row r="41" spans="1:44" s="179" customFormat="1">
      <c r="A41" s="561"/>
      <c r="B41" s="265" t="s">
        <v>237</v>
      </c>
      <c r="C41" s="89"/>
      <c r="D41" s="105"/>
      <c r="E41" s="105"/>
      <c r="F41" s="105"/>
      <c r="G41" s="105"/>
      <c r="H41" s="105"/>
      <c r="I41" s="105"/>
      <c r="J41" s="105"/>
      <c r="K41" s="105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</row>
    <row r="42" spans="1:44">
      <c r="A42" s="244"/>
      <c r="B42" s="193" t="s">
        <v>238</v>
      </c>
      <c r="C42" s="89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</row>
    <row r="43" spans="1:44">
      <c r="A43" s="244"/>
      <c r="B43" s="193" t="s">
        <v>331</v>
      </c>
      <c r="C43" s="89"/>
      <c r="D43" s="128"/>
      <c r="E43" s="128"/>
      <c r="F43" s="128"/>
      <c r="G43" s="128"/>
      <c r="H43" s="128"/>
      <c r="I43" s="128"/>
      <c r="J43" s="128"/>
      <c r="K43" s="128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</row>
    <row r="44" spans="1:44">
      <c r="A44" s="244"/>
      <c r="B44" s="193" t="s">
        <v>332</v>
      </c>
      <c r="C44" s="89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</row>
    <row r="45" spans="1:44">
      <c r="A45" s="110"/>
      <c r="B45" s="596" t="s">
        <v>333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</row>
    <row r="46" spans="1:44">
      <c r="A46" s="110"/>
      <c r="B46" s="596" t="s">
        <v>334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</row>
    <row r="47" spans="1:44">
      <c r="A47" s="186" t="s">
        <v>341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</row>
    <row r="48" spans="1:44">
      <c r="A48" s="179" t="s">
        <v>342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</row>
    <row r="49" spans="1:44">
      <c r="A49" s="110" t="s">
        <v>354</v>
      </c>
      <c r="B49" s="105" t="s">
        <v>355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</row>
    <row r="50" spans="1:44">
      <c r="A50" s="564" t="s">
        <v>356</v>
      </c>
      <c r="B50" s="105" t="s">
        <v>357</v>
      </c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</row>
    <row r="51" spans="1:44">
      <c r="A51" s="110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</row>
    <row r="52" spans="1:44">
      <c r="A52" s="110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</row>
    <row r="53" spans="1:44">
      <c r="A53" s="110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</row>
    <row r="54" spans="1:44">
      <c r="A54" s="110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</row>
    <row r="55" spans="1:44">
      <c r="A55" s="110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</row>
    <row r="56" spans="1:44">
      <c r="A56" s="110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</row>
    <row r="57" spans="1:44">
      <c r="A57" s="110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</row>
    <row r="58" spans="1:44">
      <c r="A58" s="110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</row>
    <row r="59" spans="1:44">
      <c r="A59" s="56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</row>
    <row r="60" spans="1:44">
      <c r="A60" s="110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</row>
    <row r="61" spans="1:44">
      <c r="A61" s="110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</row>
    <row r="62" spans="1:44">
      <c r="A62" s="110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</row>
    <row r="63" spans="1:44">
      <c r="A63" s="110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</row>
    <row r="64" spans="1:44">
      <c r="A64" s="110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</row>
    <row r="65" spans="1:44">
      <c r="A65" s="110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</row>
    <row r="66" spans="1:44">
      <c r="A66" s="110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</row>
    <row r="67" spans="1:44">
      <c r="A67" s="110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</row>
    <row r="68" spans="1:44">
      <c r="A68" s="110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</row>
    <row r="69" spans="1:44">
      <c r="A69" s="110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</row>
    <row r="70" spans="1:44">
      <c r="A70" s="110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</row>
    <row r="71" spans="1:44">
      <c r="A71" s="110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</row>
    <row r="72" spans="1:44">
      <c r="A72" s="110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</row>
    <row r="73" spans="1:44">
      <c r="A73" s="110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</row>
    <row r="74" spans="1:44">
      <c r="A74" s="110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</row>
    <row r="75" spans="1:44">
      <c r="A75" s="110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</row>
    <row r="76" spans="1:44">
      <c r="A76" s="110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</row>
    <row r="77" spans="1:44">
      <c r="A77" s="110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</row>
    <row r="78" spans="1:44">
      <c r="A78" s="110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</row>
    <row r="79" spans="1:44">
      <c r="A79" s="110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</row>
    <row r="80" spans="1:44">
      <c r="A80" s="110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</row>
    <row r="81" spans="1:44">
      <c r="A81" s="110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</row>
    <row r="82" spans="1:44">
      <c r="A82" s="110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</row>
    <row r="83" spans="1:44">
      <c r="A83" s="110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</row>
    <row r="84" spans="1:44">
      <c r="A84" s="11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</row>
    <row r="85" spans="1:44">
      <c r="A85" s="110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</row>
    <row r="86" spans="1:44">
      <c r="A86" s="110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</row>
    <row r="87" spans="1:44">
      <c r="A87" s="110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</row>
    <row r="88" spans="1:44">
      <c r="A88" s="110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</row>
    <row r="89" spans="1:44">
      <c r="A89" s="110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</row>
    <row r="90" spans="1:44">
      <c r="A90" s="110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</row>
    <row r="91" spans="1:44">
      <c r="A91" s="110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</row>
    <row r="92" spans="1:44">
      <c r="A92" s="110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</row>
    <row r="93" spans="1:44">
      <c r="A93" s="110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</row>
    <row r="94" spans="1:44">
      <c r="A94" s="110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</row>
    <row r="95" spans="1:44">
      <c r="A95" s="110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</row>
    <row r="96" spans="1:44">
      <c r="A96" s="110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</row>
    <row r="97" spans="1:44">
      <c r="A97" s="110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</row>
    <row r="98" spans="1:44">
      <c r="A98" s="110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</row>
    <row r="99" spans="1:44">
      <c r="A99" s="110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</row>
    <row r="100" spans="1:44">
      <c r="A100" s="110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</row>
    <row r="101" spans="1:44">
      <c r="A101" s="110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</row>
    <row r="102" spans="1:44">
      <c r="A102" s="110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</row>
    <row r="103" spans="1:44">
      <c r="A103" s="110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</row>
    <row r="104" spans="1:44">
      <c r="A104" s="110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</row>
    <row r="105" spans="1:44">
      <c r="A105" s="110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</row>
    <row r="106" spans="1:44">
      <c r="A106" s="110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</row>
    <row r="107" spans="1:44">
      <c r="A107" s="110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</row>
    <row r="108" spans="1:44">
      <c r="A108" s="110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</row>
    <row r="109" spans="1:44">
      <c r="A109" s="110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</row>
    <row r="110" spans="1:44">
      <c r="A110" s="110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</row>
    <row r="111" spans="1:44">
      <c r="A111" s="110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</row>
    <row r="112" spans="1:44">
      <c r="A112" s="110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</row>
    <row r="113" spans="1:44">
      <c r="A113" s="110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</row>
    <row r="114" spans="1:44">
      <c r="A114" s="110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</row>
    <row r="115" spans="1:44">
      <c r="A115" s="110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</row>
    <row r="116" spans="1:44">
      <c r="A116" s="110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</row>
    <row r="117" spans="1:44">
      <c r="A117" s="110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</row>
    <row r="118" spans="1:44">
      <c r="A118" s="110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</row>
    <row r="119" spans="1:44">
      <c r="A119" s="110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</row>
    <row r="120" spans="1:44">
      <c r="A120" s="110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</row>
    <row r="121" spans="1:44">
      <c r="A121" s="110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</row>
    <row r="122" spans="1:44">
      <c r="A122" s="110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</row>
    <row r="123" spans="1:44">
      <c r="A123" s="110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</row>
    <row r="124" spans="1:44">
      <c r="A124" s="110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</row>
    <row r="125" spans="1:44">
      <c r="A125" s="110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</row>
    <row r="126" spans="1:44">
      <c r="A126" s="110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</row>
    <row r="127" spans="1:44">
      <c r="A127" s="110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</row>
    <row r="128" spans="1:44">
      <c r="A128" s="110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</row>
    <row r="129" spans="1:44">
      <c r="A129" s="110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</row>
    <row r="130" spans="1:44">
      <c r="A130" s="110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</row>
    <row r="131" spans="1:44">
      <c r="A131" s="110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</row>
    <row r="132" spans="1:44">
      <c r="A132" s="110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</row>
    <row r="133" spans="1:44">
      <c r="A133" s="110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</row>
    <row r="134" spans="1:44">
      <c r="A134" s="110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</row>
    <row r="135" spans="1:44">
      <c r="A135" s="110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</row>
    <row r="136" spans="1:44">
      <c r="A136" s="110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</row>
    <row r="137" spans="1:44">
      <c r="A137" s="110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</row>
    <row r="138" spans="1:44">
      <c r="A138" s="110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</row>
    <row r="139" spans="1:44">
      <c r="A139" s="110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</row>
    <row r="140" spans="1:44">
      <c r="A140" s="110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</row>
    <row r="141" spans="1:44">
      <c r="A141" s="110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</row>
    <row r="142" spans="1:44">
      <c r="A142" s="110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</row>
    <row r="143" spans="1:44">
      <c r="A143" s="110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</row>
    <row r="144" spans="1:44">
      <c r="A144" s="110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</row>
    <row r="145" spans="1:44">
      <c r="A145" s="110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</row>
    <row r="146" spans="1:44">
      <c r="A146" s="110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</row>
    <row r="147" spans="1:44">
      <c r="A147" s="110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</row>
    <row r="148" spans="1:44">
      <c r="A148" s="110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</row>
    <row r="149" spans="1:44">
      <c r="A149" s="110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</row>
    <row r="150" spans="1:44">
      <c r="A150" s="110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</row>
    <row r="151" spans="1:44">
      <c r="A151" s="110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</row>
    <row r="152" spans="1:44">
      <c r="A152" s="110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</row>
    <row r="153" spans="1:44">
      <c r="A153" s="110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</row>
    <row r="154" spans="1:44">
      <c r="A154" s="110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</row>
    <row r="155" spans="1:44">
      <c r="A155" s="110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</row>
    <row r="156" spans="1:44">
      <c r="A156" s="110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</row>
    <row r="157" spans="1:44">
      <c r="A157" s="110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</row>
    <row r="158" spans="1:44">
      <c r="A158" s="110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</row>
    <row r="159" spans="1:44">
      <c r="A159" s="110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</row>
    <row r="160" spans="1:44">
      <c r="A160" s="110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</row>
    <row r="161" spans="1:44">
      <c r="A161" s="110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</row>
    <row r="162" spans="1:44">
      <c r="A162" s="110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I162" s="105"/>
      <c r="AJ162" s="105"/>
      <c r="AK162" s="105"/>
      <c r="AL162" s="105"/>
      <c r="AM162" s="105"/>
      <c r="AN162" s="105"/>
      <c r="AO162" s="105"/>
      <c r="AP162" s="105"/>
      <c r="AQ162" s="105"/>
      <c r="AR162" s="105"/>
    </row>
    <row r="163" spans="1:44">
      <c r="A163" s="110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  <c r="AK163" s="105"/>
      <c r="AL163" s="105"/>
      <c r="AM163" s="105"/>
      <c r="AN163" s="105"/>
      <c r="AO163" s="105"/>
      <c r="AP163" s="105"/>
      <c r="AQ163" s="105"/>
      <c r="AR163" s="105"/>
    </row>
    <row r="164" spans="1:44">
      <c r="A164" s="110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  <c r="AK164" s="105"/>
      <c r="AL164" s="105"/>
      <c r="AM164" s="105"/>
      <c r="AN164" s="105"/>
      <c r="AO164" s="105"/>
      <c r="AP164" s="105"/>
      <c r="AQ164" s="105"/>
      <c r="AR164" s="105"/>
    </row>
    <row r="165" spans="1:44">
      <c r="A165" s="110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  <c r="AL165" s="105"/>
      <c r="AM165" s="105"/>
      <c r="AN165" s="105"/>
      <c r="AO165" s="105"/>
      <c r="AP165" s="105"/>
      <c r="AQ165" s="105"/>
      <c r="AR165" s="105"/>
    </row>
    <row r="166" spans="1:44">
      <c r="A166" s="110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  <c r="AH166" s="105"/>
      <c r="AI166" s="105"/>
      <c r="AJ166" s="105"/>
      <c r="AK166" s="105"/>
      <c r="AL166" s="105"/>
      <c r="AM166" s="105"/>
      <c r="AN166" s="105"/>
      <c r="AO166" s="105"/>
      <c r="AP166" s="105"/>
      <c r="AQ166" s="105"/>
      <c r="AR166" s="105"/>
    </row>
    <row r="167" spans="1:44">
      <c r="A167" s="110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  <c r="AL167" s="105"/>
      <c r="AM167" s="105"/>
      <c r="AN167" s="105"/>
      <c r="AO167" s="105"/>
      <c r="AP167" s="105"/>
      <c r="AQ167" s="105"/>
      <c r="AR167" s="105"/>
    </row>
    <row r="168" spans="1:44">
      <c r="A168" s="110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  <c r="AG168" s="105"/>
      <c r="AH168" s="105"/>
      <c r="AI168" s="105"/>
      <c r="AJ168" s="105"/>
      <c r="AK168" s="105"/>
      <c r="AL168" s="105"/>
      <c r="AM168" s="105"/>
      <c r="AN168" s="105"/>
      <c r="AO168" s="105"/>
      <c r="AP168" s="105"/>
      <c r="AQ168" s="105"/>
      <c r="AR168" s="105"/>
    </row>
    <row r="169" spans="1:44">
      <c r="A169" s="110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105"/>
      <c r="AL169" s="105"/>
      <c r="AM169" s="105"/>
      <c r="AN169" s="105"/>
      <c r="AO169" s="105"/>
      <c r="AP169" s="105"/>
      <c r="AQ169" s="105"/>
      <c r="AR169" s="105"/>
    </row>
    <row r="170" spans="1:44">
      <c r="A170" s="110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105"/>
      <c r="AL170" s="105"/>
      <c r="AM170" s="105"/>
      <c r="AN170" s="105"/>
      <c r="AO170" s="105"/>
      <c r="AP170" s="105"/>
      <c r="AQ170" s="105"/>
      <c r="AR170" s="105"/>
    </row>
    <row r="171" spans="1:44">
      <c r="A171" s="110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105"/>
      <c r="AM171" s="105"/>
      <c r="AN171" s="105"/>
      <c r="AO171" s="105"/>
      <c r="AP171" s="105"/>
      <c r="AQ171" s="105"/>
      <c r="AR171" s="105"/>
    </row>
    <row r="172" spans="1:44">
      <c r="A172" s="110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</row>
    <row r="173" spans="1:44">
      <c r="A173" s="110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  <c r="AM173" s="105"/>
      <c r="AN173" s="105"/>
      <c r="AO173" s="105"/>
      <c r="AP173" s="105"/>
      <c r="AQ173" s="105"/>
      <c r="AR173" s="105"/>
    </row>
    <row r="174" spans="1:44">
      <c r="A174" s="110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105"/>
      <c r="AL174" s="105"/>
      <c r="AM174" s="105"/>
      <c r="AN174" s="105"/>
      <c r="AO174" s="105"/>
      <c r="AP174" s="105"/>
      <c r="AQ174" s="105"/>
      <c r="AR174" s="105"/>
    </row>
    <row r="175" spans="1:44">
      <c r="A175" s="110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  <c r="AF175" s="105"/>
      <c r="AG175" s="105"/>
      <c r="AH175" s="105"/>
      <c r="AI175" s="105"/>
      <c r="AJ175" s="105"/>
      <c r="AK175" s="105"/>
      <c r="AL175" s="105"/>
      <c r="AM175" s="105"/>
      <c r="AN175" s="105"/>
      <c r="AO175" s="105"/>
      <c r="AP175" s="105"/>
      <c r="AQ175" s="105"/>
      <c r="AR175" s="105"/>
    </row>
    <row r="176" spans="1:44">
      <c r="A176" s="110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  <c r="AF176" s="105"/>
      <c r="AG176" s="105"/>
      <c r="AH176" s="105"/>
      <c r="AI176" s="105"/>
      <c r="AJ176" s="105"/>
      <c r="AK176" s="105"/>
      <c r="AL176" s="105"/>
      <c r="AM176" s="105"/>
      <c r="AN176" s="105"/>
      <c r="AO176" s="105"/>
      <c r="AP176" s="105"/>
      <c r="AQ176" s="105"/>
      <c r="AR176" s="105"/>
    </row>
    <row r="177" spans="1:44">
      <c r="A177" s="110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105"/>
      <c r="AL177" s="105"/>
      <c r="AM177" s="105"/>
      <c r="AN177" s="105"/>
      <c r="AO177" s="105"/>
      <c r="AP177" s="105"/>
      <c r="AQ177" s="105"/>
      <c r="AR177" s="105"/>
    </row>
    <row r="178" spans="1:44">
      <c r="A178" s="110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  <c r="AH178" s="105"/>
      <c r="AI178" s="105"/>
      <c r="AJ178" s="105"/>
      <c r="AK178" s="105"/>
      <c r="AL178" s="105"/>
      <c r="AM178" s="105"/>
      <c r="AN178" s="105"/>
      <c r="AO178" s="105"/>
      <c r="AP178" s="105"/>
      <c r="AQ178" s="105"/>
      <c r="AR178" s="105"/>
    </row>
    <row r="179" spans="1:44">
      <c r="A179" s="110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  <c r="AH179" s="105"/>
      <c r="AI179" s="105"/>
      <c r="AJ179" s="105"/>
      <c r="AK179" s="105"/>
      <c r="AL179" s="105"/>
      <c r="AM179" s="105"/>
      <c r="AN179" s="105"/>
      <c r="AO179" s="105"/>
      <c r="AP179" s="105"/>
      <c r="AQ179" s="105"/>
      <c r="AR179" s="105"/>
    </row>
    <row r="180" spans="1:44">
      <c r="A180" s="110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</row>
    <row r="181" spans="1:44">
      <c r="A181" s="110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  <c r="AH181" s="105"/>
      <c r="AI181" s="105"/>
      <c r="AJ181" s="105"/>
      <c r="AK181" s="105"/>
      <c r="AL181" s="105"/>
      <c r="AM181" s="105"/>
      <c r="AN181" s="105"/>
      <c r="AO181" s="105"/>
      <c r="AP181" s="105"/>
      <c r="AQ181" s="105"/>
      <c r="AR181" s="105"/>
    </row>
    <row r="182" spans="1:44">
      <c r="A182" s="110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  <c r="AH182" s="105"/>
      <c r="AI182" s="105"/>
      <c r="AJ182" s="105"/>
      <c r="AK182" s="105"/>
      <c r="AL182" s="105"/>
      <c r="AM182" s="105"/>
      <c r="AN182" s="105"/>
      <c r="AO182" s="105"/>
      <c r="AP182" s="105"/>
      <c r="AQ182" s="105"/>
      <c r="AR182" s="105"/>
    </row>
    <row r="183" spans="1:44">
      <c r="A183" s="110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  <c r="AK183" s="105"/>
      <c r="AL183" s="105"/>
      <c r="AM183" s="105"/>
      <c r="AN183" s="105"/>
      <c r="AO183" s="105"/>
      <c r="AP183" s="105"/>
      <c r="AQ183" s="105"/>
      <c r="AR183" s="105"/>
    </row>
    <row r="184" spans="1:44">
      <c r="A184" s="110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105"/>
      <c r="AL184" s="105"/>
      <c r="AM184" s="105"/>
      <c r="AN184" s="105"/>
      <c r="AO184" s="105"/>
      <c r="AP184" s="105"/>
      <c r="AQ184" s="105"/>
      <c r="AR184" s="105"/>
    </row>
    <row r="185" spans="1:44">
      <c r="A185" s="110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105"/>
      <c r="AL185" s="105"/>
      <c r="AM185" s="105"/>
      <c r="AN185" s="105"/>
      <c r="AO185" s="105"/>
      <c r="AP185" s="105"/>
      <c r="AQ185" s="105"/>
      <c r="AR185" s="105"/>
    </row>
    <row r="186" spans="1:44">
      <c r="A186" s="110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  <c r="AK186" s="105"/>
      <c r="AL186" s="105"/>
      <c r="AM186" s="105"/>
      <c r="AN186" s="105"/>
      <c r="AO186" s="105"/>
      <c r="AP186" s="105"/>
      <c r="AQ186" s="105"/>
      <c r="AR186" s="105"/>
    </row>
    <row r="187" spans="1:44">
      <c r="A187" s="110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105"/>
      <c r="AL187" s="105"/>
      <c r="AM187" s="105"/>
      <c r="AN187" s="105"/>
      <c r="AO187" s="105"/>
      <c r="AP187" s="105"/>
      <c r="AQ187" s="105"/>
      <c r="AR187" s="105"/>
    </row>
    <row r="188" spans="1:44">
      <c r="A188" s="110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  <c r="AM188" s="105"/>
      <c r="AN188" s="105"/>
      <c r="AO188" s="105"/>
      <c r="AP188" s="105"/>
      <c r="AQ188" s="105"/>
      <c r="AR188" s="105"/>
    </row>
    <row r="189" spans="1:44">
      <c r="A189" s="110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  <c r="AM189" s="105"/>
      <c r="AN189" s="105"/>
      <c r="AO189" s="105"/>
      <c r="AP189" s="105"/>
      <c r="AQ189" s="105"/>
      <c r="AR189" s="105"/>
    </row>
    <row r="190" spans="1:44">
      <c r="A190" s="110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105"/>
      <c r="AN190" s="105"/>
      <c r="AO190" s="105"/>
      <c r="AP190" s="105"/>
      <c r="AQ190" s="105"/>
      <c r="AR190" s="105"/>
    </row>
    <row r="191" spans="1:44">
      <c r="A191" s="110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</row>
    <row r="192" spans="1:44">
      <c r="A192" s="110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  <c r="AM192" s="105"/>
      <c r="AN192" s="105"/>
      <c r="AO192" s="105"/>
      <c r="AP192" s="105"/>
      <c r="AQ192" s="105"/>
      <c r="AR192" s="105"/>
    </row>
    <row r="193" spans="1:44">
      <c r="A193" s="110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105"/>
      <c r="AL193" s="105"/>
      <c r="AM193" s="105"/>
      <c r="AN193" s="105"/>
      <c r="AO193" s="105"/>
      <c r="AP193" s="105"/>
      <c r="AQ193" s="105"/>
      <c r="AR193" s="105"/>
    </row>
    <row r="194" spans="1:44">
      <c r="A194" s="110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105"/>
      <c r="AL194" s="105"/>
      <c r="AM194" s="105"/>
      <c r="AN194" s="105"/>
      <c r="AO194" s="105"/>
      <c r="AP194" s="105"/>
      <c r="AQ194" s="105"/>
      <c r="AR194" s="105"/>
    </row>
    <row r="195" spans="1:44">
      <c r="A195" s="110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</row>
    <row r="196" spans="1:44">
      <c r="A196" s="110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  <c r="AL196" s="105"/>
      <c r="AM196" s="105"/>
      <c r="AN196" s="105"/>
      <c r="AO196" s="105"/>
      <c r="AP196" s="105"/>
      <c r="AQ196" s="105"/>
      <c r="AR196" s="105"/>
    </row>
    <row r="197" spans="1:44">
      <c r="A197" s="110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  <c r="AK197" s="105"/>
      <c r="AL197" s="105"/>
      <c r="AM197" s="105"/>
      <c r="AN197" s="105"/>
      <c r="AO197" s="105"/>
      <c r="AP197" s="105"/>
      <c r="AQ197" s="105"/>
      <c r="AR197" s="105"/>
    </row>
    <row r="198" spans="1:44">
      <c r="A198" s="110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  <c r="AL198" s="105"/>
      <c r="AM198" s="105"/>
      <c r="AN198" s="105"/>
      <c r="AO198" s="105"/>
      <c r="AP198" s="105"/>
      <c r="AQ198" s="105"/>
      <c r="AR198" s="105"/>
    </row>
    <row r="199" spans="1:44">
      <c r="A199" s="110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105"/>
      <c r="AL199" s="105"/>
      <c r="AM199" s="105"/>
      <c r="AN199" s="105"/>
      <c r="AO199" s="105"/>
      <c r="AP199" s="105"/>
      <c r="AQ199" s="105"/>
      <c r="AR199" s="105"/>
    </row>
    <row r="200" spans="1:44">
      <c r="A200" s="110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  <c r="AH200" s="105"/>
      <c r="AI200" s="105"/>
      <c r="AJ200" s="105"/>
      <c r="AK200" s="105"/>
      <c r="AL200" s="105"/>
      <c r="AM200" s="105"/>
      <c r="AN200" s="105"/>
      <c r="AO200" s="105"/>
      <c r="AP200" s="105"/>
      <c r="AQ200" s="105"/>
      <c r="AR200" s="105"/>
    </row>
    <row r="201" spans="1:44">
      <c r="A201" s="110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5"/>
      <c r="AG201" s="105"/>
      <c r="AH201" s="105"/>
      <c r="AI201" s="105"/>
      <c r="AJ201" s="105"/>
      <c r="AK201" s="105"/>
      <c r="AL201" s="105"/>
      <c r="AM201" s="105"/>
      <c r="AN201" s="105"/>
      <c r="AO201" s="105"/>
      <c r="AP201" s="105"/>
      <c r="AQ201" s="105"/>
      <c r="AR201" s="105"/>
    </row>
    <row r="202" spans="1:44">
      <c r="A202" s="110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05"/>
      <c r="AN202" s="105"/>
      <c r="AO202" s="105"/>
      <c r="AP202" s="105"/>
      <c r="AQ202" s="105"/>
      <c r="AR202" s="105"/>
    </row>
    <row r="203" spans="1:44">
      <c r="A203" s="110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105"/>
      <c r="AL203" s="105"/>
      <c r="AM203" s="105"/>
      <c r="AN203" s="105"/>
      <c r="AO203" s="105"/>
      <c r="AP203" s="105"/>
      <c r="AQ203" s="105"/>
      <c r="AR203" s="105"/>
    </row>
    <row r="204" spans="1:44">
      <c r="A204" s="110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  <c r="AH204" s="105"/>
      <c r="AI204" s="105"/>
      <c r="AJ204" s="105"/>
      <c r="AK204" s="105"/>
      <c r="AL204" s="105"/>
      <c r="AM204" s="105"/>
      <c r="AN204" s="105"/>
      <c r="AO204" s="105"/>
      <c r="AP204" s="105"/>
      <c r="AQ204" s="105"/>
      <c r="AR204" s="105"/>
    </row>
    <row r="205" spans="1:44">
      <c r="A205" s="110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5"/>
      <c r="AI205" s="105"/>
      <c r="AJ205" s="105"/>
      <c r="AK205" s="105"/>
      <c r="AL205" s="105"/>
      <c r="AM205" s="105"/>
      <c r="AN205" s="105"/>
      <c r="AO205" s="105"/>
      <c r="AP205" s="105"/>
      <c r="AQ205" s="105"/>
      <c r="AR205" s="105"/>
    </row>
    <row r="206" spans="1:44">
      <c r="A206" s="110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5"/>
      <c r="AI206" s="105"/>
      <c r="AJ206" s="105"/>
      <c r="AK206" s="105"/>
      <c r="AL206" s="105"/>
      <c r="AM206" s="105"/>
      <c r="AN206" s="105"/>
      <c r="AO206" s="105"/>
      <c r="AP206" s="105"/>
      <c r="AQ206" s="105"/>
      <c r="AR206" s="105"/>
    </row>
    <row r="207" spans="1:44">
      <c r="A207" s="110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  <c r="AL207" s="105"/>
      <c r="AM207" s="105"/>
      <c r="AN207" s="105"/>
      <c r="AO207" s="105"/>
      <c r="AP207" s="105"/>
      <c r="AQ207" s="105"/>
      <c r="AR207" s="105"/>
    </row>
    <row r="208" spans="1:44">
      <c r="A208" s="110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  <c r="AL208" s="105"/>
      <c r="AM208" s="105"/>
      <c r="AN208" s="105"/>
      <c r="AO208" s="105"/>
      <c r="AP208" s="105"/>
      <c r="AQ208" s="105"/>
      <c r="AR208" s="105"/>
    </row>
    <row r="209" spans="1:44">
      <c r="A209" s="110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  <c r="AH209" s="105"/>
      <c r="AI209" s="105"/>
      <c r="AJ209" s="105"/>
      <c r="AK209" s="105"/>
      <c r="AL209" s="105"/>
      <c r="AM209" s="105"/>
      <c r="AN209" s="105"/>
      <c r="AO209" s="105"/>
      <c r="AP209" s="105"/>
      <c r="AQ209" s="105"/>
      <c r="AR209" s="105"/>
    </row>
    <row r="210" spans="1:44">
      <c r="A210" s="110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  <c r="AH210" s="105"/>
      <c r="AI210" s="105"/>
      <c r="AJ210" s="105"/>
      <c r="AK210" s="105"/>
      <c r="AL210" s="105"/>
      <c r="AM210" s="105"/>
      <c r="AN210" s="105"/>
      <c r="AO210" s="105"/>
      <c r="AP210" s="105"/>
      <c r="AQ210" s="105"/>
      <c r="AR210" s="105"/>
    </row>
    <row r="211" spans="1:44">
      <c r="A211" s="110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  <c r="AM211" s="105"/>
      <c r="AN211" s="105"/>
      <c r="AO211" s="105"/>
      <c r="AP211" s="105"/>
      <c r="AQ211" s="105"/>
      <c r="AR211" s="105"/>
    </row>
    <row r="212" spans="1:44">
      <c r="A212" s="110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105"/>
      <c r="AL212" s="105"/>
      <c r="AM212" s="105"/>
      <c r="AN212" s="105"/>
      <c r="AO212" s="105"/>
      <c r="AP212" s="105"/>
      <c r="AQ212" s="105"/>
      <c r="AR212" s="105"/>
    </row>
    <row r="213" spans="1:44">
      <c r="A213" s="110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5"/>
      <c r="AK213" s="105"/>
      <c r="AL213" s="105"/>
      <c r="AM213" s="105"/>
      <c r="AN213" s="105"/>
      <c r="AO213" s="105"/>
      <c r="AP213" s="105"/>
      <c r="AQ213" s="105"/>
      <c r="AR213" s="105"/>
    </row>
    <row r="214" spans="1:44">
      <c r="A214" s="110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  <c r="AK214" s="105"/>
      <c r="AL214" s="105"/>
      <c r="AM214" s="105"/>
      <c r="AN214" s="105"/>
      <c r="AO214" s="105"/>
      <c r="AP214" s="105"/>
      <c r="AQ214" s="105"/>
      <c r="AR214" s="105"/>
    </row>
    <row r="215" spans="1:44">
      <c r="A215" s="110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105"/>
      <c r="AO215" s="105"/>
      <c r="AP215" s="105"/>
      <c r="AQ215" s="105"/>
      <c r="AR215" s="105"/>
    </row>
    <row r="216" spans="1:44">
      <c r="A216" s="110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  <c r="AM216" s="105"/>
      <c r="AN216" s="105"/>
      <c r="AO216" s="105"/>
      <c r="AP216" s="105"/>
      <c r="AQ216" s="105"/>
      <c r="AR216" s="105"/>
    </row>
    <row r="217" spans="1:44">
      <c r="A217" s="110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  <c r="AK217" s="105"/>
      <c r="AL217" s="105"/>
      <c r="AM217" s="105"/>
      <c r="AN217" s="105"/>
      <c r="AO217" s="105"/>
      <c r="AP217" s="105"/>
      <c r="AQ217" s="105"/>
      <c r="AR217" s="105"/>
    </row>
    <row r="218" spans="1:44">
      <c r="A218" s="110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105"/>
      <c r="AL218" s="105"/>
      <c r="AM218" s="105"/>
      <c r="AN218" s="105"/>
      <c r="AO218" s="105"/>
      <c r="AP218" s="105"/>
      <c r="AQ218" s="105"/>
      <c r="AR218" s="105"/>
    </row>
    <row r="219" spans="1:44">
      <c r="A219" s="110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105"/>
      <c r="AL219" s="105"/>
      <c r="AM219" s="105"/>
      <c r="AN219" s="105"/>
      <c r="AO219" s="105"/>
      <c r="AP219" s="105"/>
      <c r="AQ219" s="105"/>
      <c r="AR219" s="105"/>
    </row>
    <row r="220" spans="1:44">
      <c r="A220" s="110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</row>
    <row r="221" spans="1:44">
      <c r="A221" s="110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  <c r="AF221" s="105"/>
      <c r="AG221" s="105"/>
      <c r="AH221" s="105"/>
      <c r="AI221" s="105"/>
      <c r="AJ221" s="105"/>
      <c r="AK221" s="105"/>
      <c r="AL221" s="105"/>
      <c r="AM221" s="105"/>
      <c r="AN221" s="105"/>
      <c r="AO221" s="105"/>
      <c r="AP221" s="105"/>
      <c r="AQ221" s="105"/>
      <c r="AR221" s="105"/>
    </row>
    <row r="222" spans="1:44">
      <c r="A222" s="110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/>
      <c r="AO222" s="105"/>
      <c r="AP222" s="105"/>
      <c r="AQ222" s="105"/>
      <c r="AR222" s="105"/>
    </row>
    <row r="223" spans="1:44">
      <c r="A223" s="110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/>
      <c r="AR223" s="105"/>
    </row>
    <row r="224" spans="1:44">
      <c r="A224" s="110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/>
      <c r="AO224" s="105"/>
      <c r="AP224" s="105"/>
      <c r="AQ224" s="105"/>
      <c r="AR224" s="105"/>
    </row>
    <row r="225" spans="1:44">
      <c r="A225" s="110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/>
      <c r="AO225" s="105"/>
      <c r="AP225" s="105"/>
      <c r="AQ225" s="105"/>
      <c r="AR225" s="105"/>
    </row>
    <row r="226" spans="1:44">
      <c r="A226" s="110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/>
      <c r="AO226" s="105"/>
      <c r="AP226" s="105"/>
      <c r="AQ226" s="105"/>
      <c r="AR226" s="105"/>
    </row>
    <row r="227" spans="1:44">
      <c r="A227" s="110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/>
      <c r="AO227" s="105"/>
      <c r="AP227" s="105"/>
      <c r="AQ227" s="105"/>
      <c r="AR227" s="105"/>
    </row>
    <row r="228" spans="1:44">
      <c r="A228" s="110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/>
      <c r="AO228" s="105"/>
      <c r="AP228" s="105"/>
      <c r="AQ228" s="105"/>
      <c r="AR228" s="105"/>
    </row>
    <row r="229" spans="1:44">
      <c r="A229" s="110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/>
      <c r="AO229" s="105"/>
      <c r="AP229" s="105"/>
      <c r="AQ229" s="105"/>
      <c r="AR229" s="105"/>
    </row>
    <row r="230" spans="1:44">
      <c r="A230" s="110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/>
      <c r="AR230" s="105"/>
    </row>
    <row r="231" spans="1:44">
      <c r="A231" s="110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</row>
    <row r="232" spans="1:44">
      <c r="A232" s="110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</row>
    <row r="233" spans="1:44">
      <c r="A233" s="110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/>
      <c r="AR233" s="105"/>
    </row>
    <row r="234" spans="1:44">
      <c r="A234" s="110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/>
      <c r="AR234" s="105"/>
    </row>
    <row r="235" spans="1:44">
      <c r="A235" s="110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/>
    </row>
    <row r="236" spans="1:44">
      <c r="A236" s="110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</row>
    <row r="237" spans="1:44">
      <c r="A237" s="110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/>
      <c r="AO237" s="105"/>
      <c r="AP237" s="105"/>
      <c r="AQ237" s="105"/>
      <c r="AR237" s="105"/>
    </row>
    <row r="238" spans="1:44">
      <c r="A238" s="110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/>
      <c r="AO238" s="105"/>
      <c r="AP238" s="105"/>
      <c r="AQ238" s="105"/>
      <c r="AR238" s="105"/>
    </row>
    <row r="239" spans="1:44">
      <c r="A239" s="110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/>
      <c r="AO239" s="105"/>
      <c r="AP239" s="105"/>
      <c r="AQ239" s="105"/>
      <c r="AR239" s="105"/>
    </row>
    <row r="240" spans="1:44">
      <c r="A240" s="110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/>
      <c r="AO240" s="105"/>
      <c r="AP240" s="105"/>
      <c r="AQ240" s="105"/>
      <c r="AR240" s="105"/>
    </row>
    <row r="241" spans="1:44">
      <c r="A241" s="110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/>
      <c r="AO241" s="105"/>
      <c r="AP241" s="105"/>
      <c r="AQ241" s="105"/>
      <c r="AR241" s="105"/>
    </row>
    <row r="242" spans="1:44">
      <c r="A242" s="110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/>
      <c r="AO242" s="105"/>
      <c r="AP242" s="105"/>
      <c r="AQ242" s="105"/>
      <c r="AR242" s="105"/>
    </row>
    <row r="243" spans="1:44">
      <c r="A243" s="110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/>
      <c r="AO243" s="105"/>
      <c r="AP243" s="105"/>
      <c r="AQ243" s="105"/>
      <c r="AR243" s="105"/>
    </row>
    <row r="244" spans="1:44">
      <c r="A244" s="110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/>
      <c r="AO244" s="105"/>
      <c r="AP244" s="105"/>
      <c r="AQ244" s="105"/>
      <c r="AR244" s="105"/>
    </row>
    <row r="245" spans="1:44">
      <c r="A245" s="110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/>
      <c r="AO245" s="105"/>
      <c r="AP245" s="105"/>
      <c r="AQ245" s="105"/>
      <c r="AR245" s="105"/>
    </row>
    <row r="246" spans="1:44">
      <c r="A246" s="110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/>
      <c r="AO246" s="105"/>
      <c r="AP246" s="105"/>
      <c r="AQ246" s="105"/>
      <c r="AR246" s="105"/>
    </row>
    <row r="247" spans="1:44">
      <c r="A247" s="110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/>
      <c r="AO247" s="105"/>
      <c r="AP247" s="105"/>
      <c r="AQ247" s="105"/>
      <c r="AR247" s="105"/>
    </row>
    <row r="248" spans="1:44">
      <c r="A248" s="110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/>
      <c r="AO248" s="105"/>
      <c r="AP248" s="105"/>
      <c r="AQ248" s="105"/>
      <c r="AR248" s="105"/>
    </row>
    <row r="249" spans="1:44">
      <c r="A249" s="110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/>
      <c r="AO249" s="105"/>
      <c r="AP249" s="105"/>
      <c r="AQ249" s="105"/>
      <c r="AR249" s="105"/>
    </row>
    <row r="250" spans="1:44">
      <c r="A250" s="110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/>
      <c r="AO250" s="105"/>
      <c r="AP250" s="105"/>
      <c r="AQ250" s="105"/>
      <c r="AR250" s="105"/>
    </row>
    <row r="251" spans="1:44">
      <c r="A251" s="110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/>
      <c r="AO251" s="105"/>
      <c r="AP251" s="105"/>
      <c r="AQ251" s="105"/>
      <c r="AR251" s="105"/>
    </row>
    <row r="252" spans="1:44">
      <c r="A252" s="110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/>
      <c r="AO252" s="105"/>
      <c r="AP252" s="105"/>
      <c r="AQ252" s="105"/>
      <c r="AR252" s="105"/>
    </row>
    <row r="253" spans="1:44">
      <c r="A253" s="110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/>
      <c r="AO253" s="105"/>
      <c r="AP253" s="105"/>
      <c r="AQ253" s="105"/>
      <c r="AR253" s="105"/>
    </row>
    <row r="254" spans="1:44">
      <c r="A254" s="110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/>
      <c r="AO254" s="105"/>
      <c r="AP254" s="105"/>
      <c r="AQ254" s="105"/>
      <c r="AR254" s="105"/>
    </row>
    <row r="255" spans="1:44">
      <c r="A255" s="110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/>
      <c r="AO255" s="105"/>
      <c r="AP255" s="105"/>
      <c r="AQ255" s="105"/>
      <c r="AR255" s="105"/>
    </row>
    <row r="256" spans="1:44">
      <c r="A256" s="110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/>
      <c r="AO256" s="105"/>
      <c r="AP256" s="105"/>
      <c r="AQ256" s="105"/>
      <c r="AR256" s="105"/>
    </row>
    <row r="257" spans="1:44">
      <c r="A257" s="110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/>
      <c r="AO257" s="105"/>
      <c r="AP257" s="105"/>
      <c r="AQ257" s="105"/>
      <c r="AR257" s="105"/>
    </row>
    <row r="258" spans="1:44">
      <c r="A258" s="110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/>
    </row>
    <row r="259" spans="1:44">
      <c r="A259" s="110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</row>
    <row r="260" spans="1:44">
      <c r="A260" s="110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/>
    </row>
    <row r="261" spans="1:44">
      <c r="A261" s="110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/>
    </row>
    <row r="262" spans="1:44">
      <c r="A262" s="110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/>
    </row>
    <row r="263" spans="1:44">
      <c r="A263" s="110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/>
      <c r="AO263" s="105"/>
      <c r="AP263" s="105"/>
      <c r="AQ263" s="105"/>
      <c r="AR263" s="105"/>
    </row>
    <row r="264" spans="1:44">
      <c r="A264" s="110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/>
      <c r="AO264" s="105"/>
      <c r="AP264" s="105"/>
      <c r="AQ264" s="105"/>
      <c r="AR264" s="105"/>
    </row>
    <row r="265" spans="1:44">
      <c r="A265" s="110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/>
      <c r="AO265" s="105"/>
      <c r="AP265" s="105"/>
      <c r="AQ265" s="105"/>
      <c r="AR265" s="105"/>
    </row>
    <row r="266" spans="1:44">
      <c r="A266" s="110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/>
      <c r="AO266" s="105"/>
      <c r="AP266" s="105"/>
      <c r="AQ266" s="105"/>
      <c r="AR266" s="105"/>
    </row>
    <row r="267" spans="1:44">
      <c r="A267" s="110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/>
      <c r="AO267" s="105"/>
      <c r="AP267" s="105"/>
      <c r="AQ267" s="105"/>
      <c r="AR267" s="105"/>
    </row>
    <row r="268" spans="1:44">
      <c r="A268" s="110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/>
      <c r="AO268" s="105"/>
      <c r="AP268" s="105"/>
      <c r="AQ268" s="105"/>
      <c r="AR268" s="105"/>
    </row>
    <row r="269" spans="1:44">
      <c r="A269" s="110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/>
      <c r="AO269" s="105"/>
      <c r="AP269" s="105"/>
      <c r="AQ269" s="105"/>
      <c r="AR269" s="105"/>
    </row>
    <row r="270" spans="1:44">
      <c r="A270" s="110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/>
      <c r="AO270" s="105"/>
      <c r="AP270" s="105"/>
      <c r="AQ270" s="105"/>
      <c r="AR270" s="105"/>
    </row>
    <row r="271" spans="1:44">
      <c r="A271" s="110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/>
      <c r="AO271" s="105"/>
      <c r="AP271" s="105"/>
      <c r="AQ271" s="105"/>
      <c r="AR271" s="105"/>
    </row>
    <row r="272" spans="1:44">
      <c r="A272" s="110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/>
      <c r="AR272" s="105"/>
    </row>
    <row r="273" spans="1:44">
      <c r="A273" s="110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/>
      <c r="AR273" s="105"/>
    </row>
    <row r="274" spans="1:44">
      <c r="A274" s="110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/>
      <c r="AO274" s="105"/>
      <c r="AP274" s="105"/>
      <c r="AQ274" s="105"/>
      <c r="AR274" s="105"/>
    </row>
    <row r="275" spans="1:44">
      <c r="A275" s="110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/>
      <c r="AO275" s="105"/>
      <c r="AP275" s="105"/>
      <c r="AQ275" s="105"/>
      <c r="AR275" s="105"/>
    </row>
    <row r="276" spans="1:44">
      <c r="A276" s="110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/>
      <c r="AO276" s="105"/>
      <c r="AP276" s="105"/>
      <c r="AQ276" s="105"/>
      <c r="AR276" s="105"/>
    </row>
    <row r="277" spans="1:44">
      <c r="A277" s="110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/>
      <c r="AO277" s="105"/>
      <c r="AP277" s="105"/>
      <c r="AQ277" s="105"/>
      <c r="AR277" s="105"/>
    </row>
    <row r="278" spans="1:44">
      <c r="A278" s="110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  <c r="AD278" s="105"/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/>
      <c r="AO278" s="105"/>
      <c r="AP278" s="105"/>
      <c r="AQ278" s="105"/>
      <c r="AR278" s="105"/>
    </row>
    <row r="279" spans="1:44">
      <c r="A279" s="110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/>
      <c r="AO279" s="105"/>
      <c r="AP279" s="105"/>
      <c r="AQ279" s="105"/>
      <c r="AR279" s="105"/>
    </row>
    <row r="280" spans="1:44">
      <c r="A280" s="110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/>
      <c r="AO280" s="105"/>
      <c r="AP280" s="105"/>
      <c r="AQ280" s="105"/>
      <c r="AR280" s="105"/>
    </row>
    <row r="281" spans="1:44">
      <c r="A281" s="110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/>
      <c r="AO281" s="105"/>
      <c r="AP281" s="105"/>
      <c r="AQ281" s="105"/>
      <c r="AR281" s="105"/>
    </row>
    <row r="282" spans="1:44">
      <c r="A282" s="110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/>
      <c r="AO282" s="105"/>
      <c r="AP282" s="105"/>
      <c r="AQ282" s="105"/>
      <c r="AR282" s="105"/>
    </row>
    <row r="283" spans="1:44">
      <c r="A283" s="110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/>
      <c r="AO283" s="105"/>
      <c r="AP283" s="105"/>
      <c r="AQ283" s="105"/>
      <c r="AR283" s="105"/>
    </row>
    <row r="284" spans="1:44">
      <c r="A284" s="110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5"/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/>
      <c r="AO284" s="105"/>
      <c r="AP284" s="105"/>
      <c r="AQ284" s="105"/>
      <c r="AR284" s="105"/>
    </row>
    <row r="285" spans="1:44">
      <c r="A285" s="110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/>
      <c r="AO285" s="105"/>
      <c r="AP285" s="105"/>
      <c r="AQ285" s="105"/>
      <c r="AR285" s="105"/>
    </row>
    <row r="286" spans="1:44">
      <c r="A286" s="110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/>
      <c r="AR286" s="105"/>
    </row>
    <row r="287" spans="1:44">
      <c r="A287" s="110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/>
      <c r="AO287" s="105"/>
      <c r="AP287" s="105"/>
      <c r="AQ287" s="105"/>
      <c r="AR287" s="105"/>
    </row>
    <row r="288" spans="1:44">
      <c r="A288" s="110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/>
      <c r="AR288" s="105"/>
    </row>
    <row r="289" spans="1:44">
      <c r="A289" s="110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/>
    </row>
    <row r="290" spans="1:44">
      <c r="A290" s="110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/>
      <c r="AO290" s="105"/>
      <c r="AP290" s="105"/>
      <c r="AQ290" s="105"/>
      <c r="AR290" s="105"/>
    </row>
    <row r="291" spans="1:44">
      <c r="A291" s="110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/>
      <c r="AO291" s="105"/>
      <c r="AP291" s="105"/>
      <c r="AQ291" s="105"/>
      <c r="AR291" s="105"/>
    </row>
    <row r="292" spans="1:44">
      <c r="A292" s="110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/>
      <c r="AO292" s="105"/>
      <c r="AP292" s="105"/>
      <c r="AQ292" s="105"/>
      <c r="AR292" s="105"/>
    </row>
    <row r="293" spans="1:44">
      <c r="A293" s="110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/>
      <c r="AO293" s="105"/>
      <c r="AP293" s="105"/>
      <c r="AQ293" s="105"/>
      <c r="AR293" s="105"/>
    </row>
    <row r="294" spans="1:44">
      <c r="A294" s="110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/>
      <c r="AO294" s="105"/>
      <c r="AP294" s="105"/>
      <c r="AQ294" s="105"/>
      <c r="AR294" s="105"/>
    </row>
    <row r="295" spans="1:44">
      <c r="A295" s="110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/>
      <c r="AO295" s="105"/>
      <c r="AP295" s="105"/>
      <c r="AQ295" s="105"/>
      <c r="AR295" s="105"/>
    </row>
    <row r="296" spans="1:44">
      <c r="A296" s="110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/>
      <c r="AO296" s="105"/>
      <c r="AP296" s="105"/>
      <c r="AQ296" s="105"/>
      <c r="AR296" s="105"/>
    </row>
    <row r="297" spans="1:44">
      <c r="A297" s="110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/>
      <c r="AO297" s="105"/>
      <c r="AP297" s="105"/>
      <c r="AQ297" s="105"/>
      <c r="AR297" s="105"/>
    </row>
    <row r="298" spans="1:44">
      <c r="A298" s="110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/>
      <c r="AO298" s="105"/>
      <c r="AP298" s="105"/>
      <c r="AQ298" s="105"/>
      <c r="AR298" s="105"/>
    </row>
    <row r="299" spans="1:44">
      <c r="A299" s="110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/>
      <c r="AO299" s="105"/>
      <c r="AP299" s="105"/>
      <c r="AQ299" s="105"/>
      <c r="AR299" s="105"/>
    </row>
    <row r="300" spans="1:44">
      <c r="A300" s="110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/>
      <c r="AO300" s="105"/>
      <c r="AP300" s="105"/>
      <c r="AQ300" s="105"/>
      <c r="AR300" s="105"/>
    </row>
    <row r="301" spans="1:44">
      <c r="A301" s="110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/>
      <c r="AO301" s="105"/>
      <c r="AP301" s="105"/>
      <c r="AQ301" s="105"/>
      <c r="AR301" s="105"/>
    </row>
    <row r="302" spans="1:44">
      <c r="A302" s="110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/>
      <c r="AO302" s="105"/>
      <c r="AP302" s="105"/>
      <c r="AQ302" s="105"/>
      <c r="AR302" s="105"/>
    </row>
    <row r="303" spans="1:44">
      <c r="A303" s="110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/>
      <c r="AO303" s="105"/>
      <c r="AP303" s="105"/>
      <c r="AQ303" s="105"/>
      <c r="AR303" s="105"/>
    </row>
    <row r="304" spans="1:44">
      <c r="A304" s="110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/>
      <c r="AO304" s="105"/>
      <c r="AP304" s="105"/>
      <c r="AQ304" s="105"/>
      <c r="AR304" s="105"/>
    </row>
    <row r="305" spans="1:44">
      <c r="A305" s="110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/>
      <c r="AO305" s="105"/>
      <c r="AP305" s="105"/>
      <c r="AQ305" s="105"/>
      <c r="AR305" s="105"/>
    </row>
    <row r="306" spans="1:44">
      <c r="A306" s="110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/>
      <c r="AO306" s="105"/>
      <c r="AP306" s="105"/>
      <c r="AQ306" s="105"/>
      <c r="AR306" s="105"/>
    </row>
    <row r="307" spans="1:44">
      <c r="A307" s="110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/>
      <c r="AO307" s="105"/>
      <c r="AP307" s="105"/>
      <c r="AQ307" s="105"/>
      <c r="AR307" s="105"/>
    </row>
    <row r="308" spans="1:44">
      <c r="A308" s="110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/>
      <c r="AO308" s="105"/>
      <c r="AP308" s="105"/>
      <c r="AQ308" s="105"/>
      <c r="AR308" s="105"/>
    </row>
    <row r="309" spans="1:44">
      <c r="A309" s="110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/>
      <c r="AO309" s="105"/>
      <c r="AP309" s="105"/>
      <c r="AQ309" s="105"/>
      <c r="AR309" s="105"/>
    </row>
    <row r="310" spans="1:44">
      <c r="A310" s="110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/>
      <c r="AO310" s="105"/>
      <c r="AP310" s="105"/>
      <c r="AQ310" s="105"/>
      <c r="AR310" s="105"/>
    </row>
    <row r="311" spans="1:44">
      <c r="A311" s="110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/>
      <c r="AO311" s="105"/>
      <c r="AP311" s="105"/>
      <c r="AQ311" s="105"/>
      <c r="AR311" s="105"/>
    </row>
    <row r="312" spans="1:44">
      <c r="A312" s="110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/>
      <c r="AO312" s="105"/>
      <c r="AP312" s="105"/>
      <c r="AQ312" s="105"/>
      <c r="AR312" s="105"/>
    </row>
    <row r="313" spans="1:44">
      <c r="A313" s="110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/>
      <c r="AO313" s="105"/>
      <c r="AP313" s="105"/>
      <c r="AQ313" s="105"/>
      <c r="AR313" s="105"/>
    </row>
    <row r="314" spans="1:44">
      <c r="A314" s="110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/>
    </row>
    <row r="315" spans="1:44">
      <c r="A315" s="110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/>
      <c r="AO315" s="105"/>
      <c r="AP315" s="105"/>
      <c r="AQ315" s="105"/>
      <c r="AR315" s="105"/>
    </row>
    <row r="316" spans="1:44">
      <c r="A316" s="110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</row>
    <row r="317" spans="1:44">
      <c r="A317" s="110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/>
      <c r="AR317" s="105"/>
    </row>
    <row r="318" spans="1:44">
      <c r="A318" s="110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105"/>
    </row>
    <row r="319" spans="1:44">
      <c r="A319" s="110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/>
      <c r="AO319" s="105"/>
      <c r="AP319" s="105"/>
      <c r="AQ319" s="105"/>
      <c r="AR319" s="105"/>
    </row>
    <row r="320" spans="1:44">
      <c r="A320" s="110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/>
      <c r="AO320" s="105"/>
      <c r="AP320" s="105"/>
      <c r="AQ320" s="105"/>
      <c r="AR320" s="105"/>
    </row>
    <row r="321" spans="1:44">
      <c r="A321" s="110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/>
      <c r="AO321" s="105"/>
      <c r="AP321" s="105"/>
      <c r="AQ321" s="105"/>
      <c r="AR321" s="105"/>
    </row>
    <row r="322" spans="1:44">
      <c r="A322" s="110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/>
      <c r="AO322" s="105"/>
      <c r="AP322" s="105"/>
      <c r="AQ322" s="105"/>
      <c r="AR322" s="105"/>
    </row>
    <row r="323" spans="1:44">
      <c r="A323" s="110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/>
      <c r="AO323" s="105"/>
      <c r="AP323" s="105"/>
      <c r="AQ323" s="105"/>
      <c r="AR323" s="105"/>
    </row>
    <row r="324" spans="1:44">
      <c r="A324" s="110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/>
      <c r="AO324" s="105"/>
      <c r="AP324" s="105"/>
      <c r="AQ324" s="105"/>
      <c r="AR324" s="105"/>
    </row>
    <row r="325" spans="1:44">
      <c r="A325" s="110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/>
      <c r="AO325" s="105"/>
      <c r="AP325" s="105"/>
      <c r="AQ325" s="105"/>
      <c r="AR325" s="105"/>
    </row>
    <row r="326" spans="1:44">
      <c r="A326" s="110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</row>
    <row r="327" spans="1:44">
      <c r="A327" s="110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</row>
  </sheetData>
  <mergeCells count="13">
    <mergeCell ref="B5:K5"/>
    <mergeCell ref="B6:K6"/>
    <mergeCell ref="B9:K9"/>
    <mergeCell ref="B17:K17"/>
    <mergeCell ref="B18:K18"/>
    <mergeCell ref="B20:K21"/>
    <mergeCell ref="B12:K13"/>
    <mergeCell ref="B7:K8"/>
    <mergeCell ref="B22:K22"/>
    <mergeCell ref="B14:K14"/>
    <mergeCell ref="B15:K15"/>
    <mergeCell ref="B16:K16"/>
    <mergeCell ref="B35:K35"/>
  </mergeCells>
  <printOptions horizontalCentered="1"/>
  <pageMargins left="0.75" right="0.75" top="1" bottom="1" header="0.5" footer="0.5"/>
  <pageSetup scale="87" firstPageNumber="2" orientation="portrait" horizontalDpi="4294967292" verticalDpi="4294967292" r:id="rId1"/>
  <headerFooter alignWithMargins="0">
    <oddFooter>&amp;LScot Chambers
&amp;D&amp;R&amp;F
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2"/>
  <sheetViews>
    <sheetView zoomScale="75" zoomScaleNormal="100" zoomScaleSheetLayoutView="75" workbookViewId="0">
      <selection activeCell="F28" sqref="F28"/>
    </sheetView>
  </sheetViews>
  <sheetFormatPr defaultRowHeight="13.2"/>
  <sheetData>
    <row r="1" spans="1:8" ht="15.6">
      <c r="A1" s="131" t="str">
        <f>Scope!A1</f>
        <v>Santee Cooper 5 x LM6000 PC Power Project (236 MW)</v>
      </c>
      <c r="B1" s="90"/>
      <c r="C1" s="90"/>
      <c r="D1" s="90"/>
      <c r="E1" s="90"/>
      <c r="F1" s="90"/>
      <c r="G1" s="90"/>
      <c r="H1" s="90"/>
    </row>
    <row r="2" spans="1:8" ht="15.6">
      <c r="A2" s="296" t="s">
        <v>186</v>
      </c>
      <c r="B2" s="237"/>
      <c r="C2" s="237"/>
      <c r="D2" s="237"/>
      <c r="E2" s="237"/>
      <c r="F2" s="237"/>
      <c r="G2" s="237"/>
      <c r="H2" s="237"/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Image2">
          <controlPr autoLine="0" r:id="rId5">
            <anchor moveWithCells="1">
              <from>
                <xdr:col>4</xdr:col>
                <xdr:colOff>114300</xdr:colOff>
                <xdr:row>15</xdr:row>
                <xdr:rowOff>121920</xdr:rowOff>
              </from>
              <to>
                <xdr:col>5</xdr:col>
                <xdr:colOff>419100</xdr:colOff>
                <xdr:row>21</xdr:row>
                <xdr:rowOff>60960</xdr:rowOff>
              </to>
            </anchor>
          </controlPr>
        </control>
      </mc:Choice>
      <mc:Fallback>
        <control shapeId="1026" r:id="rId4" name="Image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1907"/>
  <sheetViews>
    <sheetView zoomScale="75" zoomScaleNormal="25" zoomScaleSheetLayoutView="100" workbookViewId="0">
      <selection activeCell="G43" sqref="G43"/>
    </sheetView>
  </sheetViews>
  <sheetFormatPr defaultColWidth="9.109375" defaultRowHeight="13.2"/>
  <cols>
    <col min="1" max="1" width="4.6640625" style="3" customWidth="1"/>
    <col min="2" max="2" width="46.33203125" style="3" customWidth="1"/>
    <col min="3" max="3" width="10.33203125" style="3" customWidth="1"/>
    <col min="4" max="4" width="3.33203125" style="3" customWidth="1"/>
    <col min="5" max="5" width="11.109375" style="3" customWidth="1"/>
    <col min="6" max="6" width="14.33203125" style="3" bestFit="1" customWidth="1"/>
    <col min="7" max="7" width="15.44140625" style="3" bestFit="1" customWidth="1"/>
    <col min="8" max="9" width="11.33203125" style="3" customWidth="1"/>
    <col min="10" max="10" width="12.88671875" style="3" customWidth="1"/>
    <col min="11" max="13" width="9.109375" style="3"/>
    <col min="14" max="16384" width="9.109375" style="2"/>
  </cols>
  <sheetData>
    <row r="1" spans="1:13" s="34" customFormat="1" ht="15.6">
      <c r="A1" s="33" t="str">
        <f>Scope!A1</f>
        <v>Santee Cooper 5 x LM6000 PC Power Project (236 MW)</v>
      </c>
      <c r="B1" s="15"/>
      <c r="C1" s="33"/>
      <c r="D1" s="33"/>
      <c r="E1" s="33"/>
      <c r="F1" s="33"/>
      <c r="G1" s="33"/>
      <c r="H1" s="33"/>
    </row>
    <row r="2" spans="1:13" s="34" customFormat="1" ht="15.6">
      <c r="A2" s="33" t="s">
        <v>187</v>
      </c>
      <c r="B2" s="33"/>
      <c r="C2" s="33"/>
      <c r="D2" s="33"/>
      <c r="E2" s="33"/>
      <c r="F2" s="33"/>
      <c r="G2" s="33"/>
      <c r="H2" s="33"/>
    </row>
    <row r="3" spans="1:13" s="34" customFormat="1" ht="15.6">
      <c r="A3" s="33"/>
      <c r="B3" s="33"/>
      <c r="C3" s="33"/>
      <c r="D3" s="33"/>
      <c r="E3" s="33"/>
      <c r="F3" s="33"/>
      <c r="G3" s="33"/>
      <c r="H3" s="33"/>
    </row>
    <row r="4" spans="1:13" s="34" customFormat="1" ht="15.6">
      <c r="A4" s="33"/>
      <c r="B4" s="33"/>
      <c r="C4" s="33"/>
      <c r="D4" s="33"/>
      <c r="E4" s="33"/>
      <c r="F4" s="33"/>
      <c r="G4" s="33"/>
      <c r="H4" s="33"/>
    </row>
    <row r="5" spans="1:13" s="34" customFormat="1" ht="16.2" thickBot="1">
      <c r="A5" s="257" t="s">
        <v>239</v>
      </c>
      <c r="E5" s="35"/>
    </row>
    <row r="6" spans="1:13" s="34" customFormat="1" ht="13.8" thickBot="1">
      <c r="B6" s="32"/>
      <c r="C6" s="155"/>
      <c r="D6" s="32"/>
      <c r="E6" s="36" t="s">
        <v>240</v>
      </c>
      <c r="F6" s="32"/>
    </row>
    <row r="7" spans="1:13" s="34" customFormat="1">
      <c r="A7" s="42" t="s">
        <v>241</v>
      </c>
      <c r="B7" s="23"/>
      <c r="C7" s="152"/>
      <c r="D7" s="23"/>
      <c r="E7" s="37"/>
      <c r="F7" s="4"/>
      <c r="G7" s="4"/>
      <c r="H7" s="4"/>
      <c r="I7" s="4"/>
      <c r="J7" s="4"/>
    </row>
    <row r="8" spans="1:13" s="34" customFormat="1">
      <c r="A8" s="42"/>
      <c r="B8" s="23" t="s">
        <v>242</v>
      </c>
      <c r="C8" s="23"/>
      <c r="D8" s="23"/>
      <c r="E8" s="22">
        <f>Mob_Estimate!D6</f>
        <v>0</v>
      </c>
      <c r="F8" s="4"/>
      <c r="G8" s="4"/>
      <c r="H8" s="4"/>
      <c r="I8" s="4"/>
      <c r="J8" s="4"/>
    </row>
    <row r="9" spans="1:13" s="34" customFormat="1">
      <c r="A9" s="42"/>
      <c r="B9" s="23" t="s">
        <v>243</v>
      </c>
      <c r="C9" s="23"/>
      <c r="D9" s="23"/>
      <c r="E9" s="22">
        <v>175000</v>
      </c>
      <c r="F9" s="4"/>
      <c r="G9" s="4"/>
      <c r="H9" s="4"/>
      <c r="I9" s="4"/>
      <c r="J9" s="4"/>
    </row>
    <row r="10" spans="1:13" s="34" customFormat="1">
      <c r="A10" s="4"/>
      <c r="B10" s="23" t="s">
        <v>244</v>
      </c>
      <c r="C10" s="23"/>
      <c r="D10" s="23"/>
      <c r="E10" s="22">
        <v>375000</v>
      </c>
      <c r="F10" s="4"/>
      <c r="G10" s="4"/>
      <c r="H10" s="4"/>
      <c r="I10" s="4"/>
      <c r="J10" s="4"/>
    </row>
    <row r="11" spans="1:13" s="34" customFormat="1">
      <c r="A11" s="4"/>
      <c r="B11" s="23" t="s">
        <v>245</v>
      </c>
      <c r="C11" s="23"/>
      <c r="D11" s="23"/>
      <c r="E11" s="22">
        <v>260000</v>
      </c>
      <c r="F11" s="4"/>
      <c r="G11" s="4"/>
      <c r="H11" s="4"/>
      <c r="I11" s="4"/>
      <c r="J11" s="4"/>
    </row>
    <row r="12" spans="1:13" s="34" customFormat="1">
      <c r="A12" s="4"/>
      <c r="B12" s="23"/>
      <c r="C12" s="23"/>
      <c r="D12" s="23"/>
      <c r="E12" s="22"/>
      <c r="F12" s="4"/>
      <c r="G12" s="4"/>
      <c r="H12" s="4"/>
      <c r="I12" s="4"/>
      <c r="J12" s="4"/>
    </row>
    <row r="13" spans="1:13" s="34" customFormat="1" ht="13.8" thickBot="1">
      <c r="A13" s="4"/>
      <c r="B13" s="39" t="s">
        <v>246</v>
      </c>
      <c r="C13" s="23"/>
      <c r="D13" s="23"/>
      <c r="E13" s="40">
        <f>SUBTOTAL(9,E7:E11)</f>
        <v>810000</v>
      </c>
      <c r="F13" s="604">
        <f>E13/236000</f>
        <v>3.4322033898305087</v>
      </c>
      <c r="G13" s="4" t="s">
        <v>347</v>
      </c>
      <c r="H13" s="4"/>
      <c r="I13" s="4"/>
      <c r="J13" s="4"/>
    </row>
    <row r="14" spans="1:13" s="34" customFormat="1" ht="13.8" hidden="1" thickBot="1">
      <c r="A14" s="4"/>
      <c r="B14" s="39"/>
      <c r="C14" s="39"/>
      <c r="D14" s="39"/>
      <c r="E14" s="39"/>
      <c r="F14" s="605"/>
      <c r="G14" s="32"/>
      <c r="H14" s="32"/>
      <c r="I14" s="4"/>
      <c r="J14" s="4"/>
      <c r="K14" s="4"/>
      <c r="L14" s="4"/>
      <c r="M14" s="4"/>
    </row>
    <row r="15" spans="1:13" s="34" customFormat="1" hidden="1">
      <c r="A15" s="4"/>
      <c r="B15" s="42" t="s">
        <v>247</v>
      </c>
      <c r="C15" s="39"/>
      <c r="D15" s="39"/>
      <c r="E15" s="300">
        <f>Mob_Estimate!D41</f>
        <v>0</v>
      </c>
      <c r="F15" s="605"/>
      <c r="G15" s="32"/>
      <c r="H15" s="32"/>
      <c r="I15" s="4"/>
      <c r="J15" s="4"/>
      <c r="K15" s="4"/>
      <c r="L15" s="4"/>
      <c r="M15" s="4"/>
    </row>
    <row r="16" spans="1:13" s="34" customFormat="1" hidden="1">
      <c r="A16" s="4"/>
      <c r="B16" s="42"/>
      <c r="C16" s="39"/>
      <c r="D16" s="39"/>
      <c r="E16" s="303"/>
      <c r="F16" s="605"/>
      <c r="G16" s="32"/>
      <c r="H16" s="32"/>
      <c r="I16" s="4"/>
      <c r="J16" s="4"/>
      <c r="K16" s="4"/>
      <c r="L16" s="4"/>
      <c r="M16" s="4"/>
    </row>
    <row r="17" spans="1:13" s="34" customFormat="1" hidden="1">
      <c r="A17" s="4"/>
      <c r="B17" s="42" t="s">
        <v>248</v>
      </c>
      <c r="C17" s="39"/>
      <c r="D17" s="39"/>
      <c r="E17" s="303">
        <f>Mob_Estimate!D43</f>
        <v>0</v>
      </c>
      <c r="F17" s="605"/>
      <c r="G17" s="32"/>
      <c r="H17" s="32"/>
      <c r="I17" s="4"/>
      <c r="J17" s="4"/>
      <c r="K17" s="4"/>
      <c r="L17" s="4"/>
      <c r="M17" s="4"/>
    </row>
    <row r="18" spans="1:13" s="34" customFormat="1" hidden="1">
      <c r="A18" s="4"/>
      <c r="B18" s="42"/>
      <c r="C18" s="39"/>
      <c r="D18" s="39"/>
      <c r="E18" s="303"/>
      <c r="F18" s="605"/>
      <c r="G18" s="32"/>
      <c r="H18" s="32"/>
      <c r="I18" s="4"/>
      <c r="J18" s="4"/>
      <c r="K18" s="4"/>
      <c r="L18" s="4"/>
      <c r="M18" s="4"/>
    </row>
    <row r="19" spans="1:13" s="34" customFormat="1" ht="13.8" hidden="1" thickBot="1">
      <c r="A19" s="4"/>
      <c r="B19" s="42" t="s">
        <v>249</v>
      </c>
      <c r="C19" s="39"/>
      <c r="D19" s="39"/>
      <c r="E19" s="301">
        <f>Mob_Estimate!D45</f>
        <v>0</v>
      </c>
      <c r="F19" s="605"/>
      <c r="G19" s="32"/>
      <c r="H19" s="32"/>
      <c r="I19" s="4"/>
      <c r="J19" s="4"/>
      <c r="K19" s="4"/>
      <c r="L19" s="4"/>
      <c r="M19" s="4"/>
    </row>
    <row r="20" spans="1:13" s="34" customFormat="1" ht="13.8" thickBot="1">
      <c r="A20" s="4"/>
      <c r="B20" s="42"/>
      <c r="C20" s="39"/>
      <c r="D20" s="39"/>
      <c r="E20" s="203"/>
      <c r="F20" s="605"/>
      <c r="G20" s="32"/>
      <c r="H20" s="32"/>
      <c r="I20" s="4"/>
      <c r="J20" s="4"/>
      <c r="K20" s="4"/>
      <c r="L20" s="4"/>
      <c r="M20" s="4"/>
    </row>
    <row r="21" spans="1:13" s="34" customFormat="1" ht="13.8" thickBot="1">
      <c r="A21" s="4"/>
      <c r="B21" s="39" t="s">
        <v>211</v>
      </c>
      <c r="C21" s="153"/>
      <c r="D21" s="39"/>
      <c r="E21" s="28">
        <v>1320000</v>
      </c>
      <c r="F21" s="605">
        <f>E21/236000</f>
        <v>5.593220338983051</v>
      </c>
      <c r="G21" s="4" t="s">
        <v>347</v>
      </c>
      <c r="K21" s="4"/>
      <c r="L21" s="4"/>
      <c r="M21" s="4"/>
    </row>
    <row r="22" spans="1:13" s="34" customFormat="1" ht="13.8" thickBot="1">
      <c r="A22" s="4"/>
      <c r="F22" s="605"/>
      <c r="K22" s="4"/>
      <c r="L22" s="4"/>
      <c r="M22" s="4"/>
    </row>
    <row r="23" spans="1:13" s="34" customFormat="1" ht="13.8" thickBot="1">
      <c r="A23" s="4"/>
      <c r="B23" s="42" t="s">
        <v>299</v>
      </c>
      <c r="C23" s="39"/>
      <c r="D23" s="39"/>
      <c r="E23" s="200">
        <v>90000</v>
      </c>
      <c r="F23" s="605">
        <f>E23/236000</f>
        <v>0.38135593220338981</v>
      </c>
      <c r="G23" s="4" t="s">
        <v>347</v>
      </c>
      <c r="H23" s="32"/>
      <c r="I23" s="4"/>
      <c r="J23" s="4"/>
      <c r="K23" s="4"/>
      <c r="L23" s="4"/>
      <c r="M23" s="4"/>
    </row>
    <row r="24" spans="1:13" s="34" customFormat="1" ht="13.8" thickBot="1">
      <c r="A24" s="4"/>
      <c r="B24" s="42"/>
      <c r="C24" s="39"/>
      <c r="D24" s="39"/>
      <c r="E24" s="203"/>
      <c r="F24" s="605"/>
      <c r="G24" s="32"/>
      <c r="H24" s="32"/>
      <c r="I24" s="4"/>
      <c r="J24" s="4"/>
      <c r="K24" s="4"/>
      <c r="L24" s="4"/>
      <c r="M24" s="4"/>
    </row>
    <row r="25" spans="1:13" s="34" customFormat="1" ht="13.8" thickBot="1">
      <c r="A25" s="4"/>
      <c r="B25" s="42" t="s">
        <v>362</v>
      </c>
      <c r="C25" s="39"/>
      <c r="D25" s="39"/>
      <c r="E25" s="200">
        <f>SUM(E13:E23)</f>
        <v>2220000</v>
      </c>
      <c r="F25" s="623">
        <f>SUM(F13:F23)</f>
        <v>9.4067796610169498</v>
      </c>
      <c r="G25" s="624" t="s">
        <v>347</v>
      </c>
      <c r="H25" s="32"/>
      <c r="I25" s="4"/>
      <c r="J25" s="4"/>
      <c r="K25" s="4"/>
      <c r="L25" s="4"/>
      <c r="M25" s="4"/>
    </row>
    <row r="26" spans="1:13" s="34" customFormat="1" ht="13.8" thickBot="1">
      <c r="A26" s="4"/>
      <c r="B26" s="42"/>
      <c r="C26" s="39"/>
      <c r="D26" s="39"/>
      <c r="E26" s="203"/>
      <c r="F26" s="32"/>
      <c r="G26" s="32"/>
      <c r="H26" s="32"/>
      <c r="I26" s="4"/>
      <c r="J26" s="4"/>
      <c r="K26" s="4"/>
      <c r="L26" s="4"/>
      <c r="M26" s="4"/>
    </row>
    <row r="27" spans="1:13" s="34" customFormat="1" ht="13.8" thickBot="1">
      <c r="A27" s="4"/>
      <c r="B27" s="39" t="s">
        <v>345</v>
      </c>
      <c r="C27" s="39"/>
      <c r="D27" s="39"/>
      <c r="E27" s="603">
        <v>1000000</v>
      </c>
      <c r="F27" s="32"/>
      <c r="G27" s="32"/>
      <c r="H27" s="32"/>
      <c r="I27" s="4"/>
      <c r="J27" s="4"/>
      <c r="K27" s="4"/>
      <c r="L27" s="4"/>
      <c r="M27" s="4"/>
    </row>
    <row r="28" spans="1:13" s="34" customFormat="1">
      <c r="A28" s="4"/>
      <c r="B28" s="39"/>
      <c r="C28" s="153"/>
      <c r="D28" s="39"/>
      <c r="E28" s="32"/>
      <c r="F28" s="32"/>
      <c r="G28" s="32"/>
      <c r="H28" s="32"/>
      <c r="I28" s="4"/>
      <c r="J28" s="4"/>
      <c r="K28" s="4"/>
      <c r="L28" s="4"/>
      <c r="M28" s="4"/>
    </row>
    <row r="29" spans="1:13" s="34" customFormat="1" ht="15.6">
      <c r="A29" s="257" t="s">
        <v>251</v>
      </c>
      <c r="B29" s="39"/>
      <c r="C29" s="39"/>
      <c r="D29" s="39"/>
      <c r="E29" s="39"/>
      <c r="F29" s="32"/>
      <c r="G29" s="32"/>
      <c r="H29" s="32"/>
      <c r="I29" s="4"/>
      <c r="J29" s="4"/>
      <c r="K29" s="4"/>
      <c r="L29" s="4"/>
      <c r="M29" s="4"/>
    </row>
    <row r="30" spans="1:13" s="34" customFormat="1" ht="13.8" thickBot="1">
      <c r="A30" s="4"/>
      <c r="B30" s="23"/>
      <c r="C30" s="23"/>
      <c r="D30" s="23"/>
      <c r="E30" s="23"/>
      <c r="F30" s="23"/>
      <c r="H30" s="12"/>
      <c r="I30" s="4"/>
      <c r="J30" s="4"/>
      <c r="K30" s="4"/>
      <c r="L30" s="4"/>
    </row>
    <row r="31" spans="1:13" s="34" customFormat="1" ht="13.8" thickBot="1">
      <c r="A31" s="4"/>
      <c r="B31" s="23"/>
      <c r="C31" s="23"/>
      <c r="D31" s="23"/>
      <c r="E31" s="591" t="s">
        <v>240</v>
      </c>
      <c r="F31" s="12"/>
      <c r="H31" s="590"/>
      <c r="I31" s="4"/>
      <c r="J31" s="4"/>
      <c r="K31" s="4"/>
      <c r="L31" s="4"/>
    </row>
    <row r="32" spans="1:13" s="34" customFormat="1">
      <c r="A32" s="42" t="s">
        <v>253</v>
      </c>
      <c r="B32" s="23"/>
      <c r="C32" s="152"/>
      <c r="D32" s="23"/>
      <c r="E32" s="37"/>
      <c r="F32" s="23" t="s">
        <v>352</v>
      </c>
      <c r="G32" s="34" t="s">
        <v>348</v>
      </c>
      <c r="H32" s="23"/>
      <c r="I32" s="4"/>
      <c r="J32" s="4"/>
      <c r="K32" s="4"/>
      <c r="L32" s="4"/>
    </row>
    <row r="33" spans="1:12" s="34" customFormat="1">
      <c r="A33" s="4"/>
      <c r="B33" s="23" t="s">
        <v>254</v>
      </c>
      <c r="C33" s="23"/>
      <c r="D33" s="23"/>
      <c r="E33" s="22">
        <f>'O&amp;M_Estimate'!E8</f>
        <v>406043.19160615373</v>
      </c>
      <c r="F33" s="607">
        <f>E33/236000</f>
        <v>1.7205219983311599</v>
      </c>
      <c r="G33" s="606"/>
      <c r="H33" s="32"/>
      <c r="I33" s="4"/>
      <c r="J33" s="4"/>
      <c r="K33" s="4"/>
      <c r="L33" s="4"/>
    </row>
    <row r="34" spans="1:12" s="34" customFormat="1">
      <c r="A34" s="4"/>
      <c r="B34" s="23" t="s">
        <v>255</v>
      </c>
      <c r="C34" s="23"/>
      <c r="D34" s="23"/>
      <c r="E34" s="22">
        <v>180000</v>
      </c>
      <c r="F34" s="607">
        <f>E34/236000</f>
        <v>0.76271186440677963</v>
      </c>
      <c r="G34" s="606"/>
      <c r="H34" s="32"/>
      <c r="I34" s="4"/>
      <c r="J34" s="4"/>
      <c r="K34" s="4"/>
      <c r="L34" s="4"/>
    </row>
    <row r="35" spans="1:12" s="34" customFormat="1">
      <c r="A35" s="4"/>
      <c r="B35" s="23" t="s">
        <v>349</v>
      </c>
      <c r="C35" s="23"/>
      <c r="D35" s="23"/>
      <c r="E35" s="22">
        <v>100000</v>
      </c>
      <c r="F35" s="607"/>
      <c r="G35" s="612">
        <f>E35/236/1300</f>
        <v>0.32594524119947849</v>
      </c>
      <c r="H35" s="32"/>
      <c r="I35" s="4"/>
      <c r="J35" s="4"/>
      <c r="K35" s="4"/>
      <c r="L35" s="4"/>
    </row>
    <row r="36" spans="1:12" s="34" customFormat="1">
      <c r="A36" s="4"/>
      <c r="B36" s="23" t="s">
        <v>256</v>
      </c>
      <c r="C36" s="23"/>
      <c r="D36" s="23"/>
      <c r="E36" s="22">
        <v>405000</v>
      </c>
      <c r="F36" s="607">
        <f>E36/236000</f>
        <v>1.7161016949152543</v>
      </c>
      <c r="G36" s="606"/>
      <c r="H36" s="32"/>
      <c r="I36" s="4"/>
      <c r="J36" s="4"/>
      <c r="K36" s="4"/>
      <c r="L36" s="4"/>
    </row>
    <row r="37" spans="1:12" s="34" customFormat="1">
      <c r="A37" s="4"/>
      <c r="B37" s="23" t="s">
        <v>257</v>
      </c>
      <c r="C37" s="23"/>
      <c r="D37" s="23"/>
      <c r="E37" s="22">
        <v>26000</v>
      </c>
      <c r="F37" s="607">
        <f>E37/236000</f>
        <v>0.11016949152542373</v>
      </c>
      <c r="G37" s="606"/>
      <c r="H37" s="32"/>
      <c r="I37" s="4"/>
      <c r="J37" s="4"/>
      <c r="K37" s="4"/>
      <c r="L37" s="4"/>
    </row>
    <row r="38" spans="1:12" s="34" customFormat="1">
      <c r="A38" s="4"/>
      <c r="B38" s="23"/>
      <c r="C38" s="23"/>
      <c r="D38" s="23"/>
      <c r="E38" s="22"/>
      <c r="F38" s="607"/>
      <c r="G38" s="606"/>
      <c r="H38" s="32"/>
      <c r="I38" s="4"/>
      <c r="J38" s="4"/>
      <c r="K38" s="4"/>
      <c r="L38" s="4"/>
    </row>
    <row r="39" spans="1:12" s="34" customFormat="1" ht="13.8" thickBot="1">
      <c r="A39" s="4"/>
      <c r="B39" s="39" t="s">
        <v>258</v>
      </c>
      <c r="C39" s="23"/>
      <c r="D39" s="23"/>
      <c r="E39" s="40">
        <f>SUM(E33:E37)</f>
        <v>1117043.1916061537</v>
      </c>
      <c r="F39" s="607"/>
      <c r="G39" s="606"/>
      <c r="H39" s="32"/>
      <c r="I39" s="4"/>
      <c r="J39" s="4"/>
      <c r="K39" s="4"/>
      <c r="L39" s="4"/>
    </row>
    <row r="40" spans="1:12" s="34" customFormat="1">
      <c r="A40" s="4"/>
      <c r="B40" s="39"/>
      <c r="C40" s="39"/>
      <c r="D40" s="39"/>
      <c r="E40" s="32"/>
      <c r="F40" s="608"/>
      <c r="G40" s="32"/>
      <c r="H40" s="32"/>
      <c r="I40" s="4"/>
      <c r="J40" s="4"/>
      <c r="K40" s="4"/>
      <c r="L40" s="4"/>
    </row>
    <row r="41" spans="1:12" s="34" customFormat="1" ht="13.8" thickBot="1">
      <c r="A41" s="4"/>
      <c r="B41" s="23"/>
      <c r="C41" s="23"/>
      <c r="D41" s="23"/>
      <c r="E41" s="23"/>
      <c r="F41" s="608"/>
      <c r="G41" s="23"/>
      <c r="H41" s="4"/>
      <c r="I41" s="4"/>
      <c r="J41" s="256"/>
      <c r="K41" s="4"/>
      <c r="L41" s="4"/>
    </row>
    <row r="42" spans="1:12" s="34" customFormat="1" ht="13.8" thickBot="1">
      <c r="A42" s="42" t="s">
        <v>259</v>
      </c>
      <c r="B42" s="23"/>
      <c r="C42" s="306" t="s">
        <v>343</v>
      </c>
      <c r="E42" s="28">
        <v>7140000</v>
      </c>
      <c r="F42" s="608"/>
      <c r="G42" s="137"/>
      <c r="H42" s="4"/>
      <c r="I42" s="32"/>
      <c r="J42" s="4"/>
      <c r="K42" s="4"/>
      <c r="L42" s="4"/>
    </row>
    <row r="43" spans="1:12" s="34" customFormat="1" ht="13.8" thickBot="1">
      <c r="A43" s="42"/>
      <c r="B43" s="23"/>
      <c r="C43" s="152" t="s">
        <v>344</v>
      </c>
      <c r="D43" s="23"/>
      <c r="E43" s="602">
        <v>57</v>
      </c>
      <c r="F43" s="608"/>
      <c r="G43" s="612">
        <f>E42/18/236/1300</f>
        <v>1.2929161234245981</v>
      </c>
      <c r="H43" s="4"/>
      <c r="I43" s="32"/>
      <c r="J43" s="4"/>
      <c r="K43" s="4"/>
      <c r="L43" s="4"/>
    </row>
    <row r="44" spans="1:12" s="34" customFormat="1" ht="13.8" thickBot="1">
      <c r="B44" s="39"/>
      <c r="C44" s="39"/>
      <c r="D44" s="39"/>
      <c r="E44" s="4"/>
      <c r="F44" s="609"/>
      <c r="G44" s="137"/>
      <c r="H44" s="4"/>
      <c r="I44" s="4"/>
      <c r="J44" s="4"/>
      <c r="K44" s="4"/>
      <c r="L44" s="4"/>
    </row>
    <row r="45" spans="1:12" s="34" customFormat="1">
      <c r="A45" s="223" t="s">
        <v>350</v>
      </c>
      <c r="B45" s="154"/>
      <c r="C45" s="139"/>
      <c r="D45" s="39"/>
      <c r="E45"/>
      <c r="F45" s="615">
        <f>SUM(F33:F43)</f>
        <v>4.3095050491786182</v>
      </c>
      <c r="G45" s="615">
        <f>SUM(G33:G43)</f>
        <v>1.6188613646240766</v>
      </c>
      <c r="H45" s="4"/>
      <c r="I45" s="4"/>
      <c r="J45" s="4"/>
      <c r="K45" s="4"/>
      <c r="L45" s="4"/>
    </row>
    <row r="46" spans="1:12" s="34" customFormat="1" hidden="1">
      <c r="A46"/>
      <c r="B46" s="154"/>
      <c r="C46" s="139"/>
      <c r="D46" s="39"/>
      <c r="E46"/>
      <c r="F46" s="616"/>
      <c r="G46" s="620"/>
      <c r="H46" s="4"/>
      <c r="I46" s="4"/>
      <c r="J46" s="4"/>
      <c r="K46" s="4"/>
      <c r="L46" s="4"/>
    </row>
    <row r="47" spans="1:12" s="34" customFormat="1" ht="13.8" hidden="1" thickBot="1">
      <c r="A47" s="42" t="s">
        <v>260</v>
      </c>
      <c r="B47" s="154"/>
      <c r="C47" s="139"/>
      <c r="D47" s="39"/>
      <c r="E47" s="613">
        <f>'O&amp;M_Estimate'!D54</f>
        <v>0</v>
      </c>
      <c r="F47" s="610">
        <f>'O&amp;M_Estimate'!E54</f>
        <v>0</v>
      </c>
      <c r="G47" s="200">
        <f>'O&amp;M_Estimate'!F54</f>
        <v>0</v>
      </c>
      <c r="H47" s="4"/>
      <c r="I47" s="4"/>
      <c r="J47" s="4"/>
      <c r="K47" s="4"/>
      <c r="L47" s="4"/>
    </row>
    <row r="48" spans="1:12" s="34" customFormat="1" hidden="1">
      <c r="A48" s="4"/>
      <c r="B48" s="39"/>
      <c r="C48" s="39"/>
      <c r="D48" s="39"/>
      <c r="E48" s="4"/>
      <c r="F48" s="617"/>
      <c r="G48" s="38"/>
      <c r="H48" s="4"/>
      <c r="I48" s="4"/>
      <c r="J48" s="4"/>
      <c r="K48" s="4"/>
      <c r="L48" s="4"/>
    </row>
    <row r="49" spans="1:13" s="34" customFormat="1" ht="13.8" hidden="1" thickBot="1">
      <c r="A49" s="42" t="s">
        <v>261</v>
      </c>
      <c r="B49"/>
      <c r="C49" s="152"/>
      <c r="D49"/>
      <c r="E49" s="614">
        <f>'O&amp;M_Estimate'!D56</f>
        <v>0</v>
      </c>
      <c r="F49" s="611">
        <f>'O&amp;M_Estimate'!E56</f>
        <v>0</v>
      </c>
      <c r="G49" s="28">
        <f>'O&amp;M_Estimate'!F56</f>
        <v>0</v>
      </c>
      <c r="H49" s="4"/>
      <c r="I49" s="4"/>
      <c r="J49" s="4"/>
      <c r="K49" s="4"/>
      <c r="L49" s="4"/>
      <c r="M49" s="4"/>
    </row>
    <row r="50" spans="1:13" s="34" customFormat="1" hidden="1">
      <c r="A50" s="42"/>
      <c r="B50"/>
      <c r="C50" s="152"/>
      <c r="D50"/>
      <c r="E50" s="32"/>
      <c r="F50" s="617"/>
      <c r="G50" s="22"/>
      <c r="H50" s="4"/>
      <c r="I50" s="4"/>
      <c r="J50" s="4"/>
      <c r="K50" s="4"/>
      <c r="L50" s="4"/>
      <c r="M50" s="4"/>
    </row>
    <row r="51" spans="1:13" s="34" customFormat="1" hidden="1">
      <c r="A51" s="42"/>
      <c r="B51" s="23"/>
      <c r="C51"/>
      <c r="D51"/>
      <c r="E51"/>
      <c r="F51" s="618"/>
      <c r="G51" s="621"/>
      <c r="H51" s="4"/>
      <c r="I51" s="4"/>
      <c r="J51" s="4"/>
      <c r="K51" s="4"/>
      <c r="L51" s="4"/>
      <c r="M51" s="4"/>
    </row>
    <row r="52" spans="1:13" s="34" customFormat="1" hidden="1">
      <c r="A52" s="223" t="s">
        <v>262</v>
      </c>
      <c r="B52" s="23"/>
      <c r="C52" s="23"/>
      <c r="D52" s="23"/>
      <c r="E52" s="23"/>
      <c r="F52" s="617"/>
      <c r="G52" s="38"/>
      <c r="H52" s="4"/>
      <c r="I52" s="4"/>
      <c r="J52" s="4"/>
      <c r="K52" s="4"/>
      <c r="L52" s="4"/>
      <c r="M52" s="4"/>
    </row>
    <row r="53" spans="1:13" s="34" customFormat="1" hidden="1">
      <c r="A53" s="223"/>
      <c r="B53" s="23"/>
      <c r="C53" s="23"/>
      <c r="D53" s="23"/>
      <c r="E53" s="23"/>
      <c r="F53" s="617"/>
      <c r="G53" s="38"/>
      <c r="H53" s="4"/>
      <c r="I53" s="4"/>
      <c r="J53" s="4"/>
      <c r="K53" s="4"/>
      <c r="L53" s="4"/>
      <c r="M53" s="4"/>
    </row>
    <row r="54" spans="1:13" s="34" customFormat="1" ht="13.8" thickBot="1">
      <c r="A54" s="4"/>
      <c r="B54" s="23"/>
      <c r="C54" s="23"/>
      <c r="D54" s="23"/>
      <c r="E54" s="23"/>
      <c r="F54" s="619" t="s">
        <v>353</v>
      </c>
      <c r="G54" s="622" t="s">
        <v>351</v>
      </c>
      <c r="H54" s="4"/>
      <c r="I54" s="4"/>
      <c r="J54" s="4"/>
      <c r="K54" s="4"/>
      <c r="L54" s="4"/>
      <c r="M54" s="4"/>
    </row>
    <row r="55" spans="1:13" s="34" customFormat="1" ht="13.8" thickBot="1">
      <c r="A55" s="4"/>
      <c r="B55" s="23"/>
      <c r="C55" s="23"/>
      <c r="D55" s="23"/>
      <c r="E55" s="23"/>
      <c r="F55" s="609"/>
      <c r="G55" s="4"/>
      <c r="H55" s="4"/>
      <c r="I55" s="4"/>
      <c r="J55" s="4"/>
      <c r="K55" s="4"/>
      <c r="L55" s="4"/>
      <c r="M55" s="4"/>
    </row>
    <row r="56" spans="1:13" s="34" customFormat="1" ht="13.8" thickBot="1">
      <c r="A56" s="223" t="s">
        <v>566</v>
      </c>
      <c r="B56" s="23"/>
      <c r="C56" s="23"/>
      <c r="D56" s="23"/>
      <c r="E56" s="200">
        <f>'O&amp;M_Estimate'!D63</f>
        <v>160000</v>
      </c>
      <c r="F56" s="607">
        <f>E56/236000</f>
        <v>0.67796610169491522</v>
      </c>
      <c r="G56" s="203"/>
      <c r="H56" s="4"/>
      <c r="I56" s="4"/>
      <c r="J56" s="4"/>
      <c r="K56" s="4"/>
      <c r="L56" s="4"/>
      <c r="M56" s="4"/>
    </row>
    <row r="57" spans="1:13" s="34" customFormat="1">
      <c r="A57" s="4"/>
      <c r="B57" s="23"/>
      <c r="C57" s="23"/>
      <c r="D57" s="23"/>
      <c r="E57" s="23"/>
      <c r="F57" s="4"/>
      <c r="G57" s="4"/>
      <c r="H57" s="4"/>
      <c r="I57" s="4"/>
      <c r="J57" s="4"/>
      <c r="K57" s="4"/>
      <c r="L57" s="4"/>
      <c r="M57" s="4"/>
    </row>
    <row r="58" spans="1:13" s="34" customFormat="1">
      <c r="A58" s="4"/>
      <c r="B58" s="23"/>
      <c r="C58" s="23"/>
      <c r="D58" s="23"/>
      <c r="E58" s="23"/>
      <c r="F58" s="4"/>
      <c r="G58" s="4"/>
      <c r="H58" s="4"/>
      <c r="I58" s="4"/>
      <c r="J58" s="4"/>
      <c r="K58" s="4"/>
      <c r="L58" s="4"/>
      <c r="M58" s="4"/>
    </row>
    <row r="59" spans="1:13" s="34" customFormat="1">
      <c r="A59" s="4"/>
      <c r="B59" s="23"/>
      <c r="C59" s="23"/>
      <c r="D59" s="23"/>
      <c r="E59" s="23"/>
      <c r="F59" s="4"/>
      <c r="G59" s="4"/>
      <c r="H59" s="4"/>
      <c r="I59" s="4"/>
      <c r="J59" s="4"/>
      <c r="K59" s="4"/>
      <c r="L59" s="4"/>
      <c r="M59" s="4"/>
    </row>
    <row r="60" spans="1:13" s="34" customFormat="1">
      <c r="A60" s="4"/>
      <c r="B60" s="23"/>
      <c r="C60" s="23"/>
      <c r="D60" s="23"/>
      <c r="E60" s="23"/>
      <c r="F60" s="4"/>
      <c r="G60" s="4"/>
      <c r="H60" s="4"/>
      <c r="I60" s="4"/>
      <c r="J60" s="4"/>
      <c r="K60" s="4"/>
      <c r="L60" s="4"/>
      <c r="M60" s="4"/>
    </row>
    <row r="61" spans="1:13" s="34" customFormat="1">
      <c r="A61" s="4"/>
      <c r="B61" s="23"/>
      <c r="C61" s="23"/>
      <c r="D61" s="23"/>
      <c r="E61" s="23"/>
      <c r="F61" s="4"/>
      <c r="G61" s="4"/>
      <c r="H61" s="4"/>
      <c r="I61" s="4"/>
      <c r="J61" s="4"/>
      <c r="K61" s="4"/>
      <c r="L61" s="4"/>
      <c r="M61" s="4"/>
    </row>
    <row r="62" spans="1:13" s="34" customFormat="1">
      <c r="A62" s="4"/>
      <c r="B62" s="23"/>
      <c r="C62" s="23"/>
      <c r="D62" s="23"/>
      <c r="E62" s="23"/>
      <c r="F62" s="4"/>
      <c r="G62" s="4"/>
      <c r="H62" s="4"/>
      <c r="I62" s="4"/>
      <c r="J62" s="4"/>
      <c r="K62" s="4"/>
      <c r="L62" s="4"/>
      <c r="M62" s="4"/>
    </row>
    <row r="63" spans="1:13" s="34" customFormat="1">
      <c r="A63" s="4"/>
      <c r="B63" s="23"/>
      <c r="C63" s="23"/>
      <c r="D63" s="23"/>
      <c r="E63" s="23"/>
      <c r="F63" s="4"/>
      <c r="G63" s="4"/>
      <c r="H63" s="4"/>
      <c r="I63" s="4"/>
      <c r="J63" s="4"/>
      <c r="K63" s="4"/>
      <c r="L63" s="4"/>
      <c r="M63" s="4"/>
    </row>
    <row r="64" spans="1:13" s="34" customFormat="1">
      <c r="A64" s="4"/>
      <c r="B64" s="23"/>
      <c r="C64" s="23"/>
      <c r="D64" s="23"/>
      <c r="E64" s="4"/>
      <c r="F64" s="4"/>
      <c r="G64" s="4"/>
      <c r="H64" s="4"/>
      <c r="I64" s="4"/>
      <c r="J64" s="4"/>
      <c r="K64" s="4"/>
      <c r="L64" s="4"/>
      <c r="M64" s="4"/>
    </row>
    <row r="65" spans="1:13" s="34" customFormat="1">
      <c r="A65" s="4"/>
      <c r="B65" s="23"/>
      <c r="C65" s="23"/>
      <c r="D65" s="23"/>
      <c r="E65" s="4"/>
      <c r="F65" s="4"/>
      <c r="G65" s="4"/>
      <c r="H65" s="4"/>
      <c r="I65" s="4"/>
      <c r="J65" s="4"/>
      <c r="K65" s="4"/>
      <c r="L65" s="4"/>
      <c r="M65" s="4"/>
    </row>
    <row r="66" spans="1:13" s="34" customFormat="1">
      <c r="A66" s="4"/>
      <c r="B66" s="23"/>
      <c r="C66" s="23"/>
      <c r="D66" s="23"/>
      <c r="E66" s="4"/>
      <c r="F66" s="4"/>
      <c r="G66" s="4"/>
      <c r="H66" s="4"/>
      <c r="I66" s="4"/>
      <c r="J66" s="4"/>
      <c r="K66" s="4"/>
      <c r="L66" s="4"/>
      <c r="M66" s="4"/>
    </row>
    <row r="67" spans="1:13" s="34" customFormat="1">
      <c r="A67" s="4"/>
      <c r="B67" s="23"/>
      <c r="C67" s="23"/>
      <c r="D67" s="23"/>
      <c r="E67" s="4"/>
      <c r="F67" s="4"/>
      <c r="G67" s="4"/>
      <c r="H67" s="4"/>
      <c r="I67" s="4"/>
      <c r="J67" s="4"/>
      <c r="K67" s="4"/>
      <c r="L67" s="4"/>
      <c r="M67" s="4"/>
    </row>
    <row r="68" spans="1:13" s="34" customFormat="1">
      <c r="A68" s="4"/>
      <c r="B68" s="23"/>
      <c r="C68" s="23"/>
      <c r="D68" s="23"/>
      <c r="E68" s="4"/>
      <c r="F68" s="4"/>
      <c r="G68" s="4"/>
      <c r="H68" s="4"/>
      <c r="I68" s="4"/>
      <c r="J68" s="4"/>
      <c r="K68" s="4"/>
      <c r="L68" s="4"/>
      <c r="M68" s="4"/>
    </row>
    <row r="69" spans="1:13" s="34" customFormat="1">
      <c r="A69" s="4"/>
      <c r="B69" s="23"/>
      <c r="C69" s="23"/>
      <c r="D69" s="23"/>
      <c r="E69" s="4"/>
      <c r="F69" s="4"/>
      <c r="G69" s="4"/>
      <c r="H69" s="4"/>
      <c r="I69" s="4"/>
      <c r="J69" s="4"/>
      <c r="K69" s="4"/>
      <c r="L69" s="4"/>
      <c r="M69" s="4"/>
    </row>
    <row r="70" spans="1:13" s="34" customFormat="1">
      <c r="A70" s="4"/>
      <c r="B70" s="23"/>
      <c r="C70" s="23"/>
      <c r="D70" s="23"/>
      <c r="E70" s="4"/>
      <c r="F70" s="4"/>
      <c r="G70" s="4"/>
      <c r="H70" s="4"/>
      <c r="I70" s="4"/>
      <c r="J70" s="4"/>
      <c r="K70" s="4"/>
      <c r="L70" s="4"/>
      <c r="M70" s="4"/>
    </row>
    <row r="71" spans="1:13" s="34" customFormat="1">
      <c r="A71" s="4"/>
      <c r="B71" s="23"/>
      <c r="C71" s="23"/>
      <c r="D71" s="23"/>
      <c r="E71" s="4"/>
      <c r="F71" s="4"/>
      <c r="G71" s="4"/>
      <c r="H71" s="4"/>
      <c r="I71" s="4"/>
      <c r="J71" s="4"/>
      <c r="K71" s="4"/>
      <c r="L71" s="4"/>
      <c r="M71" s="4"/>
    </row>
    <row r="72" spans="1:13" s="34" customFormat="1">
      <c r="A72" s="4"/>
      <c r="B72" s="23"/>
      <c r="C72" s="23"/>
      <c r="D72" s="23"/>
      <c r="E72" s="4"/>
      <c r="F72" s="4"/>
      <c r="G72" s="4"/>
      <c r="H72" s="4"/>
      <c r="I72" s="4"/>
      <c r="J72" s="4"/>
      <c r="K72" s="4"/>
      <c r="L72" s="4"/>
      <c r="M72" s="4"/>
    </row>
    <row r="73" spans="1:13" s="34" customFormat="1">
      <c r="A73" s="4"/>
      <c r="B73" s="23"/>
      <c r="C73" s="23"/>
      <c r="D73" s="23"/>
      <c r="E73" s="4"/>
      <c r="F73" s="4"/>
      <c r="G73" s="4"/>
      <c r="H73" s="4"/>
      <c r="I73" s="4"/>
      <c r="J73" s="4"/>
      <c r="K73" s="4"/>
      <c r="L73" s="4"/>
      <c r="M73" s="4"/>
    </row>
    <row r="74" spans="1:13" s="34" customFormat="1">
      <c r="A74" s="4"/>
      <c r="B74" s="23"/>
      <c r="C74" s="23"/>
      <c r="D74" s="23"/>
      <c r="E74" s="4"/>
      <c r="F74" s="4"/>
      <c r="G74" s="4"/>
      <c r="H74" s="4"/>
      <c r="I74" s="4"/>
      <c r="J74" s="4"/>
      <c r="K74" s="4"/>
      <c r="L74" s="4"/>
      <c r="M74" s="4"/>
    </row>
    <row r="75" spans="1:13" s="34" customFormat="1">
      <c r="A75" s="4"/>
      <c r="B75" s="23"/>
      <c r="C75" s="23"/>
      <c r="D75" s="23"/>
      <c r="E75" s="4"/>
      <c r="F75" s="4"/>
      <c r="G75" s="4"/>
      <c r="H75" s="4"/>
      <c r="I75" s="4"/>
      <c r="J75" s="4"/>
      <c r="K75" s="4"/>
      <c r="L75" s="4"/>
      <c r="M75" s="4"/>
    </row>
    <row r="76" spans="1:13" s="34" customFormat="1">
      <c r="A76" s="4"/>
      <c r="B76" s="23"/>
      <c r="C76" s="23"/>
      <c r="D76" s="23"/>
      <c r="E76" s="4"/>
      <c r="F76" s="4"/>
      <c r="G76" s="4"/>
      <c r="H76" s="4"/>
      <c r="I76" s="4"/>
      <c r="J76" s="4"/>
      <c r="K76" s="4"/>
      <c r="L76" s="4"/>
      <c r="M76" s="4"/>
    </row>
    <row r="77" spans="1:13" s="34" customFormat="1">
      <c r="A77" s="4"/>
      <c r="B77" s="23"/>
      <c r="C77" s="23"/>
      <c r="D77" s="23"/>
      <c r="E77" s="4"/>
      <c r="F77" s="4"/>
      <c r="G77" s="4"/>
      <c r="H77" s="4"/>
      <c r="I77" s="4"/>
      <c r="J77" s="4"/>
      <c r="K77" s="4"/>
      <c r="L77" s="4"/>
      <c r="M77" s="4"/>
    </row>
    <row r="78" spans="1:13" s="34" customFormat="1">
      <c r="A78" s="4"/>
      <c r="B78" s="23"/>
      <c r="C78" s="23"/>
      <c r="D78" s="23"/>
      <c r="E78" s="4"/>
      <c r="F78" s="4"/>
      <c r="G78" s="4"/>
      <c r="H78" s="4"/>
      <c r="I78" s="4"/>
      <c r="J78" s="4"/>
      <c r="K78" s="4"/>
      <c r="L78" s="4"/>
      <c r="M78" s="4"/>
    </row>
    <row r="79" spans="1:13" s="34" customFormat="1">
      <c r="A79" s="4"/>
      <c r="B79" s="23"/>
      <c r="C79" s="23"/>
      <c r="D79" s="23"/>
      <c r="E79" s="4"/>
      <c r="F79" s="4"/>
      <c r="G79" s="4"/>
      <c r="H79" s="4"/>
      <c r="I79" s="4"/>
      <c r="J79" s="4"/>
      <c r="K79" s="4"/>
      <c r="L79" s="4"/>
      <c r="M79" s="4"/>
    </row>
    <row r="80" spans="1:13" s="34" customFormat="1">
      <c r="A80" s="4"/>
      <c r="B80" s="23"/>
      <c r="C80" s="23"/>
      <c r="D80" s="23"/>
      <c r="E80" s="4"/>
      <c r="F80" s="4"/>
      <c r="G80" s="4"/>
      <c r="H80" s="4"/>
      <c r="I80" s="4"/>
      <c r="J80" s="4"/>
      <c r="K80" s="4"/>
      <c r="L80" s="4"/>
      <c r="M80" s="4"/>
    </row>
    <row r="81" spans="1:13" s="34" customFormat="1">
      <c r="A81" s="4"/>
      <c r="B81" s="23"/>
      <c r="C81" s="23"/>
      <c r="D81" s="23"/>
      <c r="E81" s="4"/>
      <c r="F81" s="4"/>
      <c r="G81" s="4"/>
      <c r="H81" s="4"/>
      <c r="I81" s="4"/>
      <c r="J81" s="4"/>
      <c r="K81" s="4"/>
      <c r="L81" s="4"/>
      <c r="M81" s="4"/>
    </row>
    <row r="82" spans="1:13" s="34" customFormat="1">
      <c r="A82" s="4"/>
      <c r="B82" s="23"/>
      <c r="C82" s="23"/>
      <c r="D82" s="23"/>
      <c r="E82" s="4"/>
      <c r="F82" s="4"/>
      <c r="G82" s="4"/>
      <c r="H82" s="4"/>
      <c r="I82" s="4"/>
      <c r="J82" s="4"/>
      <c r="K82" s="4"/>
      <c r="L82" s="4"/>
      <c r="M82" s="4"/>
    </row>
    <row r="83" spans="1:13" s="34" customFormat="1">
      <c r="A83" s="4"/>
      <c r="B83" s="23"/>
      <c r="C83" s="23"/>
      <c r="D83" s="23"/>
      <c r="E83" s="4"/>
      <c r="F83" s="4"/>
      <c r="G83" s="4"/>
      <c r="H83" s="4"/>
      <c r="I83" s="4"/>
      <c r="J83" s="4"/>
      <c r="K83" s="4"/>
      <c r="L83" s="4"/>
      <c r="M83" s="4"/>
    </row>
    <row r="84" spans="1:13" s="34" customFormat="1">
      <c r="A84" s="4"/>
      <c r="B84" s="23"/>
      <c r="C84" s="23"/>
      <c r="D84" s="23"/>
      <c r="E84" s="4"/>
      <c r="F84" s="4"/>
      <c r="G84" s="4"/>
      <c r="H84" s="4"/>
      <c r="I84" s="4"/>
      <c r="J84" s="4"/>
      <c r="K84" s="4"/>
      <c r="L84" s="4"/>
      <c r="M84" s="4"/>
    </row>
    <row r="85" spans="1:13" s="34" customFormat="1">
      <c r="A85" s="4"/>
      <c r="B85" s="23"/>
      <c r="C85" s="23"/>
      <c r="D85" s="23"/>
      <c r="E85" s="4"/>
      <c r="F85" s="4"/>
      <c r="G85" s="4"/>
      <c r="H85" s="4"/>
      <c r="I85" s="4"/>
      <c r="J85" s="4"/>
      <c r="K85" s="4"/>
      <c r="L85" s="4"/>
      <c r="M85" s="4"/>
    </row>
    <row r="86" spans="1:13" s="34" customFormat="1">
      <c r="A86" s="4"/>
      <c r="B86" s="23"/>
      <c r="C86" s="23"/>
      <c r="D86" s="23"/>
      <c r="E86" s="4"/>
      <c r="F86" s="4"/>
      <c r="G86" s="4"/>
      <c r="H86" s="4"/>
      <c r="I86" s="4"/>
      <c r="J86" s="4"/>
      <c r="K86" s="4"/>
      <c r="L86" s="4"/>
      <c r="M86" s="4"/>
    </row>
    <row r="87" spans="1:13" s="34" customFormat="1">
      <c r="A87" s="4"/>
      <c r="B87" s="23"/>
      <c r="C87" s="23"/>
      <c r="D87" s="23"/>
      <c r="E87" s="4"/>
      <c r="F87" s="4"/>
      <c r="G87" s="4"/>
      <c r="H87" s="4"/>
      <c r="I87" s="4"/>
      <c r="J87" s="4"/>
      <c r="K87" s="4"/>
      <c r="L87" s="4"/>
      <c r="M87" s="4"/>
    </row>
    <row r="88" spans="1:13" s="34" customFormat="1">
      <c r="A88" s="4"/>
      <c r="B88" s="23"/>
      <c r="C88" s="23"/>
      <c r="D88" s="23"/>
      <c r="E88" s="4"/>
      <c r="F88" s="4"/>
      <c r="G88" s="4"/>
      <c r="H88" s="4"/>
      <c r="I88" s="4"/>
      <c r="J88" s="4"/>
      <c r="K88" s="4"/>
      <c r="L88" s="4"/>
      <c r="M88" s="4"/>
    </row>
    <row r="89" spans="1:13" s="34" customFormat="1">
      <c r="A89" s="4"/>
      <c r="B89" s="23"/>
      <c r="C89" s="23"/>
      <c r="D89" s="23"/>
      <c r="E89" s="4"/>
      <c r="F89" s="4"/>
      <c r="G89" s="4"/>
      <c r="H89" s="4"/>
      <c r="I89" s="4"/>
      <c r="J89" s="4"/>
      <c r="K89" s="4"/>
      <c r="L89" s="4"/>
      <c r="M89" s="4"/>
    </row>
    <row r="90" spans="1:13" s="34" customFormat="1">
      <c r="A90" s="4"/>
      <c r="B90" s="23"/>
      <c r="C90" s="23"/>
      <c r="D90" s="23"/>
      <c r="E90" s="4"/>
      <c r="F90" s="4"/>
      <c r="G90" s="4"/>
      <c r="H90" s="4"/>
      <c r="I90" s="4"/>
      <c r="J90" s="4"/>
      <c r="K90" s="4"/>
      <c r="L90" s="4"/>
      <c r="M90" s="4"/>
    </row>
    <row r="91" spans="1:13" s="34" customFormat="1">
      <c r="A91" s="4"/>
      <c r="B91" s="23"/>
      <c r="C91" s="23"/>
      <c r="D91" s="23"/>
      <c r="E91" s="4"/>
      <c r="F91" s="4"/>
      <c r="G91" s="4"/>
      <c r="H91" s="4"/>
      <c r="I91" s="4"/>
      <c r="J91" s="4"/>
      <c r="K91" s="4"/>
      <c r="L91" s="4"/>
      <c r="M91" s="4"/>
    </row>
    <row r="92" spans="1:13" s="34" customFormat="1">
      <c r="A92" s="4"/>
      <c r="B92" s="23"/>
      <c r="C92" s="23"/>
      <c r="D92" s="23"/>
      <c r="E92" s="4"/>
      <c r="F92" s="4"/>
      <c r="G92" s="4"/>
      <c r="H92" s="4"/>
      <c r="I92" s="4"/>
      <c r="J92" s="4"/>
      <c r="K92" s="4"/>
      <c r="L92" s="4"/>
      <c r="M92" s="4"/>
    </row>
    <row r="93" spans="1:13" s="34" customFormat="1">
      <c r="A93" s="4"/>
      <c r="B93" s="23"/>
      <c r="C93" s="23"/>
      <c r="D93" s="23"/>
      <c r="E93" s="4"/>
      <c r="F93" s="4"/>
      <c r="G93" s="4"/>
      <c r="H93" s="4"/>
      <c r="I93" s="4"/>
      <c r="J93" s="4"/>
      <c r="K93" s="4"/>
      <c r="L93" s="4"/>
      <c r="M93" s="4"/>
    </row>
    <row r="94" spans="1:13" s="34" customFormat="1">
      <c r="A94" s="4"/>
      <c r="B94" s="23"/>
      <c r="C94" s="23"/>
      <c r="D94" s="23"/>
      <c r="E94" s="4"/>
      <c r="F94" s="4"/>
      <c r="G94" s="4"/>
      <c r="H94" s="4"/>
      <c r="I94" s="4"/>
      <c r="J94" s="4"/>
      <c r="K94" s="4"/>
      <c r="L94" s="4"/>
      <c r="M94" s="4"/>
    </row>
    <row r="95" spans="1:13" s="34" customFormat="1">
      <c r="A95" s="4"/>
      <c r="B95" s="23"/>
      <c r="C95" s="23"/>
      <c r="D95" s="23"/>
      <c r="E95" s="4"/>
      <c r="F95" s="4"/>
      <c r="G95" s="4"/>
      <c r="H95" s="4"/>
      <c r="I95" s="4"/>
      <c r="J95" s="4"/>
      <c r="K95" s="4"/>
      <c r="L95" s="4"/>
      <c r="M95" s="4"/>
    </row>
    <row r="96" spans="1:13" s="34" customFormat="1">
      <c r="A96" s="4"/>
      <c r="B96" s="23"/>
      <c r="C96" s="23"/>
      <c r="D96" s="23"/>
      <c r="E96" s="4"/>
      <c r="F96" s="4"/>
      <c r="G96" s="4"/>
      <c r="H96" s="4"/>
      <c r="I96" s="4"/>
      <c r="J96" s="4"/>
      <c r="K96" s="4"/>
      <c r="L96" s="4"/>
      <c r="M96" s="4"/>
    </row>
    <row r="97" spans="1:13" s="34" customFormat="1">
      <c r="A97" s="4"/>
      <c r="B97" s="23"/>
      <c r="C97" s="23"/>
      <c r="D97" s="23"/>
      <c r="E97" s="4"/>
      <c r="F97" s="4"/>
      <c r="G97" s="4"/>
      <c r="H97" s="4"/>
      <c r="I97" s="4"/>
      <c r="J97" s="4"/>
      <c r="K97" s="4"/>
      <c r="L97" s="4"/>
      <c r="M97" s="4"/>
    </row>
    <row r="98" spans="1:13" s="34" customFormat="1">
      <c r="A98" s="4"/>
      <c r="B98" s="23"/>
      <c r="C98" s="23"/>
      <c r="D98" s="23"/>
      <c r="E98" s="4"/>
      <c r="F98" s="4"/>
      <c r="G98" s="4"/>
      <c r="H98" s="4"/>
      <c r="I98" s="4"/>
      <c r="J98" s="4"/>
      <c r="K98" s="4"/>
      <c r="L98" s="4"/>
      <c r="M98" s="4"/>
    </row>
    <row r="99" spans="1:13" s="34" customFormat="1">
      <c r="A99" s="4"/>
      <c r="B99" s="23"/>
      <c r="C99" s="23"/>
      <c r="D99" s="23"/>
      <c r="E99" s="4"/>
      <c r="F99" s="4"/>
      <c r="G99" s="4"/>
      <c r="H99" s="4"/>
      <c r="I99" s="4"/>
      <c r="J99" s="4"/>
      <c r="K99" s="4"/>
      <c r="L99" s="4"/>
      <c r="M99" s="4"/>
    </row>
    <row r="100" spans="1:13" s="34" customFormat="1">
      <c r="A100" s="4"/>
      <c r="B100" s="23"/>
      <c r="C100" s="23"/>
      <c r="D100" s="23"/>
      <c r="E100" s="4"/>
      <c r="F100" s="4"/>
      <c r="G100" s="4"/>
      <c r="H100" s="4"/>
      <c r="I100" s="4"/>
      <c r="J100" s="4"/>
      <c r="K100" s="4"/>
      <c r="L100" s="4"/>
      <c r="M100" s="4"/>
    </row>
    <row r="101" spans="1:13" s="34" customFormat="1">
      <c r="A101" s="4"/>
      <c r="B101" s="23"/>
      <c r="C101" s="23"/>
      <c r="D101" s="23"/>
      <c r="E101" s="4"/>
      <c r="F101" s="4"/>
      <c r="G101" s="4"/>
      <c r="H101" s="4"/>
      <c r="I101" s="4"/>
      <c r="J101" s="4"/>
      <c r="K101" s="4"/>
      <c r="L101" s="4"/>
      <c r="M101" s="4"/>
    </row>
    <row r="102" spans="1:13" s="34" customFormat="1">
      <c r="A102" s="4"/>
      <c r="B102" s="23"/>
      <c r="C102" s="23"/>
      <c r="D102" s="23"/>
      <c r="E102" s="4"/>
      <c r="F102" s="4"/>
      <c r="G102" s="4"/>
      <c r="H102" s="4"/>
      <c r="I102" s="4"/>
      <c r="J102" s="4"/>
      <c r="K102" s="4"/>
      <c r="L102" s="4"/>
      <c r="M102" s="4"/>
    </row>
    <row r="103" spans="1:13" s="34" customFormat="1">
      <c r="A103" s="4"/>
      <c r="B103" s="23"/>
      <c r="C103" s="23"/>
      <c r="D103" s="23"/>
      <c r="E103" s="4"/>
      <c r="F103" s="4"/>
      <c r="G103" s="4"/>
      <c r="H103" s="4"/>
      <c r="I103" s="4"/>
      <c r="J103" s="4"/>
      <c r="K103" s="4"/>
      <c r="L103" s="4"/>
      <c r="M103" s="4"/>
    </row>
    <row r="104" spans="1:13" s="34" customFormat="1">
      <c r="A104" s="4"/>
      <c r="B104" s="23"/>
      <c r="C104" s="23"/>
      <c r="D104" s="23"/>
      <c r="E104" s="4"/>
      <c r="F104" s="4"/>
      <c r="G104" s="4"/>
      <c r="H104" s="4"/>
      <c r="I104" s="4"/>
      <c r="J104" s="4"/>
      <c r="K104" s="4"/>
      <c r="L104" s="4"/>
      <c r="M104" s="4"/>
    </row>
    <row r="105" spans="1:13" s="34" customFormat="1">
      <c r="A105" s="4"/>
      <c r="B105" s="23"/>
      <c r="C105" s="23"/>
      <c r="D105" s="23"/>
      <c r="E105" s="4"/>
      <c r="F105" s="4"/>
      <c r="G105" s="4"/>
      <c r="H105" s="4"/>
      <c r="I105" s="4"/>
      <c r="J105" s="4"/>
      <c r="K105" s="4"/>
      <c r="L105" s="4"/>
      <c r="M105" s="4"/>
    </row>
    <row r="106" spans="1:13" s="34" customFormat="1">
      <c r="A106" s="4"/>
      <c r="B106" s="23"/>
      <c r="C106" s="23"/>
      <c r="D106" s="23"/>
      <c r="E106" s="4"/>
      <c r="F106" s="4"/>
      <c r="G106" s="4"/>
      <c r="H106" s="4"/>
      <c r="I106" s="4"/>
      <c r="J106" s="4"/>
      <c r="K106" s="4"/>
      <c r="L106" s="4"/>
      <c r="M106" s="4"/>
    </row>
    <row r="107" spans="1:13" s="34" customFormat="1">
      <c r="A107" s="4"/>
      <c r="B107" s="23"/>
      <c r="C107" s="23"/>
      <c r="D107" s="23"/>
      <c r="E107" s="4"/>
      <c r="F107" s="4"/>
      <c r="G107" s="4"/>
      <c r="H107" s="4"/>
      <c r="I107" s="4"/>
      <c r="J107" s="4"/>
      <c r="K107" s="4"/>
      <c r="L107" s="4"/>
      <c r="M107" s="4"/>
    </row>
    <row r="108" spans="1:13" s="34" customFormat="1">
      <c r="A108" s="4"/>
      <c r="B108" s="23"/>
      <c r="C108" s="23"/>
      <c r="D108" s="23"/>
      <c r="E108" s="4"/>
      <c r="F108" s="4"/>
      <c r="G108" s="4"/>
      <c r="H108" s="4"/>
      <c r="I108" s="4"/>
      <c r="J108" s="4"/>
      <c r="K108" s="4"/>
      <c r="L108" s="4"/>
      <c r="M108" s="4"/>
    </row>
    <row r="109" spans="1:13" s="34" customFormat="1">
      <c r="A109" s="4"/>
      <c r="B109" s="23"/>
      <c r="C109" s="23"/>
      <c r="D109" s="23"/>
      <c r="E109" s="4"/>
      <c r="F109" s="4"/>
      <c r="G109" s="4"/>
      <c r="H109" s="4"/>
      <c r="I109" s="4"/>
      <c r="J109" s="4"/>
      <c r="K109" s="4"/>
      <c r="L109" s="4"/>
      <c r="M109" s="4"/>
    </row>
    <row r="110" spans="1:13" s="34" customFormat="1">
      <c r="A110" s="4"/>
      <c r="B110" s="23"/>
      <c r="C110" s="23"/>
      <c r="D110" s="23"/>
      <c r="E110" s="4"/>
      <c r="F110" s="4"/>
      <c r="G110" s="4"/>
      <c r="H110" s="4"/>
      <c r="I110" s="4"/>
      <c r="J110" s="4"/>
      <c r="K110" s="4"/>
      <c r="L110" s="4"/>
      <c r="M110" s="4"/>
    </row>
    <row r="111" spans="1:13" s="34" customFormat="1">
      <c r="A111" s="4"/>
      <c r="B111" s="23"/>
      <c r="C111" s="23"/>
      <c r="D111" s="23"/>
      <c r="E111" s="4"/>
      <c r="F111" s="4"/>
      <c r="G111" s="4"/>
      <c r="H111" s="4"/>
      <c r="I111" s="4"/>
      <c r="J111" s="4"/>
      <c r="K111" s="4"/>
      <c r="L111" s="4"/>
      <c r="M111" s="4"/>
    </row>
    <row r="112" spans="1:13" s="34" customFormat="1">
      <c r="A112" s="4"/>
      <c r="B112" s="23"/>
      <c r="C112" s="23"/>
      <c r="D112" s="23"/>
      <c r="E112" s="4"/>
      <c r="F112" s="4"/>
      <c r="G112" s="4"/>
      <c r="H112" s="4"/>
      <c r="I112" s="4"/>
      <c r="J112" s="4"/>
      <c r="K112" s="4"/>
      <c r="L112" s="4"/>
      <c r="M112" s="4"/>
    </row>
    <row r="113" spans="1:13" s="34" customFormat="1">
      <c r="A113" s="4"/>
      <c r="B113" s="23"/>
      <c r="C113" s="23"/>
      <c r="D113" s="23"/>
      <c r="E113" s="4"/>
      <c r="F113" s="4"/>
      <c r="G113" s="4"/>
      <c r="H113" s="4"/>
      <c r="I113" s="4"/>
      <c r="J113" s="4"/>
      <c r="K113" s="4"/>
      <c r="L113" s="4"/>
      <c r="M113" s="4"/>
    </row>
    <row r="114" spans="1:13" s="34" customFormat="1">
      <c r="A114" s="4"/>
      <c r="B114" s="23"/>
      <c r="C114" s="23"/>
      <c r="D114" s="23"/>
      <c r="E114" s="4"/>
      <c r="F114" s="4"/>
      <c r="G114" s="4"/>
      <c r="H114" s="4"/>
      <c r="I114" s="4"/>
      <c r="J114" s="4"/>
      <c r="K114" s="4"/>
      <c r="L114" s="4"/>
      <c r="M114" s="4"/>
    </row>
    <row r="115" spans="1:13" s="34" customFormat="1">
      <c r="A115" s="4"/>
      <c r="B115" s="23"/>
      <c r="C115" s="23"/>
      <c r="D115" s="23"/>
      <c r="E115" s="4"/>
      <c r="F115" s="4"/>
      <c r="G115" s="4"/>
      <c r="H115" s="4"/>
      <c r="I115" s="4"/>
      <c r="J115" s="4"/>
      <c r="K115" s="4"/>
      <c r="L115" s="4"/>
      <c r="M115" s="4"/>
    </row>
    <row r="116" spans="1:13" s="34" customFormat="1">
      <c r="A116" s="4"/>
      <c r="B116" s="23"/>
      <c r="C116" s="23"/>
      <c r="D116" s="23"/>
      <c r="E116" s="4"/>
      <c r="F116" s="4"/>
      <c r="G116" s="4"/>
      <c r="H116" s="4"/>
      <c r="I116" s="4"/>
      <c r="J116" s="4"/>
      <c r="K116" s="4"/>
      <c r="L116" s="4"/>
      <c r="M116" s="4"/>
    </row>
    <row r="117" spans="1:13" s="34" customFormat="1">
      <c r="A117" s="4"/>
      <c r="B117" s="23"/>
      <c r="C117" s="23"/>
      <c r="D117" s="23"/>
      <c r="E117" s="4"/>
      <c r="F117" s="4"/>
      <c r="G117" s="4"/>
      <c r="H117" s="4"/>
      <c r="I117" s="4"/>
      <c r="J117" s="4"/>
      <c r="K117" s="4"/>
      <c r="L117" s="4"/>
      <c r="M117" s="4"/>
    </row>
    <row r="118" spans="1:13" s="34" customFormat="1">
      <c r="A118" s="4"/>
      <c r="B118" s="23"/>
      <c r="C118" s="23"/>
      <c r="D118" s="23"/>
      <c r="E118" s="4"/>
      <c r="F118" s="4"/>
      <c r="G118" s="4"/>
      <c r="H118" s="4"/>
      <c r="I118" s="4"/>
      <c r="J118" s="4"/>
      <c r="K118" s="4"/>
      <c r="L118" s="4"/>
      <c r="M118" s="4"/>
    </row>
    <row r="119" spans="1:13" s="34" customFormat="1">
      <c r="A119" s="4"/>
      <c r="B119" s="23"/>
      <c r="C119" s="23"/>
      <c r="D119" s="23"/>
      <c r="E119" s="4"/>
      <c r="F119" s="4"/>
      <c r="G119" s="4"/>
      <c r="H119" s="4"/>
      <c r="I119" s="4"/>
      <c r="J119" s="4"/>
      <c r="K119" s="4"/>
      <c r="L119" s="4"/>
      <c r="M119" s="4"/>
    </row>
    <row r="120" spans="1:13" s="34" customFormat="1">
      <c r="A120" s="4"/>
      <c r="B120" s="23"/>
      <c r="C120" s="23"/>
      <c r="D120" s="23"/>
      <c r="E120" s="4"/>
      <c r="F120" s="4"/>
      <c r="G120" s="4"/>
      <c r="H120" s="4"/>
      <c r="I120" s="4"/>
      <c r="J120" s="4"/>
      <c r="K120" s="4"/>
      <c r="L120" s="4"/>
      <c r="M120" s="4"/>
    </row>
    <row r="121" spans="1:13" s="34" customFormat="1">
      <c r="A121" s="4"/>
      <c r="B121" s="23"/>
      <c r="C121" s="23"/>
      <c r="D121" s="23"/>
      <c r="E121" s="4"/>
      <c r="F121" s="4"/>
      <c r="G121" s="4"/>
      <c r="H121" s="4"/>
      <c r="I121" s="4"/>
      <c r="J121" s="4"/>
      <c r="K121" s="4"/>
      <c r="L121" s="4"/>
      <c r="M121" s="4"/>
    </row>
    <row r="122" spans="1:13" s="34" customFormat="1">
      <c r="A122" s="4"/>
      <c r="B122" s="23"/>
      <c r="C122" s="23"/>
      <c r="D122" s="23"/>
      <c r="E122" s="4"/>
      <c r="F122" s="4"/>
      <c r="G122" s="4"/>
      <c r="H122" s="4"/>
      <c r="I122" s="4"/>
      <c r="J122" s="4"/>
      <c r="K122" s="4"/>
      <c r="L122" s="4"/>
      <c r="M122" s="4"/>
    </row>
    <row r="123" spans="1:13" s="34" customFormat="1">
      <c r="A123" s="4"/>
      <c r="B123" s="23"/>
      <c r="C123" s="23"/>
      <c r="D123" s="23"/>
      <c r="E123" s="4"/>
      <c r="F123" s="4"/>
      <c r="G123" s="4"/>
      <c r="H123" s="4"/>
      <c r="I123" s="4"/>
      <c r="J123" s="4"/>
      <c r="K123" s="4"/>
      <c r="L123" s="4"/>
      <c r="M123" s="4"/>
    </row>
    <row r="124" spans="1:13" s="34" customFormat="1">
      <c r="A124" s="4"/>
      <c r="B124" s="23"/>
      <c r="C124" s="23"/>
      <c r="D124" s="23"/>
      <c r="E124" s="4"/>
      <c r="F124" s="4"/>
      <c r="G124" s="4"/>
      <c r="H124" s="4"/>
      <c r="I124" s="4"/>
      <c r="J124" s="4"/>
      <c r="K124" s="4"/>
      <c r="L124" s="4"/>
      <c r="M124" s="4"/>
    </row>
    <row r="125" spans="1:13" s="34" customFormat="1">
      <c r="A125" s="4"/>
      <c r="B125" s="23"/>
      <c r="C125" s="23"/>
      <c r="D125" s="23"/>
      <c r="E125" s="4"/>
      <c r="F125" s="4"/>
      <c r="G125" s="4"/>
      <c r="H125" s="4"/>
      <c r="I125" s="4"/>
      <c r="J125" s="4"/>
      <c r="K125" s="4"/>
      <c r="L125" s="4"/>
      <c r="M125" s="4"/>
    </row>
    <row r="126" spans="1:13" s="34" customFormat="1">
      <c r="A126" s="4"/>
      <c r="B126" s="23"/>
      <c r="C126" s="23"/>
      <c r="D126" s="23"/>
      <c r="E126" s="4"/>
      <c r="F126" s="4"/>
      <c r="G126" s="4"/>
      <c r="H126" s="4"/>
      <c r="I126" s="4"/>
      <c r="J126" s="4"/>
      <c r="K126" s="4"/>
      <c r="L126" s="4"/>
      <c r="M126" s="4"/>
    </row>
    <row r="127" spans="1:13" s="34" customFormat="1">
      <c r="A127" s="4"/>
      <c r="B127" s="23"/>
      <c r="C127" s="23"/>
      <c r="D127" s="23"/>
      <c r="E127" s="4"/>
      <c r="F127" s="4"/>
      <c r="G127" s="4"/>
      <c r="H127" s="4"/>
      <c r="I127" s="4"/>
      <c r="J127" s="4"/>
      <c r="K127" s="4"/>
      <c r="L127" s="4"/>
      <c r="M127" s="4"/>
    </row>
    <row r="128" spans="1:13" s="34" customFormat="1">
      <c r="A128" s="4"/>
      <c r="B128" s="23"/>
      <c r="C128" s="23"/>
      <c r="D128" s="23"/>
      <c r="E128" s="4"/>
      <c r="F128" s="4"/>
      <c r="G128" s="4"/>
      <c r="H128" s="4"/>
      <c r="I128" s="4"/>
      <c r="J128" s="4"/>
      <c r="K128" s="4"/>
      <c r="L128" s="4"/>
      <c r="M128" s="4"/>
    </row>
    <row r="129" spans="1:13" s="34" customFormat="1">
      <c r="A129" s="4"/>
      <c r="B129" s="23"/>
      <c r="C129" s="23"/>
      <c r="D129" s="23"/>
      <c r="E129" s="4"/>
      <c r="F129" s="4"/>
      <c r="G129" s="4"/>
      <c r="H129" s="4"/>
      <c r="I129" s="4"/>
      <c r="J129" s="4"/>
      <c r="K129" s="4"/>
      <c r="L129" s="4"/>
      <c r="M129" s="4"/>
    </row>
    <row r="130" spans="1:13" s="34" customFormat="1">
      <c r="A130" s="4"/>
      <c r="B130" s="23"/>
      <c r="C130" s="23"/>
      <c r="D130" s="23"/>
      <c r="E130" s="4"/>
      <c r="F130" s="4"/>
      <c r="G130" s="4"/>
      <c r="H130" s="4"/>
      <c r="I130" s="4"/>
      <c r="J130" s="4"/>
      <c r="K130" s="4"/>
      <c r="L130" s="4"/>
      <c r="M130" s="4"/>
    </row>
    <row r="131" spans="1:13" s="34" customFormat="1">
      <c r="A131" s="4"/>
      <c r="B131" s="23"/>
      <c r="C131" s="23"/>
      <c r="D131" s="23"/>
      <c r="E131" s="4"/>
      <c r="F131" s="4"/>
      <c r="G131" s="4"/>
      <c r="H131" s="4"/>
      <c r="I131" s="4"/>
      <c r="J131" s="4"/>
      <c r="K131" s="4"/>
      <c r="L131" s="4"/>
      <c r="M131" s="4"/>
    </row>
    <row r="132" spans="1:13" s="34" customFormat="1">
      <c r="A132" s="4"/>
      <c r="B132" s="23"/>
      <c r="C132" s="23"/>
      <c r="D132" s="23"/>
      <c r="E132" s="4"/>
      <c r="F132" s="4"/>
      <c r="G132" s="4"/>
      <c r="H132" s="4"/>
      <c r="I132" s="4"/>
      <c r="J132" s="4"/>
      <c r="K132" s="4"/>
      <c r="L132" s="4"/>
      <c r="M132" s="4"/>
    </row>
    <row r="133" spans="1:13" s="34" customFormat="1">
      <c r="A133" s="4"/>
      <c r="B133" s="23"/>
      <c r="C133" s="23"/>
      <c r="D133" s="23"/>
      <c r="E133" s="4"/>
      <c r="F133" s="4"/>
      <c r="G133" s="4"/>
      <c r="H133" s="4"/>
      <c r="I133" s="4"/>
      <c r="J133" s="4"/>
      <c r="K133" s="4"/>
      <c r="L133" s="4"/>
      <c r="M133" s="4"/>
    </row>
    <row r="134" spans="1:13" s="34" customFormat="1">
      <c r="A134" s="4"/>
      <c r="B134" s="23"/>
      <c r="C134" s="23"/>
      <c r="D134" s="23"/>
      <c r="E134" s="4"/>
      <c r="F134" s="4"/>
      <c r="G134" s="4"/>
      <c r="H134" s="4"/>
      <c r="I134" s="4"/>
      <c r="J134" s="4"/>
      <c r="K134" s="4"/>
      <c r="L134" s="4"/>
      <c r="M134" s="4"/>
    </row>
    <row r="135" spans="1:13" s="34" customFormat="1">
      <c r="A135" s="4"/>
      <c r="B135" s="23"/>
      <c r="C135" s="23"/>
      <c r="D135" s="23"/>
      <c r="E135" s="4"/>
      <c r="F135" s="4"/>
      <c r="G135" s="4"/>
      <c r="H135" s="4"/>
      <c r="I135" s="4"/>
      <c r="J135" s="4"/>
      <c r="K135" s="4"/>
      <c r="L135" s="4"/>
      <c r="M135" s="4"/>
    </row>
    <row r="136" spans="1:13" s="34" customFormat="1">
      <c r="A136" s="4"/>
      <c r="B136" s="23"/>
      <c r="C136" s="23"/>
      <c r="D136" s="23"/>
      <c r="E136" s="4"/>
      <c r="F136" s="4"/>
      <c r="G136" s="4"/>
      <c r="H136" s="4"/>
      <c r="I136" s="4"/>
      <c r="J136" s="4"/>
      <c r="K136" s="4"/>
      <c r="L136" s="4"/>
      <c r="M136" s="4"/>
    </row>
    <row r="137" spans="1:13" s="34" customFormat="1">
      <c r="A137" s="4"/>
      <c r="B137" s="23"/>
      <c r="C137" s="23"/>
      <c r="D137" s="23"/>
      <c r="E137" s="4"/>
      <c r="F137" s="4"/>
      <c r="G137" s="4"/>
      <c r="H137" s="4"/>
      <c r="I137" s="4"/>
      <c r="J137" s="4"/>
      <c r="K137" s="4"/>
      <c r="L137" s="4"/>
      <c r="M137" s="4"/>
    </row>
    <row r="138" spans="1:13" s="34" customFormat="1">
      <c r="A138" s="4"/>
      <c r="B138" s="23"/>
      <c r="C138" s="23"/>
      <c r="D138" s="23"/>
      <c r="E138" s="4"/>
      <c r="F138" s="4"/>
      <c r="G138" s="4"/>
      <c r="H138" s="4"/>
      <c r="I138" s="4"/>
      <c r="J138" s="4"/>
      <c r="K138" s="4"/>
      <c r="L138" s="4"/>
      <c r="M138" s="4"/>
    </row>
    <row r="139" spans="1:13" s="34" customFormat="1">
      <c r="A139" s="4"/>
      <c r="B139" s="23"/>
      <c r="C139" s="23"/>
      <c r="D139" s="23"/>
      <c r="E139" s="4"/>
      <c r="F139" s="4"/>
      <c r="G139" s="4"/>
      <c r="H139" s="4"/>
      <c r="I139" s="4"/>
      <c r="J139" s="4"/>
      <c r="K139" s="4"/>
      <c r="L139" s="4"/>
      <c r="M139" s="4"/>
    </row>
    <row r="140" spans="1:13" s="34" customFormat="1">
      <c r="A140" s="4"/>
      <c r="B140" s="23"/>
      <c r="C140" s="23"/>
      <c r="D140" s="23"/>
      <c r="E140" s="4"/>
      <c r="F140" s="4"/>
      <c r="G140" s="4"/>
      <c r="H140" s="4"/>
      <c r="I140" s="4"/>
      <c r="J140" s="4"/>
      <c r="K140" s="4"/>
      <c r="L140" s="4"/>
      <c r="M140" s="4"/>
    </row>
    <row r="141" spans="1:13" s="34" customFormat="1">
      <c r="A141" s="4"/>
      <c r="B141" s="23"/>
      <c r="C141" s="23"/>
      <c r="D141" s="23"/>
      <c r="E141" s="4"/>
      <c r="F141" s="4"/>
      <c r="G141" s="4"/>
      <c r="H141" s="4"/>
      <c r="I141" s="4"/>
      <c r="J141" s="4"/>
      <c r="K141" s="4"/>
      <c r="L141" s="4"/>
      <c r="M141" s="4"/>
    </row>
    <row r="142" spans="1:13" s="34" customFormat="1">
      <c r="A142" s="4"/>
      <c r="B142" s="23"/>
      <c r="C142" s="23"/>
      <c r="D142" s="23"/>
      <c r="E142" s="4"/>
      <c r="F142" s="4"/>
      <c r="G142" s="4"/>
      <c r="H142" s="4"/>
      <c r="I142" s="4"/>
      <c r="J142" s="4"/>
      <c r="K142" s="4"/>
      <c r="L142" s="4"/>
      <c r="M142" s="4"/>
    </row>
    <row r="143" spans="1:13" s="34" customFormat="1">
      <c r="A143" s="4"/>
      <c r="B143" s="23"/>
      <c r="C143" s="23"/>
      <c r="D143" s="23"/>
      <c r="E143" s="4"/>
      <c r="F143" s="4"/>
      <c r="G143" s="4"/>
      <c r="H143" s="4"/>
      <c r="I143" s="4"/>
      <c r="J143" s="4"/>
      <c r="K143" s="4"/>
      <c r="L143" s="4"/>
      <c r="M143" s="4"/>
    </row>
    <row r="144" spans="1:13" s="34" customFormat="1">
      <c r="A144" s="4"/>
      <c r="B144" s="23"/>
      <c r="C144" s="23"/>
      <c r="D144" s="23"/>
      <c r="E144" s="4"/>
      <c r="F144" s="4"/>
      <c r="G144" s="4"/>
      <c r="H144" s="4"/>
      <c r="I144" s="4"/>
      <c r="J144" s="4"/>
      <c r="K144" s="4"/>
      <c r="L144" s="4"/>
      <c r="M144" s="4"/>
    </row>
    <row r="145" spans="1:13" s="34" customFormat="1">
      <c r="A145" s="4"/>
      <c r="B145" s="23"/>
      <c r="C145" s="23"/>
      <c r="D145" s="23"/>
      <c r="E145" s="4"/>
      <c r="F145" s="4"/>
      <c r="G145" s="4"/>
      <c r="H145" s="4"/>
      <c r="I145" s="4"/>
      <c r="J145" s="4"/>
      <c r="K145" s="4"/>
      <c r="L145" s="4"/>
      <c r="M145" s="4"/>
    </row>
    <row r="146" spans="1:13" s="34" customFormat="1">
      <c r="A146" s="4"/>
      <c r="B146" s="23"/>
      <c r="C146" s="23"/>
      <c r="D146" s="23"/>
      <c r="E146" s="4"/>
      <c r="F146" s="4"/>
      <c r="G146" s="4"/>
      <c r="H146" s="4"/>
      <c r="I146" s="4"/>
      <c r="J146" s="4"/>
      <c r="K146" s="4"/>
      <c r="L146" s="4"/>
      <c r="M146" s="4"/>
    </row>
    <row r="147" spans="1:13" s="34" customFormat="1">
      <c r="A147" s="4"/>
      <c r="B147" s="23"/>
      <c r="C147" s="23"/>
      <c r="D147" s="23"/>
      <c r="E147" s="4"/>
      <c r="F147" s="4"/>
      <c r="G147" s="4"/>
      <c r="H147" s="4"/>
      <c r="I147" s="4"/>
      <c r="J147" s="4"/>
      <c r="K147" s="4"/>
      <c r="L147" s="4"/>
      <c r="M147" s="4"/>
    </row>
    <row r="148" spans="1:13" s="34" customFormat="1">
      <c r="A148" s="4"/>
      <c r="B148" s="23"/>
      <c r="C148" s="23"/>
      <c r="D148" s="23"/>
      <c r="E148" s="4"/>
      <c r="F148" s="4"/>
      <c r="G148" s="4"/>
      <c r="H148" s="4"/>
      <c r="I148" s="4"/>
      <c r="J148" s="4"/>
      <c r="K148" s="4"/>
      <c r="L148" s="4"/>
      <c r="M148" s="4"/>
    </row>
    <row r="149" spans="1:13" s="34" customFormat="1">
      <c r="A149" s="4"/>
      <c r="B149" s="23"/>
      <c r="C149" s="23"/>
      <c r="D149" s="23"/>
      <c r="E149" s="4"/>
      <c r="F149" s="4"/>
      <c r="G149" s="4"/>
      <c r="H149" s="4"/>
      <c r="I149" s="4"/>
      <c r="J149" s="4"/>
      <c r="K149" s="4"/>
      <c r="L149" s="4"/>
      <c r="M149" s="4"/>
    </row>
    <row r="150" spans="1:13" s="34" customFormat="1">
      <c r="A150" s="4"/>
      <c r="B150" s="23"/>
      <c r="C150" s="23"/>
      <c r="D150" s="23"/>
      <c r="E150" s="4"/>
      <c r="F150" s="4"/>
      <c r="G150" s="4"/>
      <c r="H150" s="4"/>
      <c r="I150" s="4"/>
      <c r="J150" s="4"/>
      <c r="K150" s="4"/>
      <c r="L150" s="4"/>
      <c r="M150" s="4"/>
    </row>
    <row r="151" spans="1:13" s="34" customFormat="1">
      <c r="A151" s="4"/>
      <c r="B151" s="23"/>
      <c r="C151" s="23"/>
      <c r="D151" s="23"/>
      <c r="E151" s="4"/>
      <c r="F151" s="4"/>
      <c r="G151" s="4"/>
      <c r="H151" s="4"/>
      <c r="I151" s="4"/>
      <c r="J151" s="4"/>
      <c r="K151" s="4"/>
      <c r="L151" s="4"/>
      <c r="M151" s="4"/>
    </row>
    <row r="152" spans="1:13" s="34" customFormat="1">
      <c r="A152" s="4"/>
      <c r="B152" s="23"/>
      <c r="C152" s="23"/>
      <c r="D152" s="23"/>
      <c r="E152" s="4"/>
      <c r="F152" s="4"/>
      <c r="G152" s="4"/>
      <c r="H152" s="4"/>
      <c r="I152" s="4"/>
      <c r="J152" s="4"/>
      <c r="K152" s="4"/>
      <c r="L152" s="4"/>
      <c r="M152" s="4"/>
    </row>
    <row r="153" spans="1:13" s="34" customFormat="1">
      <c r="A153" s="4"/>
      <c r="B153" s="23"/>
      <c r="C153" s="23"/>
      <c r="D153" s="23"/>
      <c r="E153" s="4"/>
      <c r="F153" s="4"/>
      <c r="G153" s="4"/>
      <c r="H153" s="4"/>
      <c r="I153" s="4"/>
      <c r="J153" s="4"/>
      <c r="K153" s="4"/>
      <c r="L153" s="4"/>
      <c r="M153" s="4"/>
    </row>
    <row r="154" spans="1:13" s="34" customFormat="1">
      <c r="A154" s="4"/>
      <c r="B154" s="23"/>
      <c r="C154" s="23"/>
      <c r="D154" s="23"/>
      <c r="E154" s="4"/>
      <c r="F154" s="4"/>
      <c r="G154" s="4"/>
      <c r="H154" s="4"/>
      <c r="I154" s="4"/>
      <c r="J154" s="4"/>
      <c r="K154" s="4"/>
      <c r="L154" s="4"/>
      <c r="M154" s="4"/>
    </row>
    <row r="155" spans="1:13" s="34" customFormat="1">
      <c r="A155" s="4"/>
      <c r="B155" s="23"/>
      <c r="C155" s="23"/>
      <c r="D155" s="23"/>
      <c r="E155" s="4"/>
      <c r="F155" s="4"/>
      <c r="G155" s="4"/>
      <c r="H155" s="4"/>
      <c r="I155" s="4"/>
      <c r="J155" s="4"/>
      <c r="K155" s="4"/>
      <c r="L155" s="4"/>
      <c r="M155" s="4"/>
    </row>
    <row r="156" spans="1:13" s="34" customFormat="1">
      <c r="A156" s="4"/>
      <c r="B156" s="23"/>
      <c r="C156" s="23"/>
      <c r="D156" s="23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34" customFormat="1">
      <c r="A157" s="4"/>
      <c r="B157" s="23"/>
      <c r="C157" s="23"/>
      <c r="D157" s="23"/>
      <c r="E157" s="4"/>
      <c r="F157" s="4"/>
      <c r="G157" s="4"/>
      <c r="H157" s="4"/>
      <c r="I157" s="4"/>
      <c r="J157" s="4"/>
      <c r="K157" s="4"/>
      <c r="L157" s="4"/>
      <c r="M157" s="4"/>
    </row>
    <row r="158" spans="1:13" s="34" customFormat="1">
      <c r="A158" s="4"/>
      <c r="B158" s="23"/>
      <c r="C158" s="23"/>
      <c r="D158" s="23"/>
      <c r="E158" s="4"/>
      <c r="F158" s="4"/>
      <c r="G158" s="4"/>
      <c r="H158" s="4"/>
      <c r="I158" s="4"/>
      <c r="J158" s="4"/>
      <c r="K158" s="4"/>
      <c r="L158" s="4"/>
      <c r="M158" s="4"/>
    </row>
    <row r="159" spans="1:13" s="34" customFormat="1">
      <c r="A159" s="4"/>
      <c r="B159" s="23"/>
      <c r="C159" s="23"/>
      <c r="D159" s="23"/>
      <c r="E159" s="4"/>
      <c r="F159" s="4"/>
      <c r="G159" s="4"/>
      <c r="H159" s="4"/>
      <c r="I159" s="4"/>
      <c r="J159" s="4"/>
      <c r="K159" s="4"/>
      <c r="L159" s="4"/>
      <c r="M159" s="4"/>
    </row>
    <row r="160" spans="1:13" s="34" customFormat="1">
      <c r="A160" s="4"/>
      <c r="B160" s="23"/>
      <c r="C160" s="23"/>
      <c r="D160" s="23"/>
      <c r="E160" s="4"/>
      <c r="F160" s="4"/>
      <c r="G160" s="4"/>
      <c r="H160" s="4"/>
      <c r="I160" s="4"/>
      <c r="J160" s="4"/>
      <c r="K160" s="4"/>
      <c r="L160" s="4"/>
      <c r="M160" s="4"/>
    </row>
    <row r="161" spans="1:13" s="34" customFormat="1">
      <c r="A161" s="4"/>
      <c r="B161" s="23"/>
      <c r="C161" s="23"/>
      <c r="D161" s="23"/>
      <c r="E161" s="4"/>
      <c r="F161" s="4"/>
      <c r="G161" s="4"/>
      <c r="H161" s="4"/>
      <c r="I161" s="4"/>
      <c r="J161" s="4"/>
      <c r="K161" s="4"/>
      <c r="L161" s="4"/>
      <c r="M161" s="4"/>
    </row>
    <row r="162" spans="1:13" s="34" customFormat="1">
      <c r="A162" s="4"/>
      <c r="B162" s="23"/>
      <c r="C162" s="23"/>
      <c r="D162" s="23"/>
      <c r="E162" s="4"/>
      <c r="F162" s="4"/>
      <c r="G162" s="4"/>
      <c r="H162" s="4"/>
      <c r="I162" s="4"/>
      <c r="J162" s="4"/>
      <c r="K162" s="4"/>
      <c r="L162" s="4"/>
      <c r="M162" s="4"/>
    </row>
    <row r="163" spans="1:13" s="34" customFormat="1">
      <c r="A163" s="4"/>
      <c r="B163" s="23"/>
      <c r="C163" s="23"/>
      <c r="D163" s="23"/>
      <c r="E163" s="4"/>
      <c r="F163" s="4"/>
      <c r="G163" s="4"/>
      <c r="H163" s="4"/>
      <c r="I163" s="4"/>
      <c r="J163" s="4"/>
      <c r="K163" s="4"/>
      <c r="L163" s="4"/>
      <c r="M163" s="4"/>
    </row>
    <row r="164" spans="1:13" s="34" customFormat="1">
      <c r="A164" s="4"/>
      <c r="B164" s="23"/>
      <c r="C164" s="23"/>
      <c r="D164" s="23"/>
      <c r="E164" s="4"/>
      <c r="F164" s="4"/>
      <c r="G164" s="4"/>
      <c r="H164" s="4"/>
      <c r="I164" s="4"/>
      <c r="J164" s="4"/>
      <c r="K164" s="4"/>
      <c r="L164" s="4"/>
      <c r="M164" s="4"/>
    </row>
    <row r="165" spans="1:13" s="34" customFormat="1">
      <c r="A165" s="4"/>
      <c r="B165" s="23"/>
      <c r="C165" s="23"/>
      <c r="D165" s="23"/>
      <c r="E165" s="4"/>
      <c r="F165" s="4"/>
      <c r="G165" s="4"/>
      <c r="H165" s="4"/>
      <c r="I165" s="4"/>
      <c r="J165" s="4"/>
      <c r="K165" s="4"/>
      <c r="L165" s="4"/>
      <c r="M165" s="4"/>
    </row>
    <row r="166" spans="1:13" s="34" customFormat="1">
      <c r="A166" s="4"/>
      <c r="B166" s="23"/>
      <c r="C166" s="23"/>
      <c r="D166" s="23"/>
      <c r="E166" s="4"/>
      <c r="F166" s="4"/>
      <c r="G166" s="4"/>
      <c r="H166" s="4"/>
      <c r="I166" s="4"/>
      <c r="J166" s="4"/>
      <c r="K166" s="4"/>
      <c r="L166" s="4"/>
      <c r="M166" s="4"/>
    </row>
    <row r="167" spans="1:13" s="34" customFormat="1">
      <c r="A167" s="4"/>
      <c r="B167" s="23"/>
      <c r="C167" s="23"/>
      <c r="D167" s="23"/>
      <c r="E167" s="4"/>
      <c r="F167" s="4"/>
      <c r="G167" s="4"/>
      <c r="H167" s="4"/>
      <c r="I167" s="4"/>
      <c r="J167" s="4"/>
      <c r="K167" s="4"/>
      <c r="L167" s="4"/>
      <c r="M167" s="4"/>
    </row>
    <row r="168" spans="1:13" s="34" customFormat="1">
      <c r="A168" s="4"/>
      <c r="B168" s="23"/>
      <c r="C168" s="23"/>
      <c r="D168" s="23"/>
      <c r="E168" s="4"/>
      <c r="F168" s="4"/>
      <c r="G168" s="4"/>
      <c r="H168" s="4"/>
      <c r="I168" s="4"/>
      <c r="J168" s="4"/>
      <c r="K168" s="4"/>
      <c r="L168" s="4"/>
      <c r="M168" s="4"/>
    </row>
    <row r="169" spans="1:13" s="34" customFormat="1">
      <c r="A169" s="4"/>
      <c r="B169" s="23"/>
      <c r="C169" s="23"/>
      <c r="D169" s="23"/>
      <c r="E169" s="4"/>
      <c r="F169" s="4"/>
      <c r="G169" s="4"/>
      <c r="H169" s="4"/>
      <c r="I169" s="4"/>
      <c r="J169" s="4"/>
      <c r="K169" s="4"/>
      <c r="L169" s="4"/>
      <c r="M169" s="4"/>
    </row>
    <row r="170" spans="1:13" s="34" customFormat="1">
      <c r="A170" s="4"/>
      <c r="B170" s="23"/>
      <c r="C170" s="23"/>
      <c r="D170" s="23"/>
      <c r="E170" s="4"/>
      <c r="F170" s="4"/>
      <c r="G170" s="4"/>
      <c r="H170" s="4"/>
      <c r="I170" s="4"/>
      <c r="J170" s="4"/>
      <c r="K170" s="4"/>
      <c r="L170" s="4"/>
      <c r="M170" s="4"/>
    </row>
    <row r="171" spans="1:13" s="34" customFormat="1">
      <c r="A171" s="4"/>
      <c r="B171" s="23"/>
      <c r="C171" s="23"/>
      <c r="D171" s="23"/>
      <c r="E171" s="4"/>
      <c r="F171" s="4"/>
      <c r="G171" s="4"/>
      <c r="H171" s="4"/>
      <c r="I171" s="4"/>
      <c r="J171" s="4"/>
      <c r="K171" s="4"/>
      <c r="L171" s="4"/>
      <c r="M171" s="4"/>
    </row>
    <row r="172" spans="1:13" s="34" customFormat="1">
      <c r="A172" s="4"/>
      <c r="B172" s="23"/>
      <c r="C172" s="23"/>
      <c r="D172" s="23"/>
      <c r="E172" s="4"/>
      <c r="F172" s="4"/>
      <c r="G172" s="4"/>
      <c r="H172" s="4"/>
      <c r="I172" s="4"/>
      <c r="J172" s="4"/>
      <c r="K172" s="4"/>
      <c r="L172" s="4"/>
      <c r="M172" s="4"/>
    </row>
    <row r="173" spans="1:13" s="34" customFormat="1">
      <c r="A173" s="4"/>
      <c r="B173" s="23"/>
      <c r="C173" s="23"/>
      <c r="D173" s="23"/>
      <c r="E173" s="4"/>
      <c r="F173" s="4"/>
      <c r="G173" s="4"/>
      <c r="H173" s="4"/>
      <c r="I173" s="4"/>
      <c r="J173" s="4"/>
      <c r="K173" s="4"/>
      <c r="L173" s="4"/>
      <c r="M173" s="4"/>
    </row>
    <row r="174" spans="1:13" s="34" customFormat="1">
      <c r="A174" s="4"/>
      <c r="B174" s="23"/>
      <c r="C174" s="23"/>
      <c r="D174" s="23"/>
      <c r="E174" s="4"/>
      <c r="F174" s="4"/>
      <c r="G174" s="4"/>
      <c r="H174" s="4"/>
      <c r="I174" s="4"/>
      <c r="J174" s="4"/>
      <c r="K174" s="4"/>
      <c r="L174" s="4"/>
      <c r="M174" s="4"/>
    </row>
    <row r="175" spans="1:13" s="34" customFormat="1">
      <c r="A175" s="4"/>
      <c r="B175" s="23"/>
      <c r="C175" s="23"/>
      <c r="D175" s="23"/>
      <c r="E175" s="4"/>
      <c r="F175" s="4"/>
      <c r="G175" s="4"/>
      <c r="H175" s="4"/>
      <c r="I175" s="4"/>
      <c r="J175" s="4"/>
      <c r="K175" s="4"/>
      <c r="L175" s="4"/>
      <c r="M175" s="4"/>
    </row>
    <row r="176" spans="1:13" s="34" customFormat="1">
      <c r="A176" s="4"/>
      <c r="B176" s="23"/>
      <c r="C176" s="23"/>
      <c r="D176" s="23"/>
      <c r="E176" s="4"/>
      <c r="F176" s="4"/>
      <c r="G176" s="4"/>
      <c r="H176" s="4"/>
      <c r="I176" s="4"/>
      <c r="J176" s="4"/>
      <c r="K176" s="4"/>
      <c r="L176" s="4"/>
      <c r="M176" s="4"/>
    </row>
    <row r="177" spans="1:13" s="34" customFormat="1">
      <c r="A177" s="4"/>
      <c r="B177" s="23"/>
      <c r="C177" s="23"/>
      <c r="D177" s="23"/>
      <c r="E177" s="4"/>
      <c r="F177" s="4"/>
      <c r="G177" s="4"/>
      <c r="H177" s="4"/>
      <c r="I177" s="4"/>
      <c r="J177" s="4"/>
      <c r="K177" s="4"/>
      <c r="L177" s="4"/>
      <c r="M177" s="4"/>
    </row>
    <row r="178" spans="1:13" s="34" customFormat="1">
      <c r="A178" s="4"/>
      <c r="B178" s="23"/>
      <c r="C178" s="23"/>
      <c r="D178" s="23"/>
      <c r="E178" s="4"/>
      <c r="F178" s="4"/>
      <c r="G178" s="4"/>
      <c r="H178" s="4"/>
      <c r="I178" s="4"/>
      <c r="J178" s="4"/>
      <c r="K178" s="4"/>
      <c r="L178" s="4"/>
      <c r="M178" s="4"/>
    </row>
    <row r="179" spans="1:13" s="34" customFormat="1">
      <c r="A179" s="4"/>
      <c r="B179" s="23"/>
      <c r="C179" s="23"/>
      <c r="D179" s="23"/>
      <c r="E179" s="4"/>
      <c r="F179" s="4"/>
      <c r="G179" s="4"/>
      <c r="H179" s="4"/>
      <c r="I179" s="4"/>
      <c r="J179" s="4"/>
      <c r="K179" s="4"/>
      <c r="L179" s="4"/>
      <c r="M179" s="4"/>
    </row>
    <row r="180" spans="1:13" s="34" customFormat="1">
      <c r="A180" s="4"/>
      <c r="B180" s="23"/>
      <c r="C180" s="23"/>
      <c r="D180" s="23"/>
      <c r="E180" s="4"/>
      <c r="F180" s="4"/>
      <c r="G180" s="4"/>
      <c r="H180" s="4"/>
      <c r="I180" s="4"/>
      <c r="J180" s="4"/>
      <c r="K180" s="4"/>
      <c r="L180" s="4"/>
      <c r="M180" s="4"/>
    </row>
    <row r="181" spans="1:13" s="34" customFormat="1">
      <c r="A181" s="4"/>
      <c r="B181" s="23"/>
      <c r="C181" s="23"/>
      <c r="D181" s="23"/>
      <c r="E181" s="4"/>
      <c r="F181" s="4"/>
      <c r="G181" s="4"/>
      <c r="H181" s="4"/>
      <c r="I181" s="4"/>
      <c r="J181" s="4"/>
      <c r="K181" s="4"/>
      <c r="L181" s="4"/>
      <c r="M181" s="4"/>
    </row>
    <row r="182" spans="1:13" s="34" customFormat="1">
      <c r="A182" s="4"/>
      <c r="B182" s="23"/>
      <c r="C182" s="23"/>
      <c r="D182" s="23"/>
      <c r="E182" s="4"/>
      <c r="F182" s="4"/>
      <c r="G182" s="4"/>
      <c r="H182" s="4"/>
      <c r="I182" s="4"/>
      <c r="J182" s="4"/>
      <c r="K182" s="4"/>
      <c r="L182" s="4"/>
      <c r="M182" s="4"/>
    </row>
    <row r="183" spans="1:13" s="34" customFormat="1">
      <c r="A183" s="4"/>
      <c r="B183" s="23"/>
      <c r="C183" s="23"/>
      <c r="D183" s="23"/>
      <c r="E183" s="4"/>
      <c r="F183" s="4"/>
      <c r="G183" s="4"/>
      <c r="H183" s="4"/>
      <c r="I183" s="4"/>
      <c r="J183" s="4"/>
      <c r="K183" s="4"/>
      <c r="L183" s="4"/>
      <c r="M183" s="4"/>
    </row>
    <row r="184" spans="1:13" s="34" customFormat="1">
      <c r="A184" s="4"/>
      <c r="B184" s="23"/>
      <c r="C184" s="23"/>
      <c r="D184" s="23"/>
      <c r="E184" s="4"/>
      <c r="F184" s="4"/>
      <c r="G184" s="4"/>
      <c r="H184" s="4"/>
      <c r="I184" s="4"/>
      <c r="J184" s="4"/>
      <c r="K184" s="4"/>
      <c r="L184" s="4"/>
      <c r="M184" s="4"/>
    </row>
    <row r="185" spans="1:13" s="34" customFormat="1">
      <c r="A185" s="4"/>
      <c r="B185" s="23"/>
      <c r="C185" s="23"/>
      <c r="D185" s="23"/>
      <c r="E185" s="4"/>
      <c r="F185" s="4"/>
      <c r="G185" s="4"/>
      <c r="H185" s="4"/>
      <c r="I185" s="4"/>
      <c r="J185" s="4"/>
      <c r="K185" s="4"/>
      <c r="L185" s="4"/>
      <c r="M185" s="4"/>
    </row>
    <row r="186" spans="1:13" s="34" customFormat="1">
      <c r="A186" s="4"/>
      <c r="B186" s="23"/>
      <c r="C186" s="23"/>
      <c r="D186" s="23"/>
      <c r="E186" s="4"/>
      <c r="F186" s="4"/>
      <c r="G186" s="4"/>
      <c r="H186" s="4"/>
      <c r="I186" s="4"/>
      <c r="J186" s="4"/>
      <c r="K186" s="4"/>
      <c r="L186" s="4"/>
      <c r="M186" s="4"/>
    </row>
    <row r="187" spans="1:13" s="34" customFormat="1">
      <c r="A187" s="4"/>
      <c r="B187" s="23"/>
      <c r="C187" s="23"/>
      <c r="D187" s="23"/>
      <c r="E187" s="4"/>
      <c r="F187" s="4"/>
      <c r="G187" s="4"/>
      <c r="H187" s="4"/>
      <c r="I187" s="4"/>
      <c r="J187" s="4"/>
      <c r="K187" s="4"/>
      <c r="L187" s="4"/>
      <c r="M187" s="4"/>
    </row>
    <row r="188" spans="1:13" s="34" customFormat="1">
      <c r="A188" s="4"/>
      <c r="B188" s="23"/>
      <c r="C188" s="23"/>
      <c r="D188" s="23"/>
      <c r="E188" s="4"/>
      <c r="F188" s="4"/>
      <c r="G188" s="4"/>
      <c r="H188" s="4"/>
      <c r="I188" s="4"/>
      <c r="J188" s="4"/>
      <c r="K188" s="4"/>
      <c r="L188" s="4"/>
      <c r="M188" s="4"/>
    </row>
    <row r="189" spans="1:13" s="34" customFormat="1">
      <c r="A189" s="4"/>
      <c r="B189" s="23"/>
      <c r="C189" s="23"/>
      <c r="D189" s="23"/>
      <c r="E189" s="4"/>
      <c r="F189" s="4"/>
      <c r="G189" s="4"/>
      <c r="H189" s="4"/>
      <c r="I189" s="4"/>
      <c r="J189" s="4"/>
      <c r="K189" s="4"/>
      <c r="L189" s="4"/>
      <c r="M189" s="4"/>
    </row>
    <row r="190" spans="1:13" s="34" customFormat="1">
      <c r="A190" s="4"/>
      <c r="B190" s="23"/>
      <c r="C190" s="23"/>
      <c r="D190" s="23"/>
      <c r="E190" s="4"/>
      <c r="F190" s="4"/>
      <c r="G190" s="4"/>
      <c r="H190" s="4"/>
      <c r="I190" s="4"/>
      <c r="J190" s="4"/>
      <c r="K190" s="4"/>
      <c r="L190" s="4"/>
      <c r="M190" s="4"/>
    </row>
    <row r="191" spans="1:13" s="34" customFormat="1">
      <c r="A191" s="4"/>
      <c r="B191" s="23"/>
      <c r="C191" s="23"/>
      <c r="D191" s="23"/>
      <c r="E191" s="4"/>
      <c r="F191" s="4"/>
      <c r="G191" s="4"/>
      <c r="H191" s="4"/>
      <c r="I191" s="4"/>
      <c r="J191" s="4"/>
      <c r="K191" s="4"/>
      <c r="L191" s="4"/>
      <c r="M191" s="4"/>
    </row>
    <row r="192" spans="1:13" s="34" customFormat="1">
      <c r="A192" s="4"/>
      <c r="B192" s="23"/>
      <c r="C192" s="23"/>
      <c r="D192" s="23"/>
      <c r="E192" s="4"/>
      <c r="F192" s="4"/>
      <c r="G192" s="4"/>
      <c r="H192" s="4"/>
      <c r="I192" s="4"/>
      <c r="J192" s="4"/>
      <c r="K192" s="4"/>
      <c r="L192" s="4"/>
      <c r="M192" s="4"/>
    </row>
    <row r="193" spans="1:13" s="34" customFormat="1">
      <c r="A193" s="4"/>
      <c r="B193" s="23"/>
      <c r="C193" s="23"/>
      <c r="D193" s="23"/>
      <c r="E193" s="4"/>
      <c r="F193" s="4"/>
      <c r="G193" s="4"/>
      <c r="H193" s="4"/>
      <c r="I193" s="4"/>
      <c r="J193" s="4"/>
      <c r="K193" s="4"/>
      <c r="L193" s="4"/>
      <c r="M193" s="4"/>
    </row>
    <row r="194" spans="1:13" s="34" customFormat="1">
      <c r="A194" s="4"/>
      <c r="B194" s="23"/>
      <c r="C194" s="23"/>
      <c r="D194" s="23"/>
      <c r="E194" s="4"/>
      <c r="F194" s="4"/>
      <c r="G194" s="4"/>
      <c r="H194" s="4"/>
      <c r="I194" s="4"/>
      <c r="J194" s="4"/>
      <c r="K194" s="4"/>
      <c r="L194" s="4"/>
      <c r="M194" s="4"/>
    </row>
    <row r="195" spans="1:13" s="34" customForma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34" customForma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s="34" customForma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s="34" customForma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s="34" customForma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s="34" customForma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s="34" customForma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s="34" customForma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s="34" customForma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s="34" customForma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s="34" customForma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s="34" customForma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s="34" customForma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s="34" customForma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s="34" customForma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s="34" customForma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s="34" customForma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s="34" customForma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s="34" customForma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s="34" customForma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s="34" customForma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s="34" customForma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s="34" customForma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s="34" customForma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s="34" customForma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s="34" customForma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s="34" customForma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s="34" customForma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s="34" customForma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34" customForma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s="34" customForma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 s="34" customForma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s="34" customForma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s="34" customForma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s="34" customForma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s="34" customForma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s="34" customForma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s="34" customForma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s="34" customForma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s="34" customForma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s="34" customForma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 s="34" customForma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s="34" customForma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 s="34" customForma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s="34" customForma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s="34" customForma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s="34" customForma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 s="34" customForma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34" customForma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 s="34" customForma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s="34" customForma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s="34" customForma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s="34" customForma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 s="34" customForma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s="34" customForma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s="34" customForma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s="34" customForma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s="34" customForma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s="34" customForma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 s="34" customForma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s="34" customForma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s="34" customForma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s="34" customForma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s="34" customForma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 s="34" customForma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 s="34" customForma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 s="34" customForma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 s="34" customForma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s="34" customForma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 s="34" customForma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 s="34" customForma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 s="34" customForma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 s="34" customForma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s="34" customForma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 s="34" customForma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s="34" customForma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s="34" customForma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 s="34" customForma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s="34" customForma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s="34" customForma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s="34" customForma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s="34" customForma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s="34" customForma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s="34" customForma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s="34" customForma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s="34" customForma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s="34" customForma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s="34" customForma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s="34" customForma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s="34" customForma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s="34" customForma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s="34" customForma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s="34" customForma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s="34" customForma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s="34" customForma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s="34" customForma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s="34" customForma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s="34" customForma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s="34" customForma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 s="34" customForma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s="34" customForma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s="34" customForma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s="34" customForma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s="34" customForma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s="34" customForma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s="34" customForma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s="34" customForma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 s="34" customForma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 s="34" customForma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s="34" customForma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s="34" customForma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s="34" customForma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s="34" customForma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s="34" customForma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s="34" customForma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s="34" customForma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s="34" customForma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s="34" customForma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s="34" customForma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s="34" customForma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s="34" customForma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 s="34" customForma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s="34" customForma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s="34" customForma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s="34" customForma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s="34" customForma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s="34" customForma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s="34" customForma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s="34" customForma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s="34" customForma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s="34" customForma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s="34" customForma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s="34" customForma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s="34" customForma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s="34" customForma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s="34" customForma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s="34" customForma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 s="34" customForma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s="34" customForma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s="34" customForma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s="34" customForma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s="34" customForma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s="34" customForma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 s="34" customForma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s="34" customForma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s="34" customForma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s="34" customForma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s="34" customForma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s="34" customForma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s="34" customForma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s="34" customForma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s="34" customForma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s="34" customForma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 s="34" customForma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s="34" customForma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s="34" customForma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s="34" customForma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s="34" customForma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s="34" customForma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s="34" customForma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s="34" customForma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s="34" customForma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s="34" customForma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s="34" customForma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s="34" customForma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s="34" customForma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s="34" customForma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s="34" customForma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s="34" customForma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 s="34" customForma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s="34" customForma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s="34" customForma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s="34" customForma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 s="34" customForma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s="34" customForma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s="34" customForma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s="34" customForma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s="34" customForma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s="34" customForma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s="34" customForma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s="34" customForma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 s="34" customForma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s="34" customForma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 s="34" customForma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 s="34" customForma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 s="34" customForma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s="34" customForma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 s="34" customForma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s="34" customForma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 s="34" customForma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 s="34" customForma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 s="34" customForma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s="34" customForma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s="34" customForma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s="34" customForma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 s="34" customForma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 s="34" customForma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 s="34" customForma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s="34" customForma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 s="34" customForma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s="34" customForma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s="34" customForma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s="34" customForma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s="34" customForma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 s="34" customForma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 s="34" customForma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s="34" customForma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 s="34" customForma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 s="34" customForma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 s="34" customForma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s="34" customForma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s="34" customForma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 s="34" customForma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 s="34" customForma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s="34" customForma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 s="34" customForma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s="34" customForma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s="34" customForma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s="34" customForma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 s="34" customForma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s="34" customForma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 s="34" customForma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 s="34" customForma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 s="34" customForma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s="34" customForma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 s="34" customForma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s="34" customForma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 s="34" customForma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 s="34" customForma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 s="34" customForma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 s="34" customForma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 s="34" customForma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 s="34" customForma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 s="34" customForma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s="34" customForma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 s="34" customForma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s="34" customForma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 s="34" customForma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 s="34" customForma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 s="34" customForma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s="34" customForma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 s="34" customForma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s="34" customForma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 s="34" customForma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 s="34" customForma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 s="34" customForma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 s="34" customForma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s="34" customForma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s="34" customForma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 s="34" customForma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s="34" customForma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 s="34" customForma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s="34" customForma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 s="34" customForma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 s="34" customForma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 s="34" customForma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s="34" customForma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s="34" customForma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 s="34" customForma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 s="34" customForma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 s="34" customForma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 s="34" customForma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s="34" customForma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 s="34" customForma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s="34" customForma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 s="34" customForma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s="34" customForma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 s="34" customForma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s="34" customForma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 s="34" customForma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 s="34" customForma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 s="34" customForma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 s="34" customForma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 s="34" customForma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 s="34" customForma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 s="34" customForma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 s="34" customForma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 s="34" customForma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 s="34" customForma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 s="34" customForma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s="34" customForma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 s="34" customForma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 s="34" customForma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 s="34" customForma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 s="34" customForma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 s="34" customForma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s="34" customForma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s="34" customForma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 s="34" customForma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 s="34" customForma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 s="34" customForma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 s="34" customForma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 s="34" customForma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 s="34" customForma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s="34" customForma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 s="34" customForma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s="34" customForma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s="34" customForma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s="34" customForma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 s="34" customForma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s="34" customForma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s="34" customForma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s="34" customForma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 s="34" customForma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s="34" customForma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 s="34" customForma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1:13" s="34" customForma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 s="34" customForma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 s="34" customForma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 s="34" customForma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 s="34" customForma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1:13" s="34" customForma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3" s="34" customForma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1:13" s="34" customForma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1:13" s="34" customForma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1:13" s="34" customForma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1:13" s="34" customForma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1:13" s="34" customForma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1:13" s="34" customForma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1:13" s="34" customForma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1:13" s="34" customForma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 s="34" customForma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1:13" s="34" customForma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1:13" s="34" customForma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1:13" s="34" customForma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1:13" s="34" customForma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 s="34" customForma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s="34" customForma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1:13" s="34" customForma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1:13" s="34" customForma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1:13" s="34" customForma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s="34" customForma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s="34" customForma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 s="34" customForma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1:13" s="34" customForma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1:13" s="34" customForma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1:13" s="34" customForma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1:13" s="34" customForma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1:13" s="34" customForma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 s="34" customForma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 s="34" customForma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s="34" customForma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s="34" customForma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 s="34" customForma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 s="34" customForma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1:13" s="34" customForma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1:13" s="34" customForma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1:13" s="34" customForma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 s="34" customForma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 s="34" customForma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1:13" s="34" customForma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1:13" s="34" customForma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1:13" s="34" customForma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1:13" s="34" customForma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 s="34" customForma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s="34" customForma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 s="34" customForma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1:13" s="34" customForma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1:13" s="34" customForma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1:13" s="34" customForma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1:13" s="34" customForma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1:13" s="34" customForma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 s="34" customForma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 s="34" customForma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s="34" customForma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 s="34" customForma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s="34" customForma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s="34" customForma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 s="34" customForma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 s="34" customForma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 s="34" customForma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 s="34" customForma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 s="34" customForma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1:13" s="34" customForma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1:13" s="34" customForma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1:13" s="34" customForma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1:13" s="34" customForma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s="34" customForma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s="34" customForma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 s="34" customForma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1:13" s="34" customForma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1:13" s="34" customForma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1:13" s="34" customForma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1:13" s="34" customForma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 s="34" customForma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s="34" customForma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 s="34" customForma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 s="34" customForma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 s="34" customForma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 s="34" customForma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 s="34" customForma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 s="34" customForma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 s="34" customForma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 s="34" customForma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s="34" customForma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s="34" customForma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3" s="34" customForma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1:13" s="34" customForma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1:13" s="34" customForma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1:13" s="34" customForma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 s="34" customForma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 s="34" customForma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 s="34" customForma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1:13" s="34" customForma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 s="34" customForma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1:13" s="34" customForma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1:13" s="34" customForma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1:13" s="34" customForma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 s="34" customForma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 s="34" customForma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 s="34" customForma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 s="34" customForma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 s="34" customForma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s="34" customForma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 s="34" customForma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 s="34" customForma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 s="34" customForma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 s="34" customForma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 s="34" customForma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1:13" s="34" customForma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1:13" s="34" customForma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1:13" s="34" customForma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1:13" s="34" customForma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 s="34" customForma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 s="34" customForma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 s="34" customForma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1:13" s="34" customForma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 s="34" customForma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 s="34" customForma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 s="34" customForma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1:13" s="34" customForma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 s="34" customForma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 s="34" customForma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s="34" customForma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 s="34" customForma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 s="34" customForma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 s="34" customForma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s="34" customForma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 s="34" customForma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 s="34" customForma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 s="34" customForma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 s="34" customForma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1:13" s="34" customForma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1:13" s="34" customForma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1:13" s="34" customForma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1:13" s="34" customForma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 s="34" customForma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s="34" customForma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s="34" customForma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1:13" s="34" customForma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1:13" s="34" customForma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 s="34" customForma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 s="34" customForma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 s="34" customForma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 s="34" customForma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 s="34" customForma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 s="34" customForma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 s="34" customForma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 s="34" customForma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 s="34" customForma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 s="34" customForma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 s="34" customForma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s="34" customForma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 s="34" customForma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 s="34" customForma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1:13" s="34" customForma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1:13" s="34" customForma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1:13" s="34" customForma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1:13" s="34" customForma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 s="34" customForma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 s="34" customForma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 s="34" customForma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1:13" s="34" customForma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1:13" s="34" customForma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1:13" s="34" customForma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1:13" s="34" customForma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s="34" customForma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s="34" customForma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 s="34" customForma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 s="34" customForma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 s="34" customForma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 s="34" customForma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s="34" customForma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s="34" customForma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 s="34" customForma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 s="34" customForma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 s="34" customForma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 s="34" customForma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1:13" s="34" customForma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1:13" s="34" customForma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 s="34" customForma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 s="34" customForma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s="34" customForma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s="34" customForma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 s="34" customForma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 s="34" customForma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1:13" s="34" customForma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1:13" s="34" customForma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1:13" s="34" customForma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1:13" s="34" customForma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 s="34" customForma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 s="34" customForma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 s="34" customForma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 s="34" customForma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 s="34" customForma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 s="34" customForma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 s="34" customForma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 s="34" customForma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 s="34" customForma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 s="34" customForma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s="34" customForma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1:13" s="34" customForma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1:13" s="34" customForma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1:13" s="34" customForma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1:13" s="34" customForma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s="34" customForma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 s="34" customForma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 s="34" customForma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1:13" s="34" customForma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 s="34" customForma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1:13" s="34" customForma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1:13" s="34" customForma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1:13" s="34" customForma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 s="34" customForma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 s="34" customForma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 s="34" customForma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 s="34" customForma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s="34" customForma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 s="34" customForma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 s="34" customForma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 s="34" customForma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1:13" s="34" customForma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 s="34" customForma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s="34" customForma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1:13" s="34" customForma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1:13" s="34" customForma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3" s="34" customForma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1:13" s="34" customForma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 s="34" customForma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s="34" customForma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 s="34" customForma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1:13" s="34" customForma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1:13" s="34" customForma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 s="34" customForma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 s="34" customForma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1:13" s="34" customForma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 s="34" customForma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 s="34" customForma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 s="34" customForma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 s="34" customForma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 s="34" customForma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s="34" customForma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s="34" customForma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s="34" customForma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s="34" customForma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 s="34" customForma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 s="34" customForma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1:13" s="34" customForma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1:13" s="34" customForma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1:13" s="34" customForma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 s="34" customForma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 s="34" customForma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 s="34" customForma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 s="34" customForma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3" s="34" customForma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1:13" s="34" customForma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1:13" s="34" customForma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1:13" s="34" customForma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1:13" s="34" customForma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 s="34" customForma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 s="34" customForma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 s="34" customForma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 s="34" customForma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 s="34" customForma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s="34" customForma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 s="34" customForma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s="34" customForma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s="34" customForma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 s="34" customFormat="1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 s="34" customFormat="1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s="34" customFormat="1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 s="34" customFormat="1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1:13" s="34" customFormat="1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1:13" s="34" customFormat="1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 s="34" customFormat="1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 s="34" customFormat="1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 s="34" customFormat="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1:13" s="34" customFormat="1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1:13" s="34" customFormat="1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1:13" s="34" customFormat="1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 s="34" customFormat="1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 s="34" customFormat="1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 s="34" customFormat="1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 s="34" customFormat="1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 s="34" customFormat="1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 s="34" customFormat="1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1:13" s="34" customFormat="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 s="34" customFormat="1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 s="34" customFormat="1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 s="34" customFormat="1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 s="34" customFormat="1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 s="34" customFormat="1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 s="34" customFormat="1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1:13" s="34" customFormat="1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1:13" s="34" customFormat="1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1:13" s="34" customFormat="1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1:13" s="34" customFormat="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 s="34" customFormat="1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 s="34" customFormat="1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 s="34" customFormat="1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1:13" s="34" customFormat="1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1:13" s="34" customFormat="1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1:13" s="34" customFormat="1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1:13" s="34" customFormat="1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 s="34" customFormat="1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s="34" customFormat="1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s="34" customFormat="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 s="34" customFormat="1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 s="34" customFormat="1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 s="34" customFormat="1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 s="34" customFormat="1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 s="34" customFormat="1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 s="34" customFormat="1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 s="34" customFormat="1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 s="34" customFormat="1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s="34" customFormat="1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1:13" s="34" customFormat="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 s="34" customFormat="1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1:13" s="34" customFormat="1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1:13" s="34" customFormat="1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 s="34" customFormat="1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 s="34" customFormat="1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s="34" customFormat="1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1:13" s="34" customFormat="1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1:13" s="34" customFormat="1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1:13" s="34" customFormat="1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1:13" s="34" customFormat="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1:13" s="34" customFormat="1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 s="34" customFormat="1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s="34" customFormat="1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 s="34" customFormat="1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 s="34" customFormat="1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 s="34" customFormat="1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 s="34" customFormat="1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 s="34" customFormat="1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s="34" customFormat="1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 s="34" customFormat="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 s="34" customFormat="1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 s="34" customFormat="1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s="34" customFormat="1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 s="34" customFormat="1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 s="34" customFormat="1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 s="34" customFormat="1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 s="34" customFormat="1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 s="34" customFormat="1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 s="34" customFormat="1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1:13" s="34" customFormat="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1:13" s="34" customFormat="1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 s="34" customFormat="1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 s="34" customFormat="1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 s="34" customFormat="1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 s="34" customFormat="1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 s="34" customFormat="1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 s="34" customFormat="1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 s="34" customFormat="1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s="34" customFormat="1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s="34" customFormat="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 s="34" customFormat="1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 s="34" customFormat="1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s="34" customFormat="1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s="34" customFormat="1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 s="34" customFormat="1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 s="34" customFormat="1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1:13" s="34" customFormat="1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1:13" s="34" customFormat="1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1:13" s="34" customFormat="1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s="34" customFormat="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s="34" customFormat="1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s="34" customFormat="1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 s="34" customFormat="1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1:13" s="34" customFormat="1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1:13" s="34" customFormat="1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3" s="34" customFormat="1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1:13" s="34" customFormat="1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1:13" s="34" customFormat="1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1:13" s="34" customFormat="1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1:13" s="34" customFormat="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1:13" s="34" customFormat="1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1:13" s="34" customFormat="1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1:13" s="34" customFormat="1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1:13" s="34" customFormat="1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1:13" s="34" customFormat="1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1:13" s="34" customFormat="1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1:13" s="34" customFormat="1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1:13" s="34" customFormat="1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1:13" s="34" customFormat="1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1:13" s="34" customFormat="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1:13" s="34" customFormat="1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1:13" s="34" customFormat="1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1:13" s="34" customFormat="1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1:13" s="34" customFormat="1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 s="34" customFormat="1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1:13" s="34" customFormat="1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1:13" s="34" customFormat="1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1:13" s="34" customFormat="1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1:13" s="34" customFormat="1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1:13" s="34" customFormat="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1:13" s="34" customFormat="1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1:13" s="34" customFormat="1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1:13" s="34" customFormat="1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1:13" s="34" customFormat="1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1:13" s="34" customFormat="1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1:13" s="34" customFormat="1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1:13" s="34" customFormat="1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1:13" s="34" customFormat="1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1:13" s="34" customFormat="1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1:13" s="34" customFormat="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1:13" s="34" customFormat="1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1:13" s="34" customFormat="1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1:13" s="34" customFormat="1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1:13" s="34" customFormat="1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1:13" s="34" customFormat="1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 s="34" customFormat="1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1:13" s="34" customFormat="1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1:13" s="34" customFormat="1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1:13" s="34" customFormat="1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1:13" s="34" customFormat="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1:13" s="34" customFormat="1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1:13" s="34" customFormat="1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1:13" s="34" customFormat="1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1:13" s="34" customFormat="1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1:13" s="34" customFormat="1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1:13" s="34" customFormat="1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1:13" s="34" customFormat="1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1:13" s="34" customFormat="1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1:13" s="34" customFormat="1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1:13" s="34" customFormat="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1:13" s="34" customFormat="1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1:13" s="34" customFormat="1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1:13" s="34" customFormat="1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1:13" s="34" customFormat="1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1:13" s="34" customFormat="1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1:13" s="34" customFormat="1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1:13" s="34" customFormat="1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1:13" s="34" customFormat="1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1:13" s="34" customFormat="1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1:13" s="34" customFormat="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1:13" s="34" customFormat="1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1:13" s="34" customFormat="1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1:13" s="34" customFormat="1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1:13" s="34" customFormat="1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1:13" s="34" customFormat="1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1:13" s="34" customFormat="1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1:13" s="34" customFormat="1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1:13" s="34" customFormat="1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1:13" s="34" customFormat="1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 s="34" customFormat="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1:13" s="34" customFormat="1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1:13" s="34" customFormat="1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1:13" s="34" customFormat="1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1:13" s="34" customFormat="1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1:13" s="34" customFormat="1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1:13" s="34" customFormat="1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1:13" s="34" customFormat="1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1:13" s="34" customFormat="1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1:13" s="34" customFormat="1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1:13" s="34" customFormat="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1:13" s="34" customFormat="1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1:13" s="34" customFormat="1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1:13" s="34" customFormat="1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1:13" s="34" customFormat="1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1:13" s="34" customFormat="1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1:13" s="34" customFormat="1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1:13" s="34" customFormat="1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1:13" s="34" customFormat="1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1:13" s="34" customFormat="1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1:13" s="34" customFormat="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1:13" s="34" customFormat="1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1:13" s="34" customFormat="1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1:13" s="34" customFormat="1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1:13" s="34" customFormat="1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1:13" s="34" customFormat="1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1:13" s="34" customFormat="1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1:13" s="34" customFormat="1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1:13" s="34" customFormat="1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1:13" s="34" customFormat="1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1:13" s="34" customFormat="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1:13" s="34" customFormat="1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1:13" s="34" customFormat="1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1:13" s="34" customFormat="1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1:13" s="34" customFormat="1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1:13" s="34" customFormat="1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1:13" s="34" customFormat="1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1:13" s="34" customFormat="1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1:13" s="34" customFormat="1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1:13" s="34" customFormat="1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1:13" s="34" customFormat="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1:13" s="34" customFormat="1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1:13" s="34" customFormat="1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1:13" s="34" customFormat="1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1:13" s="34" customFormat="1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1:13" s="34" customFormat="1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1:13" s="34" customFormat="1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1:13" s="34" customFormat="1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1:13" s="34" customFormat="1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spans="1:13" s="34" customFormat="1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  <row r="1001" spans="1:13" s="34" customFormat="1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</row>
    <row r="1002" spans="1:13" s="34" customFormat="1">
      <c r="A1002" s="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</row>
    <row r="1003" spans="1:13" s="34" customFormat="1">
      <c r="A1003" s="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</row>
    <row r="1004" spans="1:13" s="34" customFormat="1">
      <c r="A1004" s="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</row>
    <row r="1005" spans="1:13" s="34" customFormat="1">
      <c r="A1005" s="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</row>
    <row r="1006" spans="1:13" s="34" customFormat="1">
      <c r="A1006" s="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</row>
    <row r="1007" spans="1:13" s="34" customFormat="1">
      <c r="A1007" s="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</row>
    <row r="1008" spans="1:13" s="34" customFormat="1">
      <c r="A1008" s="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</row>
    <row r="1009" spans="1:13" s="34" customFormat="1">
      <c r="A1009" s="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</row>
    <row r="1010" spans="1:13" s="34" customFormat="1">
      <c r="A1010" s="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</row>
    <row r="1011" spans="1:13" s="34" customFormat="1">
      <c r="A1011" s="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</row>
    <row r="1012" spans="1:13" s="34" customFormat="1">
      <c r="A1012" s="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</row>
    <row r="1013" spans="1:13" s="34" customFormat="1">
      <c r="A1013" s="3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</row>
    <row r="1014" spans="1:13" s="34" customFormat="1">
      <c r="A1014" s="3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</row>
    <row r="1015" spans="1:13" s="34" customFormat="1">
      <c r="A1015" s="3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</row>
    <row r="1016" spans="1:13" s="34" customFormat="1">
      <c r="A1016" s="3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</row>
    <row r="1017" spans="1:13" s="34" customFormat="1">
      <c r="A1017" s="3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</row>
    <row r="1018" spans="1:13" s="34" customFormat="1">
      <c r="A1018" s="3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</row>
    <row r="1019" spans="1:13" s="34" customFormat="1">
      <c r="A1019" s="3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</row>
    <row r="1020" spans="1:13" s="34" customFormat="1">
      <c r="A1020" s="3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</row>
    <row r="1021" spans="1:13" s="34" customFormat="1">
      <c r="A1021" s="3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</row>
    <row r="1022" spans="1:13" s="34" customFormat="1">
      <c r="A1022" s="3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</row>
    <row r="1023" spans="1:13" s="34" customFormat="1">
      <c r="A1023" s="3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</row>
    <row r="1024" spans="1:13" s="34" customFormat="1">
      <c r="A1024" s="3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</row>
    <row r="1025" spans="1:13" s="34" customFormat="1">
      <c r="A1025" s="3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</row>
    <row r="1026" spans="1:13" s="34" customFormat="1">
      <c r="A1026" s="3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</row>
    <row r="1027" spans="1:13" s="34" customFormat="1">
      <c r="A1027" s="3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</row>
    <row r="1028" spans="1:13" s="34" customFormat="1">
      <c r="A1028" s="3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</row>
    <row r="1029" spans="1:13" s="34" customFormat="1">
      <c r="A1029" s="3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</row>
    <row r="1030" spans="1:13" s="34" customFormat="1">
      <c r="A1030" s="3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</row>
    <row r="1031" spans="1:13" s="34" customFormat="1">
      <c r="A1031" s="3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</row>
    <row r="1032" spans="1:13" s="34" customFormat="1">
      <c r="A1032" s="3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</row>
    <row r="1033" spans="1:13" s="34" customFormat="1">
      <c r="A1033" s="3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</row>
    <row r="1034" spans="1:13" s="34" customFormat="1">
      <c r="A1034" s="3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</row>
    <row r="1035" spans="1:13" s="34" customFormat="1">
      <c r="A1035" s="3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</row>
    <row r="1036" spans="1:13" s="34" customFormat="1">
      <c r="A1036" s="3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</row>
    <row r="1037" spans="1:13" s="34" customFormat="1">
      <c r="A1037" s="3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</row>
    <row r="1038" spans="1:13" s="34" customFormat="1">
      <c r="A1038" s="3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</row>
    <row r="1039" spans="1:13" s="34" customFormat="1">
      <c r="A1039" s="3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</row>
    <row r="1040" spans="1:13" s="34" customFormat="1">
      <c r="A1040" s="3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</row>
    <row r="1041" spans="1:13" s="34" customFormat="1">
      <c r="A1041" s="3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</row>
    <row r="1042" spans="1:13" s="34" customFormat="1">
      <c r="A1042" s="3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</row>
    <row r="1043" spans="1:13" s="34" customFormat="1">
      <c r="A1043" s="3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</row>
    <row r="1044" spans="1:13" s="34" customFormat="1">
      <c r="A1044" s="3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</row>
    <row r="1045" spans="1:13" s="34" customFormat="1">
      <c r="A1045" s="3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</row>
    <row r="1046" spans="1:13" s="34" customFormat="1">
      <c r="A1046" s="3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</row>
    <row r="1047" spans="1:13" s="34" customFormat="1">
      <c r="A1047" s="3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</row>
    <row r="1048" spans="1:13" s="34" customFormat="1">
      <c r="A1048" s="3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</row>
    <row r="1049" spans="1:13" s="34" customFormat="1">
      <c r="A1049" s="3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</row>
    <row r="1050" spans="1:13" s="34" customFormat="1">
      <c r="A1050" s="3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</row>
    <row r="1051" spans="1:13" s="34" customFormat="1">
      <c r="A1051" s="3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</row>
    <row r="1052" spans="1:13" s="34" customFormat="1">
      <c r="A1052" s="3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</row>
    <row r="1053" spans="1:13" s="34" customFormat="1">
      <c r="A1053" s="3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</row>
    <row r="1054" spans="1:13" s="34" customFormat="1">
      <c r="A1054" s="3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</row>
    <row r="1055" spans="1:13" s="34" customFormat="1">
      <c r="A1055" s="3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</row>
    <row r="1056" spans="1:13" s="34" customFormat="1">
      <c r="A1056" s="3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</row>
    <row r="1057" spans="1:13" s="34" customFormat="1">
      <c r="A1057" s="3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</row>
    <row r="1058" spans="1:13" s="34" customFormat="1">
      <c r="A1058" s="3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</row>
    <row r="1059" spans="1:13" s="34" customFormat="1">
      <c r="A1059" s="3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</row>
    <row r="1060" spans="1:13" s="34" customFormat="1">
      <c r="A1060" s="3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</row>
    <row r="1061" spans="1:13" s="34" customFormat="1">
      <c r="A1061" s="3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</row>
    <row r="1062" spans="1:13" s="34" customFormat="1">
      <c r="A1062" s="3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</row>
    <row r="1063" spans="1:13" s="34" customFormat="1">
      <c r="A1063" s="3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</row>
    <row r="1064" spans="1:13" s="34" customFormat="1">
      <c r="A1064" s="3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</row>
    <row r="1065" spans="1:13" s="34" customFormat="1">
      <c r="A1065" s="3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</row>
    <row r="1066" spans="1:13" s="34" customFormat="1">
      <c r="A1066" s="3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</row>
    <row r="1067" spans="1:13" s="34" customFormat="1">
      <c r="A1067" s="3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</row>
    <row r="1068" spans="1:13" s="34" customFormat="1">
      <c r="A1068" s="3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</row>
    <row r="1069" spans="1:13" s="34" customFormat="1">
      <c r="A1069" s="3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</row>
    <row r="1070" spans="1:13" s="34" customFormat="1">
      <c r="A1070" s="3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</row>
    <row r="1071" spans="1:13" s="34" customFormat="1">
      <c r="A1071" s="3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</row>
    <row r="1072" spans="1:13" s="34" customFormat="1">
      <c r="A1072" s="3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</row>
    <row r="1073" spans="1:13" s="34" customFormat="1">
      <c r="A1073" s="3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</row>
    <row r="1074" spans="1:13" s="34" customFormat="1">
      <c r="A1074" s="3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</row>
    <row r="1075" spans="1:13" s="34" customFormat="1">
      <c r="A1075" s="3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</row>
    <row r="1076" spans="1:13" s="34" customFormat="1">
      <c r="A1076" s="3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</row>
    <row r="1077" spans="1:13" s="34" customFormat="1">
      <c r="A1077" s="3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</row>
    <row r="1078" spans="1:13" s="34" customFormat="1">
      <c r="A1078" s="3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</row>
    <row r="1079" spans="1:13" s="34" customFormat="1">
      <c r="A1079" s="3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</row>
    <row r="1080" spans="1:13" s="34" customFormat="1">
      <c r="A1080" s="3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</row>
    <row r="1081" spans="1:13" s="34" customFormat="1">
      <c r="A1081" s="3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</row>
    <row r="1082" spans="1:13" s="34" customFormat="1">
      <c r="A1082" s="3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</row>
    <row r="1083" spans="1:13" s="34" customFormat="1">
      <c r="A1083" s="3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</row>
    <row r="1084" spans="1:13" s="34" customFormat="1">
      <c r="A1084" s="3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</row>
    <row r="1085" spans="1:13" s="34" customFormat="1">
      <c r="A1085" s="3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</row>
    <row r="1086" spans="1:13" s="34" customFormat="1">
      <c r="A1086" s="3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</row>
    <row r="1087" spans="1:13" s="34" customFormat="1">
      <c r="A1087" s="3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</row>
    <row r="1088" spans="1:13" s="34" customFormat="1">
      <c r="A1088" s="3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</row>
    <row r="1089" spans="1:13" s="34" customFormat="1">
      <c r="A1089" s="3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</row>
    <row r="1090" spans="1:13" s="34" customFormat="1">
      <c r="A1090" s="3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</row>
    <row r="1091" spans="1:13" s="34" customFormat="1">
      <c r="A1091" s="3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</row>
    <row r="1092" spans="1:13" s="34" customFormat="1">
      <c r="A1092" s="3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</row>
    <row r="1093" spans="1:13" s="34" customFormat="1">
      <c r="A1093" s="3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</row>
    <row r="1094" spans="1:13" s="34" customFormat="1">
      <c r="A1094" s="3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</row>
    <row r="1095" spans="1:13" s="34" customFormat="1">
      <c r="A1095" s="3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</row>
    <row r="1096" spans="1:13" s="34" customFormat="1">
      <c r="A1096" s="3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</row>
    <row r="1097" spans="1:13" s="34" customFormat="1">
      <c r="A1097" s="3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</row>
    <row r="1098" spans="1:13" s="34" customFormat="1">
      <c r="A1098" s="3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</row>
    <row r="1099" spans="1:13" s="34" customFormat="1">
      <c r="A1099" s="3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</row>
    <row r="1100" spans="1:13" s="34" customFormat="1">
      <c r="A1100" s="3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</row>
    <row r="1101" spans="1:13" s="34" customFormat="1">
      <c r="A1101" s="3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</row>
    <row r="1102" spans="1:13" s="34" customFormat="1">
      <c r="A1102" s="3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</row>
    <row r="1103" spans="1:13" s="34" customFormat="1">
      <c r="A1103" s="3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</row>
    <row r="1104" spans="1:13" s="34" customFormat="1">
      <c r="A1104" s="3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</row>
    <row r="1105" spans="1:13" s="34" customFormat="1">
      <c r="A1105" s="3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</row>
    <row r="1106" spans="1:13" s="34" customFormat="1">
      <c r="A1106" s="3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</row>
    <row r="1107" spans="1:13" s="34" customFormat="1">
      <c r="A1107" s="3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</row>
    <row r="1108" spans="1:13" s="34" customFormat="1">
      <c r="A1108" s="3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</row>
    <row r="1109" spans="1:13" s="34" customFormat="1">
      <c r="A1109" s="3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</row>
    <row r="1110" spans="1:13" s="34" customFormat="1">
      <c r="A1110" s="3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</row>
    <row r="1111" spans="1:13" s="34" customFormat="1">
      <c r="A1111" s="3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</row>
    <row r="1112" spans="1:13" s="34" customFormat="1">
      <c r="A1112" s="3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</row>
    <row r="1113" spans="1:13" s="34" customFormat="1">
      <c r="A1113" s="3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</row>
    <row r="1114" spans="1:13" s="34" customFormat="1">
      <c r="A1114" s="3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</row>
    <row r="1115" spans="1:13" s="34" customFormat="1">
      <c r="A1115" s="3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</row>
    <row r="1116" spans="1:13" s="34" customFormat="1">
      <c r="A1116" s="3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</row>
    <row r="1117" spans="1:13" s="34" customFormat="1">
      <c r="A1117" s="3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</row>
    <row r="1118" spans="1:13" s="34" customFormat="1">
      <c r="A1118" s="3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</row>
    <row r="1119" spans="1:13" s="34" customFormat="1">
      <c r="A1119" s="3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</row>
    <row r="1120" spans="1:13" s="34" customFormat="1">
      <c r="A1120" s="3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</row>
    <row r="1121" spans="1:13" s="34" customFormat="1">
      <c r="A1121" s="3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</row>
    <row r="1122" spans="1:13" s="34" customFormat="1">
      <c r="A1122" s="3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</row>
    <row r="1123" spans="1:13" s="34" customFormat="1">
      <c r="A1123" s="3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</row>
    <row r="1124" spans="1:13" s="34" customFormat="1">
      <c r="A1124" s="3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</row>
    <row r="1125" spans="1:13" s="34" customFormat="1">
      <c r="A1125" s="3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</row>
    <row r="1126" spans="1:13" s="34" customFormat="1">
      <c r="A1126" s="3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</row>
    <row r="1127" spans="1:13" s="34" customFormat="1">
      <c r="A1127" s="3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</row>
    <row r="1128" spans="1:13" s="34" customFormat="1">
      <c r="A1128" s="3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</row>
    <row r="1129" spans="1:13" s="34" customFormat="1">
      <c r="A1129" s="3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</row>
    <row r="1130" spans="1:13" s="34" customFormat="1">
      <c r="A1130" s="3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</row>
    <row r="1131" spans="1:13" s="34" customFormat="1">
      <c r="A1131" s="3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</row>
    <row r="1132" spans="1:13" s="34" customFormat="1">
      <c r="A1132" s="3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</row>
    <row r="1133" spans="1:13" s="34" customFormat="1">
      <c r="A1133" s="3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</row>
    <row r="1134" spans="1:13" s="34" customFormat="1">
      <c r="A1134" s="3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</row>
    <row r="1135" spans="1:13" s="34" customFormat="1">
      <c r="A1135" s="3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</row>
    <row r="1136" spans="1:13" s="34" customFormat="1">
      <c r="A1136" s="3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</row>
    <row r="1137" spans="1:13" s="34" customFormat="1">
      <c r="A1137" s="3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</row>
    <row r="1138" spans="1:13" s="34" customFormat="1">
      <c r="A1138" s="3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</row>
    <row r="1139" spans="1:13" s="34" customFormat="1">
      <c r="A1139" s="3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</row>
    <row r="1140" spans="1:13" s="34" customFormat="1">
      <c r="A1140" s="3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</row>
    <row r="1141" spans="1:13" s="34" customFormat="1">
      <c r="A1141" s="3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</row>
    <row r="1142" spans="1:13" s="34" customFormat="1">
      <c r="A1142" s="3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</row>
    <row r="1143" spans="1:13" s="34" customFormat="1">
      <c r="A1143" s="3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</row>
    <row r="1144" spans="1:13" s="34" customFormat="1">
      <c r="A1144" s="3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</row>
    <row r="1145" spans="1:13" s="34" customFormat="1">
      <c r="A1145" s="3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</row>
    <row r="1146" spans="1:13" s="34" customFormat="1">
      <c r="A1146" s="3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</row>
    <row r="1147" spans="1:13" s="34" customFormat="1">
      <c r="A1147" s="3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</row>
    <row r="1148" spans="1:13" s="34" customFormat="1">
      <c r="A1148" s="3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</row>
    <row r="1149" spans="1:13" s="34" customFormat="1">
      <c r="A1149" s="3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</row>
    <row r="1150" spans="1:13" s="34" customFormat="1">
      <c r="A1150" s="3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</row>
    <row r="1151" spans="1:13" s="34" customFormat="1">
      <c r="A1151" s="3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</row>
    <row r="1152" spans="1:13" s="34" customFormat="1">
      <c r="A1152" s="3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</row>
    <row r="1153" spans="1:13" s="34" customFormat="1">
      <c r="A1153" s="3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</row>
    <row r="1154" spans="1:13" s="34" customFormat="1">
      <c r="A1154" s="3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</row>
    <row r="1155" spans="1:13" s="34" customFormat="1">
      <c r="A1155" s="3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</row>
    <row r="1156" spans="1:13" s="34" customFormat="1">
      <c r="A1156" s="3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</row>
    <row r="1157" spans="1:13" s="34" customFormat="1">
      <c r="A1157" s="3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</row>
    <row r="1158" spans="1:13" s="34" customFormat="1">
      <c r="A1158" s="3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</row>
    <row r="1159" spans="1:13" s="34" customFormat="1">
      <c r="A1159" s="3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</row>
    <row r="1160" spans="1:13" s="34" customFormat="1">
      <c r="A1160" s="3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</row>
    <row r="1161" spans="1:13" s="34" customFormat="1">
      <c r="A1161" s="3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</row>
    <row r="1162" spans="1:13" s="34" customFormat="1">
      <c r="A1162" s="3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</row>
    <row r="1163" spans="1:13" s="34" customFormat="1">
      <c r="A1163" s="3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</row>
    <row r="1164" spans="1:13" s="34" customFormat="1">
      <c r="A1164" s="3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</row>
    <row r="1165" spans="1:13" s="34" customFormat="1">
      <c r="A1165" s="3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</row>
    <row r="1166" spans="1:13" s="34" customFormat="1">
      <c r="A1166" s="3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</row>
    <row r="1167" spans="1:13" s="34" customFormat="1">
      <c r="A1167" s="3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</row>
    <row r="1168" spans="1:13" s="34" customFormat="1">
      <c r="A1168" s="3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</row>
    <row r="1169" spans="1:13" s="34" customFormat="1">
      <c r="A1169" s="3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</row>
    <row r="1170" spans="1:13" s="34" customFormat="1">
      <c r="A1170" s="3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</row>
    <row r="1171" spans="1:13" s="34" customFormat="1">
      <c r="A1171" s="3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</row>
    <row r="1172" spans="1:13" s="34" customFormat="1">
      <c r="A1172" s="3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</row>
    <row r="1173" spans="1:13" s="34" customFormat="1">
      <c r="A1173" s="3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</row>
    <row r="1174" spans="1:13" s="34" customFormat="1">
      <c r="A1174" s="3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</row>
    <row r="1175" spans="1:13" s="34" customFormat="1">
      <c r="A1175" s="3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</row>
    <row r="1176" spans="1:13" s="34" customFormat="1">
      <c r="A1176" s="3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</row>
    <row r="1177" spans="1:13" s="34" customFormat="1">
      <c r="A1177" s="3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</row>
    <row r="1178" spans="1:13" s="34" customFormat="1">
      <c r="A1178" s="3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</row>
    <row r="1179" spans="1:13" s="34" customFormat="1">
      <c r="A1179" s="3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</row>
    <row r="1180" spans="1:13" s="34" customFormat="1">
      <c r="A1180" s="3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</row>
    <row r="1181" spans="1:13" s="34" customFormat="1">
      <c r="A1181" s="3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</row>
    <row r="1182" spans="1:13" s="34" customFormat="1">
      <c r="A1182" s="3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</row>
    <row r="1183" spans="1:13" s="34" customFormat="1">
      <c r="A1183" s="3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</row>
    <row r="1184" spans="1:13" s="34" customFormat="1">
      <c r="A1184" s="3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</row>
    <row r="1185" spans="1:13" s="34" customFormat="1">
      <c r="A1185" s="3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</row>
    <row r="1186" spans="1:13" s="34" customFormat="1">
      <c r="A1186" s="3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</row>
    <row r="1187" spans="1:13" s="34" customFormat="1">
      <c r="A1187" s="3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</row>
    <row r="1188" spans="1:13" s="34" customFormat="1">
      <c r="A1188" s="3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</row>
    <row r="1189" spans="1:13" s="34" customFormat="1">
      <c r="A1189" s="3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</row>
    <row r="1190" spans="1:13" s="34" customFormat="1">
      <c r="A1190" s="3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</row>
    <row r="1191" spans="1:13" s="34" customFormat="1">
      <c r="A1191" s="3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</row>
    <row r="1192" spans="1:13" s="34" customFormat="1">
      <c r="A1192" s="3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</row>
    <row r="1193" spans="1:13" s="34" customFormat="1">
      <c r="A1193" s="3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</row>
    <row r="1194" spans="1:13" s="34" customFormat="1">
      <c r="A1194" s="3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</row>
    <row r="1195" spans="1:13" s="34" customFormat="1">
      <c r="A1195" s="3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</row>
    <row r="1196" spans="1:13" s="34" customFormat="1">
      <c r="A1196" s="3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</row>
    <row r="1197" spans="1:13" s="34" customFormat="1">
      <c r="A1197" s="3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</row>
    <row r="1198" spans="1:13" s="34" customFormat="1">
      <c r="A1198" s="3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</row>
    <row r="1199" spans="1:13" s="34" customFormat="1">
      <c r="A1199" s="3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</row>
    <row r="1200" spans="1:13" s="34" customFormat="1">
      <c r="A1200" s="3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</row>
    <row r="1201" spans="1:13" s="34" customFormat="1">
      <c r="A1201" s="3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</row>
    <row r="1202" spans="1:13" s="34" customFormat="1">
      <c r="A1202" s="3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</row>
    <row r="1203" spans="1:13" s="34" customFormat="1">
      <c r="A1203" s="3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</row>
    <row r="1204" spans="1:13" s="34" customFormat="1">
      <c r="A1204" s="3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</row>
    <row r="1205" spans="1:13" s="34" customFormat="1">
      <c r="A1205" s="3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</row>
    <row r="1206" spans="1:13" s="34" customFormat="1">
      <c r="A1206" s="3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</row>
    <row r="1207" spans="1:13" s="34" customFormat="1">
      <c r="A1207" s="3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</row>
    <row r="1208" spans="1:13" s="34" customFormat="1">
      <c r="A1208" s="3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</row>
    <row r="1209" spans="1:13" s="34" customFormat="1">
      <c r="A1209" s="3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</row>
    <row r="1210" spans="1:13" s="34" customFormat="1">
      <c r="A1210" s="3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</row>
    <row r="1211" spans="1:13" s="34" customFormat="1">
      <c r="A1211" s="3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</row>
    <row r="1212" spans="1:13" s="34" customFormat="1">
      <c r="A1212" s="3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</row>
    <row r="1213" spans="1:13" s="34" customFormat="1">
      <c r="A1213" s="3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</row>
    <row r="1214" spans="1:13" s="34" customFormat="1">
      <c r="A1214" s="3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</row>
    <row r="1215" spans="1:13" s="34" customFormat="1">
      <c r="A1215" s="3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</row>
    <row r="1216" spans="1:13" s="34" customFormat="1">
      <c r="A1216" s="3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</row>
    <row r="1217" spans="1:13" s="34" customFormat="1">
      <c r="A1217" s="3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</row>
    <row r="1218" spans="1:13" s="34" customFormat="1">
      <c r="A1218" s="3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</row>
    <row r="1219" spans="1:13" s="34" customFormat="1">
      <c r="A1219" s="3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</row>
    <row r="1220" spans="1:13" s="34" customFormat="1">
      <c r="A1220" s="3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</row>
    <row r="1221" spans="1:13" s="34" customFormat="1">
      <c r="A1221" s="3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</row>
    <row r="1222" spans="1:13" s="34" customFormat="1">
      <c r="A1222" s="3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</row>
    <row r="1223" spans="1:13" s="34" customFormat="1">
      <c r="A1223" s="3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</row>
    <row r="1224" spans="1:13" s="34" customFormat="1">
      <c r="A1224" s="3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</row>
    <row r="1225" spans="1:13" s="34" customFormat="1">
      <c r="A1225" s="3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</row>
    <row r="1226" spans="1:13" s="34" customFormat="1">
      <c r="A1226" s="3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</row>
    <row r="1227" spans="1:13" s="34" customFormat="1">
      <c r="A1227" s="3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</row>
    <row r="1228" spans="1:13" s="34" customFormat="1">
      <c r="A1228" s="3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</row>
    <row r="1229" spans="1:13" s="34" customFormat="1">
      <c r="A1229" s="3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</row>
    <row r="1230" spans="1:13" s="34" customFormat="1">
      <c r="A1230" s="3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</row>
    <row r="1231" spans="1:13" s="34" customFormat="1">
      <c r="A1231" s="3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</row>
    <row r="1232" spans="1:13" s="34" customFormat="1">
      <c r="A1232" s="3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</row>
    <row r="1233" spans="1:13" s="34" customFormat="1">
      <c r="A1233" s="3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</row>
    <row r="1234" spans="1:13" s="34" customFormat="1">
      <c r="A1234" s="3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</row>
    <row r="1235" spans="1:13" s="34" customFormat="1">
      <c r="A1235" s="3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</row>
    <row r="1236" spans="1:13" s="34" customFormat="1">
      <c r="A1236" s="3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</row>
    <row r="1237" spans="1:13" s="34" customFormat="1">
      <c r="A1237" s="3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</row>
    <row r="1238" spans="1:13" s="34" customFormat="1">
      <c r="A1238" s="3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</row>
    <row r="1239" spans="1:13" s="34" customFormat="1">
      <c r="A1239" s="3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</row>
    <row r="1240" spans="1:13" s="34" customFormat="1">
      <c r="A1240" s="3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</row>
    <row r="1241" spans="1:13" s="34" customFormat="1">
      <c r="A1241" s="3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</row>
    <row r="1242" spans="1:13" s="34" customFormat="1">
      <c r="A1242" s="3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</row>
    <row r="1243" spans="1:13" s="34" customFormat="1">
      <c r="A1243" s="3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</row>
    <row r="1244" spans="1:13" s="34" customFormat="1">
      <c r="A1244" s="3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</row>
    <row r="1245" spans="1:13" s="34" customFormat="1">
      <c r="A1245" s="3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</row>
    <row r="1246" spans="1:13" s="34" customFormat="1">
      <c r="A1246" s="3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</row>
    <row r="1247" spans="1:13" s="34" customFormat="1">
      <c r="A1247" s="3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</row>
    <row r="1248" spans="1:13" s="34" customFormat="1">
      <c r="A1248" s="3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</row>
    <row r="1249" spans="1:13" s="34" customFormat="1">
      <c r="A1249" s="3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</row>
    <row r="1250" spans="1:13" s="34" customFormat="1">
      <c r="A1250" s="3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</row>
    <row r="1251" spans="1:13" s="34" customFormat="1">
      <c r="A1251" s="3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</row>
    <row r="1252" spans="1:13" s="34" customFormat="1">
      <c r="A1252" s="3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</row>
    <row r="1253" spans="1:13" s="34" customFormat="1">
      <c r="A1253" s="3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</row>
    <row r="1254" spans="1:13" s="34" customFormat="1">
      <c r="A1254" s="3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</row>
    <row r="1255" spans="1:13" s="34" customFormat="1">
      <c r="A1255" s="3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</row>
    <row r="1256" spans="1:13" s="34" customFormat="1">
      <c r="A1256" s="3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</row>
    <row r="1257" spans="1:13" s="34" customFormat="1">
      <c r="A1257" s="3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</row>
    <row r="1258" spans="1:13" s="34" customFormat="1">
      <c r="A1258" s="3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</row>
    <row r="1259" spans="1:13" s="34" customFormat="1">
      <c r="A1259" s="3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</row>
    <row r="1260" spans="1:13" s="34" customFormat="1">
      <c r="A1260" s="3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</row>
    <row r="1261" spans="1:13" s="34" customFormat="1">
      <c r="A1261" s="3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</row>
    <row r="1262" spans="1:13" s="34" customFormat="1">
      <c r="A1262" s="3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</row>
    <row r="1263" spans="1:13" s="34" customFormat="1">
      <c r="A1263" s="3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</row>
    <row r="1264" spans="1:13" s="34" customFormat="1">
      <c r="A1264" s="3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</row>
    <row r="1265" spans="1:13" s="34" customFormat="1">
      <c r="A1265" s="3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</row>
    <row r="1266" spans="1:13" s="34" customFormat="1">
      <c r="A1266" s="3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</row>
    <row r="1267" spans="1:13" s="34" customFormat="1">
      <c r="A1267" s="3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</row>
    <row r="1268" spans="1:13" s="34" customFormat="1">
      <c r="A1268" s="3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</row>
    <row r="1269" spans="1:13" s="34" customFormat="1">
      <c r="A1269" s="3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</row>
    <row r="1270" spans="1:13" s="34" customFormat="1">
      <c r="A1270" s="3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</row>
    <row r="1271" spans="1:13" s="34" customFormat="1">
      <c r="A1271" s="3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</row>
    <row r="1272" spans="1:13" s="34" customFormat="1">
      <c r="A1272" s="3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</row>
    <row r="1273" spans="1:13" s="34" customFormat="1">
      <c r="A1273" s="3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</row>
    <row r="1274" spans="1:13" s="34" customFormat="1">
      <c r="A1274" s="3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</row>
    <row r="1275" spans="1:13" s="34" customFormat="1">
      <c r="A1275" s="3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</row>
    <row r="1276" spans="1:13" s="34" customFormat="1">
      <c r="A1276" s="3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</row>
    <row r="1277" spans="1:13" s="34" customFormat="1">
      <c r="A1277" s="3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</row>
    <row r="1278" spans="1:13" s="34" customFormat="1">
      <c r="A1278" s="3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</row>
    <row r="1279" spans="1:13" s="34" customFormat="1">
      <c r="A1279" s="3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</row>
    <row r="1280" spans="1:13" s="34" customFormat="1">
      <c r="A1280" s="3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</row>
    <row r="1281" spans="1:13" s="34" customFormat="1">
      <c r="A1281" s="3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</row>
    <row r="1282" spans="1:13" s="34" customFormat="1">
      <c r="A1282" s="3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</row>
    <row r="1283" spans="1:13" s="34" customFormat="1">
      <c r="A1283" s="3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</row>
    <row r="1284" spans="1:13" s="34" customFormat="1">
      <c r="A1284" s="3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</row>
    <row r="1285" spans="1:13" s="34" customFormat="1">
      <c r="A1285" s="3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</row>
    <row r="1286" spans="1:13" s="34" customFormat="1">
      <c r="A1286" s="3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</row>
    <row r="1287" spans="1:13" s="34" customFormat="1">
      <c r="A1287" s="3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</row>
    <row r="1288" spans="1:13" s="34" customFormat="1">
      <c r="A1288" s="3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</row>
    <row r="1289" spans="1:13" s="34" customFormat="1">
      <c r="A1289" s="3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</row>
    <row r="1290" spans="1:13" s="34" customFormat="1">
      <c r="A1290" s="3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</row>
    <row r="1291" spans="1:13" s="34" customFormat="1">
      <c r="A1291" s="3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</row>
    <row r="1292" spans="1:13" s="34" customFormat="1">
      <c r="A1292" s="3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</row>
    <row r="1293" spans="1:13" s="34" customFormat="1">
      <c r="A1293" s="3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</row>
    <row r="1294" spans="1:13" s="34" customFormat="1">
      <c r="A1294" s="3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</row>
    <row r="1295" spans="1:13" s="34" customFormat="1">
      <c r="A1295" s="3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</row>
    <row r="1296" spans="1:13" s="34" customFormat="1">
      <c r="A1296" s="3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</row>
    <row r="1297" spans="1:13" s="34" customFormat="1">
      <c r="A1297" s="3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</row>
    <row r="1298" spans="1:13" s="34" customFormat="1">
      <c r="A1298" s="3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</row>
    <row r="1299" spans="1:13" s="34" customFormat="1">
      <c r="A1299" s="3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</row>
    <row r="1300" spans="1:13" s="34" customFormat="1">
      <c r="A1300" s="3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</row>
    <row r="1301" spans="1:13" s="34" customFormat="1">
      <c r="A1301" s="3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</row>
    <row r="1302" spans="1:13" s="34" customFormat="1">
      <c r="A1302" s="3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</row>
    <row r="1303" spans="1:13" s="34" customFormat="1">
      <c r="A1303" s="3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</row>
    <row r="1304" spans="1:13" s="34" customFormat="1">
      <c r="A1304" s="3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</row>
    <row r="1305" spans="1:13" s="34" customFormat="1">
      <c r="A1305" s="3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</row>
    <row r="1306" spans="1:13" s="34" customFormat="1">
      <c r="A1306" s="3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</row>
    <row r="1307" spans="1:13" s="34" customFormat="1">
      <c r="A1307" s="3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</row>
    <row r="1308" spans="1:13" s="34" customFormat="1">
      <c r="A1308" s="3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</row>
    <row r="1309" spans="1:13" s="34" customFormat="1">
      <c r="A1309" s="3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</row>
    <row r="1310" spans="1:13" s="34" customFormat="1">
      <c r="A1310" s="3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</row>
    <row r="1311" spans="1:13" s="34" customFormat="1">
      <c r="A1311" s="3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</row>
    <row r="1312" spans="1:13" s="34" customFormat="1">
      <c r="A1312" s="3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</row>
    <row r="1313" spans="1:13" s="34" customFormat="1">
      <c r="A1313" s="3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</row>
    <row r="1314" spans="1:13" s="34" customFormat="1">
      <c r="A1314" s="3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</row>
    <row r="1315" spans="1:13" s="34" customFormat="1">
      <c r="A1315" s="3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</row>
    <row r="1316" spans="1:13" s="34" customFormat="1">
      <c r="A1316" s="3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</row>
    <row r="1317" spans="1:13" s="34" customFormat="1">
      <c r="A1317" s="3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</row>
    <row r="1318" spans="1:13" s="34" customFormat="1">
      <c r="A1318" s="3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</row>
    <row r="1319" spans="1:13" s="34" customFormat="1">
      <c r="A1319" s="3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</row>
    <row r="1320" spans="1:13" s="34" customFormat="1">
      <c r="A1320" s="3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</row>
    <row r="1321" spans="1:13" s="34" customFormat="1">
      <c r="A1321" s="3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</row>
    <row r="1322" spans="1:13" s="34" customFormat="1">
      <c r="A1322" s="3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</row>
    <row r="1323" spans="1:13" s="34" customFormat="1">
      <c r="A1323" s="3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</row>
    <row r="1324" spans="1:13" s="34" customFormat="1">
      <c r="A1324" s="3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</row>
    <row r="1325" spans="1:13" s="34" customFormat="1">
      <c r="A1325" s="3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</row>
    <row r="1326" spans="1:13" s="34" customFormat="1">
      <c r="A1326" s="3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</row>
    <row r="1327" spans="1:13" s="34" customFormat="1">
      <c r="A1327" s="3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</row>
    <row r="1328" spans="1:13" s="34" customFormat="1">
      <c r="A1328" s="3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</row>
    <row r="1329" spans="1:13" s="34" customFormat="1">
      <c r="A1329" s="3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</row>
    <row r="1330" spans="1:13" s="34" customFormat="1">
      <c r="A1330" s="3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</row>
    <row r="1331" spans="1:13" s="34" customFormat="1">
      <c r="A1331" s="3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</row>
    <row r="1332" spans="1:13" s="34" customFormat="1">
      <c r="A1332" s="3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</row>
    <row r="1333" spans="1:13" s="34" customFormat="1">
      <c r="A1333" s="3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</row>
    <row r="1334" spans="1:13" s="34" customFormat="1">
      <c r="A1334" s="3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</row>
    <row r="1335" spans="1:13" s="34" customFormat="1">
      <c r="A1335" s="3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</row>
    <row r="1336" spans="1:13" s="34" customFormat="1">
      <c r="A1336" s="3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</row>
    <row r="1337" spans="1:13" s="34" customFormat="1">
      <c r="A1337" s="3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</row>
    <row r="1338" spans="1:13" s="34" customFormat="1">
      <c r="A1338" s="3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</row>
    <row r="1339" spans="1:13" s="34" customFormat="1">
      <c r="A1339" s="3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</row>
    <row r="1340" spans="1:13" s="34" customFormat="1">
      <c r="A1340" s="3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</row>
    <row r="1341" spans="1:13" s="34" customFormat="1">
      <c r="A1341" s="3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</row>
    <row r="1342" spans="1:13" s="34" customFormat="1">
      <c r="A1342" s="3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</row>
    <row r="1343" spans="1:13" s="34" customFormat="1">
      <c r="A1343" s="3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</row>
    <row r="1344" spans="1:13" s="34" customFormat="1">
      <c r="A1344" s="3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</row>
    <row r="1345" spans="1:13" s="34" customFormat="1">
      <c r="A1345" s="3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</row>
    <row r="1346" spans="1:13" s="34" customFormat="1">
      <c r="A1346" s="3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</row>
    <row r="1347" spans="1:13" s="34" customFormat="1">
      <c r="A1347" s="3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</row>
    <row r="1348" spans="1:13" s="34" customFormat="1">
      <c r="A1348" s="3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</row>
    <row r="1349" spans="1:13" s="34" customFormat="1">
      <c r="A1349" s="3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</row>
    <row r="1350" spans="1:13" s="34" customFormat="1">
      <c r="A1350" s="3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</row>
    <row r="1351" spans="1:13" s="34" customFormat="1">
      <c r="A1351" s="3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</row>
    <row r="1352" spans="1:13" s="34" customFormat="1">
      <c r="A1352" s="3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</row>
    <row r="1353" spans="1:13" s="34" customFormat="1">
      <c r="A1353" s="3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</row>
    <row r="1354" spans="1:13" s="34" customFormat="1">
      <c r="A1354" s="3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</row>
    <row r="1355" spans="1:13" s="34" customFormat="1">
      <c r="A1355" s="3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</row>
    <row r="1356" spans="1:13" s="34" customFormat="1">
      <c r="A1356" s="3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</row>
    <row r="1357" spans="1:13" s="34" customFormat="1">
      <c r="A1357" s="3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</row>
    <row r="1358" spans="1:13" s="34" customFormat="1">
      <c r="A1358" s="3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</row>
    <row r="1359" spans="1:13" s="34" customFormat="1">
      <c r="A1359" s="3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</row>
    <row r="1360" spans="1:13" s="34" customFormat="1">
      <c r="A1360" s="3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</row>
    <row r="1361" spans="1:13" s="34" customFormat="1">
      <c r="A1361" s="3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</row>
    <row r="1362" spans="1:13" s="34" customFormat="1">
      <c r="A1362" s="3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</row>
    <row r="1363" spans="1:13" s="34" customFormat="1">
      <c r="A1363" s="3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</row>
    <row r="1364" spans="1:13" s="34" customFormat="1">
      <c r="A1364" s="3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</row>
    <row r="1365" spans="1:13" s="34" customFormat="1">
      <c r="A1365" s="3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</row>
    <row r="1366" spans="1:13" s="34" customFormat="1">
      <c r="A1366" s="3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</row>
    <row r="1367" spans="1:13" s="34" customFormat="1">
      <c r="A1367" s="3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</row>
    <row r="1368" spans="1:13" s="34" customFormat="1">
      <c r="A1368" s="3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</row>
    <row r="1369" spans="1:13" s="34" customFormat="1">
      <c r="A1369" s="3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</row>
    <row r="1370" spans="1:13" s="34" customFormat="1">
      <c r="A1370" s="3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</row>
    <row r="1371" spans="1:13" s="34" customFormat="1">
      <c r="A1371" s="3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</row>
    <row r="1372" spans="1:13" s="34" customFormat="1">
      <c r="A1372" s="3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</row>
    <row r="1373" spans="1:13" s="34" customFormat="1">
      <c r="A1373" s="3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</row>
    <row r="1374" spans="1:13" s="34" customFormat="1">
      <c r="A1374" s="3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</row>
    <row r="1375" spans="1:13" s="34" customFormat="1">
      <c r="A1375" s="3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</row>
    <row r="1376" spans="1:13" s="34" customFormat="1">
      <c r="A1376" s="3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</row>
    <row r="1377" spans="1:13" s="34" customFormat="1">
      <c r="A1377" s="3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</row>
    <row r="1378" spans="1:13" s="34" customFormat="1">
      <c r="A1378" s="3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</row>
    <row r="1379" spans="1:13" s="34" customFormat="1">
      <c r="A1379" s="3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</row>
    <row r="1380" spans="1:13" s="34" customFormat="1">
      <c r="A1380" s="3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</row>
    <row r="1381" spans="1:13" s="34" customFormat="1">
      <c r="A1381" s="3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</row>
    <row r="1382" spans="1:13" s="34" customFormat="1">
      <c r="A1382" s="3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</row>
    <row r="1383" spans="1:13" s="34" customFormat="1">
      <c r="A1383" s="3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</row>
    <row r="1384" spans="1:13" s="34" customFormat="1">
      <c r="A1384" s="3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</row>
    <row r="1385" spans="1:13" s="34" customFormat="1">
      <c r="A1385" s="3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</row>
    <row r="1386" spans="1:13" s="34" customFormat="1">
      <c r="A1386" s="3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</row>
    <row r="1387" spans="1:13" s="34" customFormat="1">
      <c r="A1387" s="3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</row>
    <row r="1388" spans="1:13" s="34" customFormat="1">
      <c r="A1388" s="3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</row>
    <row r="1389" spans="1:13" s="34" customFormat="1">
      <c r="A1389" s="3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</row>
    <row r="1390" spans="1:13" s="34" customFormat="1">
      <c r="A1390" s="3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</row>
    <row r="1391" spans="1:13" s="34" customFormat="1">
      <c r="A1391" s="3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</row>
    <row r="1392" spans="1:13" s="34" customFormat="1">
      <c r="A1392" s="3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</row>
    <row r="1393" spans="1:13" s="34" customFormat="1">
      <c r="A1393" s="3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</row>
    <row r="1394" spans="1:13" s="34" customFormat="1">
      <c r="A1394" s="3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</row>
    <row r="1395" spans="1:13" s="34" customFormat="1">
      <c r="A1395" s="3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</row>
    <row r="1396" spans="1:13" s="34" customFormat="1">
      <c r="A1396" s="3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</row>
    <row r="1397" spans="1:13" s="34" customFormat="1">
      <c r="A1397" s="3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</row>
    <row r="1398" spans="1:13" s="34" customFormat="1">
      <c r="A1398" s="3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</row>
    <row r="1399" spans="1:13" s="34" customFormat="1">
      <c r="A1399" s="3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</row>
    <row r="1400" spans="1:13" s="34" customFormat="1">
      <c r="A1400" s="3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</row>
    <row r="1401" spans="1:13" s="34" customFormat="1">
      <c r="A1401" s="3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</row>
    <row r="1402" spans="1:13" s="34" customFormat="1">
      <c r="A1402" s="3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</row>
    <row r="1403" spans="1:13" s="34" customFormat="1">
      <c r="A1403" s="3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</row>
    <row r="1404" spans="1:13" s="34" customFormat="1">
      <c r="A1404" s="3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</row>
    <row r="1405" spans="1:13" s="34" customFormat="1">
      <c r="A1405" s="3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</row>
    <row r="1406" spans="1:13" s="34" customFormat="1">
      <c r="A1406" s="3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</row>
    <row r="1407" spans="1:13" s="34" customFormat="1">
      <c r="A1407" s="3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</row>
    <row r="1408" spans="1:13" s="34" customFormat="1">
      <c r="A1408" s="3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</row>
    <row r="1409" spans="1:13" s="34" customFormat="1">
      <c r="A1409" s="3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</row>
    <row r="1410" spans="1:13" s="34" customFormat="1">
      <c r="A1410" s="3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</row>
    <row r="1411" spans="1:13" s="34" customFormat="1">
      <c r="A1411" s="3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</row>
    <row r="1412" spans="1:13" s="34" customFormat="1">
      <c r="A1412" s="3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</row>
    <row r="1413" spans="1:13" s="34" customFormat="1">
      <c r="A1413" s="3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</row>
    <row r="1414" spans="1:13" s="34" customFormat="1">
      <c r="A1414" s="3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</row>
    <row r="1415" spans="1:13" s="34" customFormat="1">
      <c r="A1415" s="3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</row>
    <row r="1416" spans="1:13" s="34" customFormat="1">
      <c r="A1416" s="3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</row>
    <row r="1417" spans="1:13" s="34" customFormat="1">
      <c r="A1417" s="3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</row>
    <row r="1418" spans="1:13" s="34" customFormat="1">
      <c r="A1418" s="3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</row>
    <row r="1419" spans="1:13" s="34" customFormat="1">
      <c r="A1419" s="3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</row>
    <row r="1420" spans="1:13" s="34" customFormat="1">
      <c r="A1420" s="3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</row>
    <row r="1421" spans="1:13" s="34" customFormat="1">
      <c r="A1421" s="3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</row>
    <row r="1422" spans="1:13" s="34" customFormat="1">
      <c r="A1422" s="3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</row>
    <row r="1423" spans="1:13" s="34" customFormat="1">
      <c r="A1423" s="3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</row>
    <row r="1424" spans="1:13" s="34" customFormat="1">
      <c r="A1424" s="3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</row>
    <row r="1425" spans="1:13" s="34" customFormat="1">
      <c r="A1425" s="3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</row>
    <row r="1426" spans="1:13" s="34" customFormat="1">
      <c r="A1426" s="3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</row>
    <row r="1427" spans="1:13" s="34" customFormat="1">
      <c r="A1427" s="3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</row>
    <row r="1428" spans="1:13" s="34" customFormat="1">
      <c r="A1428" s="3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</row>
    <row r="1429" spans="1:13" s="34" customFormat="1">
      <c r="A1429" s="3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</row>
    <row r="1430" spans="1:13" s="34" customFormat="1">
      <c r="A1430" s="3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</row>
    <row r="1431" spans="1:13" s="34" customFormat="1">
      <c r="A1431" s="3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</row>
    <row r="1432" spans="1:13" s="34" customFormat="1">
      <c r="A1432" s="3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</row>
    <row r="1433" spans="1:13" s="34" customFormat="1">
      <c r="A1433" s="3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</row>
    <row r="1434" spans="1:13" s="34" customFormat="1">
      <c r="A1434" s="3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</row>
    <row r="1435" spans="1:13" s="34" customFormat="1">
      <c r="A1435" s="3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</row>
    <row r="1436" spans="1:13" s="34" customFormat="1">
      <c r="A1436" s="3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</row>
    <row r="1437" spans="1:13" s="34" customFormat="1">
      <c r="A1437" s="3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</row>
    <row r="1438" spans="1:13" s="34" customFormat="1">
      <c r="A1438" s="3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</row>
    <row r="1439" spans="1:13" s="34" customFormat="1">
      <c r="A1439" s="3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</row>
    <row r="1440" spans="1:13" s="34" customFormat="1">
      <c r="A1440" s="3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</row>
    <row r="1441" spans="1:13" s="34" customFormat="1">
      <c r="A1441" s="3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</row>
    <row r="1442" spans="1:13" s="34" customFormat="1">
      <c r="A1442" s="3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</row>
    <row r="1443" spans="1:13" s="34" customFormat="1">
      <c r="A1443" s="3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</row>
    <row r="1444" spans="1:13" s="34" customFormat="1">
      <c r="A1444" s="3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</row>
    <row r="1445" spans="1:13" s="34" customFormat="1">
      <c r="A1445" s="3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</row>
    <row r="1446" spans="1:13" s="34" customFormat="1">
      <c r="A1446" s="3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</row>
    <row r="1447" spans="1:13" s="34" customFormat="1">
      <c r="A1447" s="3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</row>
    <row r="1448" spans="1:13" s="34" customFormat="1">
      <c r="A1448" s="3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</row>
    <row r="1449" spans="1:13" s="34" customFormat="1">
      <c r="A1449" s="3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</row>
    <row r="1450" spans="1:13" s="34" customFormat="1">
      <c r="A1450" s="3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</row>
    <row r="1451" spans="1:13" s="34" customFormat="1">
      <c r="A1451" s="3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</row>
    <row r="1452" spans="1:13" s="34" customFormat="1">
      <c r="A1452" s="3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</row>
    <row r="1453" spans="1:13" s="34" customFormat="1">
      <c r="A1453" s="3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</row>
    <row r="1454" spans="1:13" s="34" customFormat="1">
      <c r="A1454" s="3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</row>
    <row r="1455" spans="1:13" s="34" customFormat="1">
      <c r="A1455" s="3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</row>
    <row r="1456" spans="1:13" s="34" customFormat="1">
      <c r="A1456" s="3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</row>
    <row r="1457" spans="1:13" s="34" customFormat="1">
      <c r="A1457" s="3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</row>
    <row r="1458" spans="1:13" s="34" customFormat="1">
      <c r="A1458" s="3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</row>
    <row r="1459" spans="1:13" s="34" customFormat="1">
      <c r="A1459" s="3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</row>
    <row r="1460" spans="1:13" s="34" customFormat="1">
      <c r="A1460" s="3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</row>
    <row r="1461" spans="1:13" s="34" customFormat="1">
      <c r="A1461" s="3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</row>
    <row r="1462" spans="1:13" s="34" customFormat="1">
      <c r="A1462" s="3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</row>
    <row r="1463" spans="1:13" s="34" customFormat="1">
      <c r="A1463" s="3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</row>
    <row r="1464" spans="1:13" s="34" customFormat="1">
      <c r="A1464" s="3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</row>
    <row r="1465" spans="1:13" s="34" customFormat="1">
      <c r="A1465" s="3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</row>
    <row r="1466" spans="1:13" s="34" customFormat="1">
      <c r="A1466" s="3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</row>
    <row r="1467" spans="1:13" s="34" customFormat="1">
      <c r="A1467" s="3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</row>
    <row r="1468" spans="1:13" s="34" customFormat="1">
      <c r="A1468" s="3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</row>
    <row r="1469" spans="1:13" s="34" customFormat="1">
      <c r="A1469" s="3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</row>
    <row r="1470" spans="1:13" s="34" customFormat="1">
      <c r="A1470" s="3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</row>
    <row r="1471" spans="1:13" s="34" customFormat="1">
      <c r="A1471" s="3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</row>
    <row r="1472" spans="1:13" s="34" customFormat="1">
      <c r="A1472" s="3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</row>
    <row r="1473" spans="1:13" s="34" customFormat="1">
      <c r="A1473" s="3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</row>
    <row r="1474" spans="1:13" s="34" customFormat="1">
      <c r="A1474" s="3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</row>
    <row r="1475" spans="1:13" s="34" customFormat="1">
      <c r="A1475" s="3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</row>
    <row r="1476" spans="1:13" s="34" customFormat="1">
      <c r="A1476" s="3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</row>
    <row r="1477" spans="1:13" s="34" customFormat="1">
      <c r="A1477" s="3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</row>
    <row r="1478" spans="1:13" s="34" customFormat="1">
      <c r="A1478" s="3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</row>
    <row r="1479" spans="1:13" s="34" customFormat="1">
      <c r="A1479" s="3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</row>
    <row r="1480" spans="1:13" s="34" customFormat="1">
      <c r="A1480" s="3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</row>
    <row r="1481" spans="1:13" s="34" customFormat="1">
      <c r="A1481" s="3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</row>
    <row r="1482" spans="1:13" s="34" customFormat="1">
      <c r="A1482" s="3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</row>
    <row r="1483" spans="1:13" s="34" customFormat="1">
      <c r="A1483" s="3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</row>
    <row r="1484" spans="1:13" s="34" customFormat="1">
      <c r="A1484" s="3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</row>
    <row r="1485" spans="1:13" s="34" customFormat="1">
      <c r="A1485" s="3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</row>
    <row r="1486" spans="1:13" s="34" customFormat="1">
      <c r="A1486" s="3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</row>
    <row r="1487" spans="1:13" s="34" customFormat="1">
      <c r="A1487" s="3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</row>
    <row r="1488" spans="1:13" s="34" customFormat="1">
      <c r="A1488" s="3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</row>
    <row r="1489" spans="1:13" s="34" customFormat="1">
      <c r="A1489" s="3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</row>
    <row r="1490" spans="1:13" s="34" customFormat="1">
      <c r="A1490" s="3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</row>
    <row r="1491" spans="1:13" s="34" customFormat="1">
      <c r="A1491" s="3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</row>
    <row r="1492" spans="1:13" s="34" customFormat="1">
      <c r="A1492" s="3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</row>
    <row r="1493" spans="1:13" s="34" customFormat="1">
      <c r="A1493" s="3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</row>
    <row r="1494" spans="1:13" s="34" customFormat="1">
      <c r="A1494" s="3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</row>
    <row r="1495" spans="1:13" s="34" customFormat="1">
      <c r="A1495" s="3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</row>
    <row r="1496" spans="1:13" s="34" customFormat="1">
      <c r="A1496" s="3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</row>
    <row r="1497" spans="1:13" s="34" customFormat="1">
      <c r="A1497" s="3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</row>
    <row r="1498" spans="1:13" s="34" customFormat="1">
      <c r="A1498" s="3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</row>
    <row r="1499" spans="1:13" s="34" customFormat="1">
      <c r="A1499" s="3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</row>
    <row r="1500" spans="1:13" s="34" customFormat="1">
      <c r="A1500" s="3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</row>
    <row r="1501" spans="1:13" s="34" customFormat="1">
      <c r="A1501" s="3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</row>
    <row r="1502" spans="1:13" s="34" customFormat="1">
      <c r="A1502" s="3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</row>
    <row r="1503" spans="1:13" s="34" customFormat="1">
      <c r="A1503" s="3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</row>
    <row r="1504" spans="1:13" s="34" customFormat="1">
      <c r="A1504" s="3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</row>
    <row r="1505" spans="1:13" s="34" customFormat="1">
      <c r="A1505" s="3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</row>
    <row r="1506" spans="1:13" s="34" customFormat="1">
      <c r="A1506" s="3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</row>
    <row r="1507" spans="1:13" s="34" customFormat="1">
      <c r="A1507" s="3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</row>
    <row r="1508" spans="1:13" s="34" customFormat="1">
      <c r="A1508" s="3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</row>
    <row r="1509" spans="1:13" s="34" customFormat="1">
      <c r="A1509" s="3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</row>
    <row r="1510" spans="1:13" s="34" customFormat="1">
      <c r="A1510" s="3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</row>
    <row r="1511" spans="1:13" s="34" customFormat="1">
      <c r="A1511" s="3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</row>
    <row r="1512" spans="1:13" s="34" customFormat="1">
      <c r="A1512" s="3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</row>
    <row r="1513" spans="1:13" s="34" customFormat="1">
      <c r="A1513" s="3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</row>
    <row r="1514" spans="1:13" s="34" customFormat="1">
      <c r="A1514" s="3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</row>
    <row r="1515" spans="1:13" s="34" customFormat="1">
      <c r="A1515" s="3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</row>
    <row r="1516" spans="1:13" s="34" customFormat="1">
      <c r="A1516" s="3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</row>
    <row r="1517" spans="1:13" s="34" customFormat="1">
      <c r="A1517" s="3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</row>
    <row r="1518" spans="1:13" s="34" customFormat="1">
      <c r="A1518" s="3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</row>
    <row r="1519" spans="1:13" s="34" customFormat="1">
      <c r="A1519" s="3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</row>
    <row r="1520" spans="1:13" s="34" customFormat="1">
      <c r="A1520" s="3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</row>
    <row r="1521" spans="1:13" s="34" customFormat="1">
      <c r="A1521" s="3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</row>
    <row r="1522" spans="1:13" s="34" customFormat="1">
      <c r="A1522" s="3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</row>
    <row r="1523" spans="1:13" s="34" customFormat="1">
      <c r="A1523" s="3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</row>
    <row r="1524" spans="1:13" s="34" customFormat="1">
      <c r="A1524" s="3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</row>
    <row r="1525" spans="1:13" s="34" customFormat="1">
      <c r="A1525" s="3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</row>
    <row r="1526" spans="1:13" s="34" customFormat="1">
      <c r="A1526" s="3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</row>
    <row r="1527" spans="1:13" s="34" customFormat="1">
      <c r="A1527" s="3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</row>
    <row r="1528" spans="1:13" s="34" customFormat="1">
      <c r="A1528" s="3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</row>
    <row r="1529" spans="1:13" s="34" customFormat="1">
      <c r="A1529" s="3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</row>
    <row r="1530" spans="1:13" s="34" customFormat="1">
      <c r="A1530" s="3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</row>
    <row r="1531" spans="1:13" s="34" customFormat="1">
      <c r="A1531" s="3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</row>
    <row r="1532" spans="1:13" s="34" customFormat="1">
      <c r="A1532" s="3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</row>
    <row r="1533" spans="1:13" s="34" customFormat="1">
      <c r="A1533" s="3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</row>
    <row r="1534" spans="1:13" s="34" customFormat="1">
      <c r="A1534" s="3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</row>
    <row r="1535" spans="1:13" s="34" customFormat="1">
      <c r="A1535" s="3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</row>
    <row r="1536" spans="1:13" s="34" customFormat="1">
      <c r="A1536" s="3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</row>
    <row r="1537" spans="1:13" s="34" customFormat="1">
      <c r="A1537" s="3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</row>
    <row r="1538" spans="1:13" s="34" customFormat="1">
      <c r="A1538" s="3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</row>
    <row r="1539" spans="1:13" s="34" customFormat="1">
      <c r="A1539" s="3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</row>
    <row r="1540" spans="1:13" s="34" customFormat="1">
      <c r="A1540" s="3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</row>
    <row r="1541" spans="1:13" s="34" customFormat="1">
      <c r="A1541" s="3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</row>
    <row r="1542" spans="1:13" s="34" customFormat="1">
      <c r="A1542" s="3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</row>
    <row r="1543" spans="1:13" s="34" customFormat="1">
      <c r="A1543" s="3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</row>
    <row r="1544" spans="1:13" s="34" customFormat="1">
      <c r="A1544" s="3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</row>
    <row r="1545" spans="1:13" s="34" customFormat="1">
      <c r="A1545" s="3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</row>
    <row r="1546" spans="1:13" s="34" customFormat="1">
      <c r="A1546" s="3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</row>
    <row r="1547" spans="1:13" s="34" customFormat="1">
      <c r="A1547" s="3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</row>
    <row r="1548" spans="1:13" s="34" customFormat="1">
      <c r="A1548" s="3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</row>
    <row r="1549" spans="1:13" s="34" customFormat="1">
      <c r="A1549" s="3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</row>
    <row r="1550" spans="1:13" s="34" customFormat="1">
      <c r="A1550" s="3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</row>
    <row r="1551" spans="1:13" s="34" customFormat="1">
      <c r="A1551" s="3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</row>
    <row r="1552" spans="1:13" s="34" customFormat="1">
      <c r="A1552" s="3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</row>
    <row r="1553" spans="1:13" s="34" customFormat="1">
      <c r="A1553" s="3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</row>
    <row r="1554" spans="1:13" s="34" customFormat="1">
      <c r="A1554" s="3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</row>
    <row r="1555" spans="1:13" s="34" customFormat="1">
      <c r="A1555" s="3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</row>
    <row r="1556" spans="1:13" s="34" customFormat="1">
      <c r="A1556" s="3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</row>
    <row r="1557" spans="1:13" s="34" customFormat="1">
      <c r="A1557" s="3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</row>
    <row r="1558" spans="1:13" s="34" customFormat="1">
      <c r="A1558" s="3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</row>
    <row r="1559" spans="1:13" s="34" customFormat="1">
      <c r="A1559" s="3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</row>
    <row r="1560" spans="1:13" s="34" customFormat="1">
      <c r="A1560" s="3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</row>
    <row r="1561" spans="1:13" s="34" customFormat="1">
      <c r="A1561" s="3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</row>
    <row r="1562" spans="1:13" s="34" customFormat="1">
      <c r="A1562" s="3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</row>
    <row r="1563" spans="1:13" s="34" customFormat="1">
      <c r="A1563" s="3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</row>
    <row r="1564" spans="1:13" s="34" customFormat="1">
      <c r="A1564" s="3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</row>
    <row r="1565" spans="1:13" s="34" customFormat="1">
      <c r="A1565" s="3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</row>
    <row r="1566" spans="1:13" s="34" customFormat="1">
      <c r="A1566" s="3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</row>
    <row r="1567" spans="1:13" s="34" customFormat="1">
      <c r="A1567" s="3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</row>
    <row r="1568" spans="1:13" s="34" customFormat="1">
      <c r="A1568" s="3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</row>
    <row r="1569" spans="1:13" s="34" customFormat="1">
      <c r="A1569" s="3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</row>
    <row r="1570" spans="1:13" s="34" customFormat="1">
      <c r="A1570" s="3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</row>
    <row r="1571" spans="1:13" s="34" customFormat="1">
      <c r="A1571" s="3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</row>
    <row r="1572" spans="1:13" s="34" customFormat="1">
      <c r="A1572" s="3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</row>
    <row r="1573" spans="1:13" s="34" customFormat="1">
      <c r="A1573" s="3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</row>
    <row r="1574" spans="1:13" s="34" customFormat="1">
      <c r="A1574" s="3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</row>
    <row r="1575" spans="1:13" s="34" customFormat="1">
      <c r="A1575" s="3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</row>
    <row r="1576" spans="1:13" s="34" customFormat="1">
      <c r="A1576" s="3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</row>
    <row r="1577" spans="1:13" s="34" customFormat="1">
      <c r="A1577" s="3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</row>
    <row r="1578" spans="1:13" s="34" customFormat="1">
      <c r="A1578" s="3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</row>
    <row r="1579" spans="1:13" s="34" customFormat="1">
      <c r="A1579" s="3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</row>
    <row r="1580" spans="1:13" s="34" customFormat="1">
      <c r="A1580" s="3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</row>
    <row r="1581" spans="1:13" s="34" customFormat="1">
      <c r="A1581" s="3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</row>
    <row r="1582" spans="1:13" s="34" customFormat="1">
      <c r="A1582" s="3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</row>
    <row r="1583" spans="1:13" s="34" customFormat="1">
      <c r="A1583" s="3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</row>
    <row r="1584" spans="1:13" s="34" customFormat="1">
      <c r="A1584" s="3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</row>
    <row r="1585" spans="1:13" s="34" customFormat="1">
      <c r="A1585" s="3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</row>
    <row r="1586" spans="1:13" s="34" customFormat="1">
      <c r="A1586" s="3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</row>
    <row r="1587" spans="1:13" s="34" customFormat="1">
      <c r="A1587" s="3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</row>
    <row r="1588" spans="1:13" s="34" customFormat="1">
      <c r="A1588" s="3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</row>
    <row r="1589" spans="1:13" s="34" customFormat="1">
      <c r="A1589" s="3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</row>
    <row r="1590" spans="1:13" s="34" customFormat="1">
      <c r="A1590" s="3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</row>
    <row r="1591" spans="1:13" s="34" customFormat="1">
      <c r="A1591" s="3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</row>
    <row r="1592" spans="1:13" s="34" customFormat="1">
      <c r="A1592" s="3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</row>
    <row r="1593" spans="1:13" s="34" customFormat="1">
      <c r="A1593" s="3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</row>
    <row r="1594" spans="1:13" s="34" customFormat="1">
      <c r="A1594" s="3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</row>
    <row r="1595" spans="1:13" s="34" customFormat="1">
      <c r="A1595" s="3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</row>
    <row r="1596" spans="1:13" s="34" customFormat="1">
      <c r="A1596" s="3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</row>
    <row r="1597" spans="1:13" s="34" customFormat="1">
      <c r="A1597" s="3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</row>
    <row r="1598" spans="1:13" s="34" customFormat="1">
      <c r="A1598" s="3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</row>
    <row r="1599" spans="1:13" s="34" customFormat="1">
      <c r="A1599" s="3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</row>
    <row r="1600" spans="1:13" s="34" customFormat="1">
      <c r="A1600" s="3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</row>
    <row r="1601" spans="1:13" s="34" customFormat="1">
      <c r="A1601" s="3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</row>
    <row r="1602" spans="1:13" s="34" customFormat="1">
      <c r="A1602" s="3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</row>
    <row r="1603" spans="1:13" s="34" customFormat="1">
      <c r="A1603" s="3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</row>
    <row r="1604" spans="1:13" s="34" customFormat="1">
      <c r="A1604" s="3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</row>
    <row r="1605" spans="1:13" s="34" customFormat="1">
      <c r="A1605" s="3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</row>
    <row r="1606" spans="1:13" s="34" customFormat="1">
      <c r="A1606" s="3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</row>
    <row r="1607" spans="1:13" s="34" customFormat="1">
      <c r="A1607" s="3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</row>
    <row r="1608" spans="1:13" s="34" customFormat="1">
      <c r="A1608" s="3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</row>
    <row r="1609" spans="1:13" s="34" customFormat="1">
      <c r="A1609" s="3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</row>
    <row r="1610" spans="1:13" s="34" customFormat="1">
      <c r="A1610" s="3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</row>
    <row r="1611" spans="1:13" s="34" customFormat="1">
      <c r="A1611" s="3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</row>
    <row r="1612" spans="1:13" s="34" customFormat="1">
      <c r="A1612" s="3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</row>
    <row r="1613" spans="1:13" s="34" customFormat="1">
      <c r="A1613" s="3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</row>
    <row r="1614" spans="1:13" s="34" customFormat="1">
      <c r="A1614" s="3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</row>
    <row r="1615" spans="1:13" s="34" customFormat="1">
      <c r="A1615" s="3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</row>
    <row r="1616" spans="1:13" s="34" customFormat="1">
      <c r="A1616" s="3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</row>
    <row r="1617" spans="1:13" s="34" customFormat="1">
      <c r="A1617" s="3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</row>
    <row r="1618" spans="1:13" s="34" customFormat="1">
      <c r="A1618" s="3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</row>
    <row r="1619" spans="1:13" s="34" customFormat="1">
      <c r="A1619" s="3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</row>
    <row r="1620" spans="1:13" s="34" customFormat="1">
      <c r="A1620" s="3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</row>
    <row r="1621" spans="1:13" s="34" customFormat="1">
      <c r="A1621" s="3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</row>
    <row r="1622" spans="1:13" s="34" customFormat="1">
      <c r="A1622" s="3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</row>
    <row r="1623" spans="1:13" s="34" customFormat="1">
      <c r="A1623" s="3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</row>
    <row r="1624" spans="1:13" s="34" customFormat="1">
      <c r="A1624" s="3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</row>
    <row r="1625" spans="1:13" s="34" customFormat="1">
      <c r="A1625" s="3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</row>
    <row r="1626" spans="1:13" s="34" customFormat="1">
      <c r="A1626" s="3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</row>
    <row r="1627" spans="1:13" s="34" customFormat="1">
      <c r="A1627" s="3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</row>
    <row r="1628" spans="1:13" s="34" customFormat="1">
      <c r="A1628" s="3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</row>
    <row r="1629" spans="1:13" s="34" customFormat="1">
      <c r="A1629" s="3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</row>
    <row r="1630" spans="1:13" s="34" customFormat="1">
      <c r="A1630" s="3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</row>
    <row r="1631" spans="1:13" s="34" customFormat="1">
      <c r="A1631" s="3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</row>
    <row r="1632" spans="1:13" s="34" customFormat="1">
      <c r="A1632" s="3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</row>
    <row r="1633" spans="1:13" s="34" customFormat="1">
      <c r="A1633" s="3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</row>
    <row r="1634" spans="1:13" s="34" customFormat="1">
      <c r="A1634" s="3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</row>
    <row r="1635" spans="1:13" s="34" customFormat="1">
      <c r="A1635" s="3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</row>
    <row r="1636" spans="1:13" s="34" customFormat="1">
      <c r="A1636" s="3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</row>
    <row r="1637" spans="1:13" s="34" customFormat="1">
      <c r="A1637" s="3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</row>
    <row r="1638" spans="1:13" s="34" customFormat="1">
      <c r="A1638" s="3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</row>
    <row r="1639" spans="1:13" s="34" customFormat="1">
      <c r="A1639" s="3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</row>
    <row r="1640" spans="1:13" s="34" customFormat="1">
      <c r="A1640" s="3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</row>
    <row r="1641" spans="1:13" s="34" customFormat="1">
      <c r="A1641" s="3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</row>
    <row r="1642" spans="1:13" s="34" customFormat="1">
      <c r="A1642" s="3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</row>
    <row r="1643" spans="1:13" s="34" customFormat="1">
      <c r="A1643" s="3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</row>
    <row r="1644" spans="1:13" s="34" customFormat="1">
      <c r="A1644" s="3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</row>
    <row r="1645" spans="1:13" s="34" customFormat="1">
      <c r="A1645" s="3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</row>
    <row r="1646" spans="1:13" s="34" customFormat="1">
      <c r="A1646" s="3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</row>
    <row r="1647" spans="1:13" s="34" customFormat="1">
      <c r="A1647" s="3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</row>
    <row r="1648" spans="1:13" s="34" customFormat="1">
      <c r="A1648" s="3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</row>
    <row r="1649" spans="1:13" s="34" customFormat="1">
      <c r="A1649" s="3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</row>
    <row r="1650" spans="1:13" s="34" customFormat="1">
      <c r="A1650" s="3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</row>
    <row r="1651" spans="1:13" s="34" customFormat="1">
      <c r="A1651" s="3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</row>
    <row r="1652" spans="1:13" s="34" customFormat="1">
      <c r="A1652" s="3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</row>
    <row r="1653" spans="1:13" s="34" customFormat="1">
      <c r="A1653" s="3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</row>
    <row r="1654" spans="1:13" s="34" customFormat="1">
      <c r="A1654" s="3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</row>
    <row r="1655" spans="1:13" s="34" customFormat="1">
      <c r="A1655" s="3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</row>
    <row r="1656" spans="1:13" s="34" customFormat="1">
      <c r="A1656" s="3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</row>
    <row r="1657" spans="1:13" s="34" customFormat="1">
      <c r="A1657" s="3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</row>
    <row r="1658" spans="1:13" s="34" customFormat="1">
      <c r="A1658" s="3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</row>
    <row r="1659" spans="1:13" s="34" customFormat="1">
      <c r="A1659" s="3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</row>
    <row r="1660" spans="1:13" s="34" customFormat="1">
      <c r="A1660" s="3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</row>
    <row r="1661" spans="1:13" s="34" customFormat="1">
      <c r="A1661" s="3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</row>
    <row r="1662" spans="1:13" s="34" customFormat="1">
      <c r="A1662" s="3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</row>
    <row r="1663" spans="1:13" s="34" customFormat="1">
      <c r="A1663" s="3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</row>
    <row r="1664" spans="1:13" s="34" customFormat="1">
      <c r="A1664" s="3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</row>
    <row r="1665" spans="1:13" s="34" customFormat="1">
      <c r="A1665" s="3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</row>
    <row r="1666" spans="1:13" s="34" customFormat="1">
      <c r="A1666" s="3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</row>
    <row r="1667" spans="1:13" s="34" customFormat="1">
      <c r="A1667" s="3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</row>
    <row r="1668" spans="1:13" s="34" customFormat="1">
      <c r="A1668" s="3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</row>
    <row r="1669" spans="1:13" s="34" customFormat="1">
      <c r="A1669" s="3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</row>
    <row r="1670" spans="1:13" s="34" customFormat="1">
      <c r="A1670" s="3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</row>
    <row r="1671" spans="1:13" s="34" customFormat="1">
      <c r="A1671" s="3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</row>
    <row r="1672" spans="1:13" s="34" customFormat="1">
      <c r="A1672" s="3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</row>
    <row r="1673" spans="1:13" s="34" customFormat="1">
      <c r="A1673" s="3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</row>
    <row r="1674" spans="1:13" s="34" customFormat="1">
      <c r="A1674" s="3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</row>
    <row r="1675" spans="1:13" s="34" customFormat="1">
      <c r="A1675" s="3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</row>
    <row r="1676" spans="1:13" s="34" customFormat="1">
      <c r="A1676" s="3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</row>
    <row r="1677" spans="1:13" s="34" customFormat="1">
      <c r="A1677" s="3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</row>
    <row r="1678" spans="1:13" s="34" customFormat="1">
      <c r="A1678" s="3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</row>
    <row r="1679" spans="1:13" s="34" customFormat="1">
      <c r="A1679" s="3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</row>
    <row r="1680" spans="1:13" s="34" customFormat="1">
      <c r="A1680" s="3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</row>
    <row r="1681" spans="1:13" s="34" customFormat="1">
      <c r="A1681" s="3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</row>
    <row r="1682" spans="1:13" s="34" customFormat="1">
      <c r="A1682" s="3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</row>
    <row r="1683" spans="1:13" s="34" customFormat="1">
      <c r="A1683" s="3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</row>
    <row r="1684" spans="1:13" s="34" customFormat="1">
      <c r="A1684" s="3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</row>
    <row r="1685" spans="1:13" s="34" customFormat="1">
      <c r="A1685" s="3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</row>
    <row r="1686" spans="1:13" s="34" customFormat="1">
      <c r="A1686" s="3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</row>
    <row r="1687" spans="1:13" s="34" customFormat="1">
      <c r="A1687" s="3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</row>
    <row r="1688" spans="1:13" s="34" customFormat="1">
      <c r="A1688" s="3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</row>
    <row r="1689" spans="1:13" s="34" customFormat="1">
      <c r="A1689" s="3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</row>
    <row r="1690" spans="1:13" s="34" customFormat="1">
      <c r="A1690" s="3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</row>
    <row r="1691" spans="1:13" s="34" customFormat="1">
      <c r="A1691" s="3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</row>
    <row r="1692" spans="1:13" s="34" customFormat="1">
      <c r="A1692" s="3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</row>
    <row r="1693" spans="1:13" s="34" customFormat="1">
      <c r="A1693" s="3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</row>
    <row r="1694" spans="1:13" s="34" customFormat="1">
      <c r="A1694" s="3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</row>
    <row r="1695" spans="1:13" s="34" customFormat="1">
      <c r="A1695" s="3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</row>
    <row r="1696" spans="1:13" s="34" customFormat="1">
      <c r="A1696" s="3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</row>
    <row r="1697" spans="1:13" s="34" customFormat="1">
      <c r="A1697" s="3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</row>
    <row r="1698" spans="1:13" s="34" customFormat="1">
      <c r="A1698" s="3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</row>
    <row r="1699" spans="1:13" s="34" customFormat="1">
      <c r="A1699" s="3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</row>
    <row r="1700" spans="1:13" s="34" customFormat="1">
      <c r="A1700" s="3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</row>
    <row r="1701" spans="1:13" s="34" customFormat="1">
      <c r="A1701" s="3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</row>
    <row r="1702" spans="1:13" s="34" customFormat="1">
      <c r="A1702" s="3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</row>
    <row r="1703" spans="1:13" s="34" customFormat="1">
      <c r="A1703" s="3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</row>
    <row r="1704" spans="1:13" s="34" customFormat="1">
      <c r="A1704" s="3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</row>
    <row r="1705" spans="1:13" s="34" customFormat="1">
      <c r="A1705" s="3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</row>
    <row r="1706" spans="1:13" s="34" customFormat="1">
      <c r="A1706" s="3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</row>
    <row r="1707" spans="1:13" s="34" customFormat="1">
      <c r="A1707" s="3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</row>
    <row r="1708" spans="1:13" s="34" customFormat="1">
      <c r="A1708" s="3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</row>
    <row r="1709" spans="1:13" s="34" customFormat="1">
      <c r="A1709" s="3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</row>
    <row r="1710" spans="1:13" s="34" customFormat="1">
      <c r="A1710" s="3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</row>
    <row r="1711" spans="1:13" s="34" customFormat="1">
      <c r="A1711" s="3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</row>
    <row r="1712" spans="1:13" s="34" customFormat="1">
      <c r="A1712" s="3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</row>
    <row r="1713" spans="1:13" s="34" customFormat="1">
      <c r="A1713" s="3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</row>
    <row r="1714" spans="1:13" s="34" customFormat="1">
      <c r="A1714" s="3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</row>
    <row r="1715" spans="1:13" s="34" customFormat="1">
      <c r="A1715" s="3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</row>
    <row r="1716" spans="1:13" s="34" customFormat="1">
      <c r="A1716" s="3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</row>
    <row r="1717" spans="1:13" s="34" customFormat="1">
      <c r="A1717" s="3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</row>
    <row r="1718" spans="1:13" s="34" customFormat="1">
      <c r="A1718" s="3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</row>
    <row r="1719" spans="1:13" s="34" customFormat="1">
      <c r="A1719" s="3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</row>
    <row r="1720" spans="1:13" s="34" customFormat="1">
      <c r="A1720" s="3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</row>
    <row r="1721" spans="1:13" s="34" customFormat="1">
      <c r="A1721" s="3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</row>
    <row r="1722" spans="1:13" s="34" customFormat="1">
      <c r="A1722" s="3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</row>
    <row r="1723" spans="1:13" s="34" customFormat="1">
      <c r="A1723" s="3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</row>
    <row r="1724" spans="1:13" s="34" customFormat="1">
      <c r="A1724" s="3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</row>
    <row r="1725" spans="1:13" s="34" customFormat="1">
      <c r="A1725" s="3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</row>
    <row r="1726" spans="1:13" s="34" customFormat="1">
      <c r="A1726" s="3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</row>
    <row r="1727" spans="1:13" s="34" customFormat="1">
      <c r="A1727" s="3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</row>
    <row r="1728" spans="1:13" s="34" customFormat="1">
      <c r="A1728" s="3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</row>
    <row r="1729" spans="1:13" s="34" customFormat="1">
      <c r="A1729" s="3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</row>
    <row r="1730" spans="1:13" s="34" customFormat="1">
      <c r="A1730" s="3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</row>
    <row r="1731" spans="1:13" s="34" customFormat="1">
      <c r="A1731" s="3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</row>
    <row r="1732" spans="1:13" s="34" customFormat="1">
      <c r="A1732" s="3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</row>
    <row r="1733" spans="1:13" s="34" customFormat="1">
      <c r="A1733" s="3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</row>
    <row r="1734" spans="1:13" s="34" customFormat="1">
      <c r="A1734" s="3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</row>
    <row r="1735" spans="1:13" s="34" customFormat="1">
      <c r="A1735" s="3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</row>
    <row r="1736" spans="1:13" s="34" customFormat="1">
      <c r="A1736" s="3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</row>
    <row r="1737" spans="1:13" s="34" customFormat="1">
      <c r="A1737" s="3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</row>
    <row r="1738" spans="1:13" s="34" customFormat="1">
      <c r="A1738" s="3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</row>
    <row r="1739" spans="1:13" s="34" customFormat="1">
      <c r="A1739" s="3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</row>
    <row r="1740" spans="1:13" s="34" customFormat="1">
      <c r="A1740" s="3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</row>
    <row r="1741" spans="1:13" s="34" customFormat="1">
      <c r="A1741" s="3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</row>
    <row r="1742" spans="1:13" s="34" customFormat="1">
      <c r="A1742" s="3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</row>
    <row r="1743" spans="1:13" s="34" customFormat="1">
      <c r="A1743" s="3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</row>
    <row r="1744" spans="1:13" s="34" customFormat="1">
      <c r="A1744" s="3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</row>
    <row r="1745" spans="1:13" s="34" customFormat="1">
      <c r="A1745" s="3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</row>
    <row r="1746" spans="1:13" s="34" customFormat="1">
      <c r="A1746" s="3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</row>
    <row r="1747" spans="1:13" s="34" customFormat="1">
      <c r="A1747" s="3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</row>
    <row r="1748" spans="1:13" s="34" customFormat="1">
      <c r="A1748" s="3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</row>
    <row r="1749" spans="1:13" s="34" customFormat="1">
      <c r="A1749" s="3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</row>
    <row r="1750" spans="1:13" s="34" customFormat="1">
      <c r="A1750" s="3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</row>
    <row r="1751" spans="1:13" s="34" customFormat="1">
      <c r="A1751" s="3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</row>
    <row r="1752" spans="1:13" s="34" customFormat="1">
      <c r="A1752" s="3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</row>
    <row r="1753" spans="1:13" s="34" customFormat="1">
      <c r="A1753" s="3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</row>
    <row r="1754" spans="1:13" s="34" customFormat="1">
      <c r="A1754" s="3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</row>
    <row r="1755" spans="1:13" s="34" customFormat="1">
      <c r="A1755" s="3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</row>
    <row r="1756" spans="1:13" s="34" customFormat="1">
      <c r="A1756" s="3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</row>
    <row r="1757" spans="1:13" s="34" customFormat="1">
      <c r="A1757" s="3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</row>
    <row r="1758" spans="1:13" s="34" customFormat="1">
      <c r="A1758" s="3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</row>
    <row r="1759" spans="1:13" s="34" customFormat="1">
      <c r="A1759" s="3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</row>
    <row r="1760" spans="1:13" s="34" customFormat="1">
      <c r="A1760" s="3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</row>
    <row r="1761" spans="1:13" s="34" customFormat="1">
      <c r="A1761" s="3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</row>
    <row r="1762" spans="1:13" s="34" customFormat="1">
      <c r="A1762" s="3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</row>
    <row r="1763" spans="1:13" s="34" customFormat="1">
      <c r="A1763" s="3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</row>
    <row r="1764" spans="1:13" s="34" customFormat="1">
      <c r="A1764" s="3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</row>
    <row r="1765" spans="1:13" s="34" customFormat="1">
      <c r="A1765" s="3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</row>
    <row r="1766" spans="1:13" s="34" customFormat="1">
      <c r="A1766" s="3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</row>
    <row r="1767" spans="1:13" s="34" customFormat="1">
      <c r="A1767" s="3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</row>
    <row r="1768" spans="1:13" s="34" customFormat="1">
      <c r="A1768" s="3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</row>
    <row r="1769" spans="1:13" s="34" customFormat="1">
      <c r="A1769" s="3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</row>
    <row r="1770" spans="1:13" s="34" customFormat="1">
      <c r="A1770" s="3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</row>
    <row r="1771" spans="1:13" s="34" customFormat="1">
      <c r="A1771" s="3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</row>
    <row r="1772" spans="1:13" s="34" customFormat="1">
      <c r="A1772" s="3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</row>
    <row r="1773" spans="1:13" s="34" customFormat="1">
      <c r="A1773" s="3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</row>
    <row r="1774" spans="1:13" s="34" customFormat="1">
      <c r="A1774" s="3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</row>
    <row r="1775" spans="1:13" s="34" customFormat="1">
      <c r="A1775" s="3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</row>
    <row r="1776" spans="1:13" s="34" customFormat="1">
      <c r="A1776" s="3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</row>
    <row r="1777" spans="1:13" s="34" customFormat="1">
      <c r="A1777" s="3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</row>
    <row r="1778" spans="1:13" s="34" customFormat="1">
      <c r="A1778" s="3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</row>
    <row r="1779" spans="1:13" s="34" customFormat="1">
      <c r="A1779" s="3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</row>
    <row r="1780" spans="1:13" s="34" customFormat="1">
      <c r="A1780" s="3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</row>
    <row r="1781" spans="1:13" s="34" customFormat="1">
      <c r="A1781" s="3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</row>
    <row r="1782" spans="1:13" s="34" customFormat="1">
      <c r="A1782" s="3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</row>
    <row r="1783" spans="1:13" s="34" customFormat="1">
      <c r="A1783" s="3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</row>
    <row r="1784" spans="1:13" s="34" customFormat="1">
      <c r="A1784" s="3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</row>
    <row r="1785" spans="1:13" s="34" customFormat="1">
      <c r="A1785" s="3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</row>
    <row r="1786" spans="1:13" s="34" customFormat="1">
      <c r="A1786" s="3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</row>
    <row r="1787" spans="1:13" s="34" customFormat="1">
      <c r="A1787" s="3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</row>
    <row r="1788" spans="1:13" s="34" customFormat="1">
      <c r="A1788" s="3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</row>
    <row r="1789" spans="1:13" s="34" customFormat="1">
      <c r="A1789" s="3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</row>
    <row r="1790" spans="1:13" s="34" customFormat="1">
      <c r="A1790" s="3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</row>
    <row r="1791" spans="1:13" s="34" customFormat="1">
      <c r="A1791" s="3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</row>
    <row r="1792" spans="1:13" s="34" customFormat="1">
      <c r="A1792" s="3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</row>
    <row r="1793" spans="1:13" s="34" customFormat="1">
      <c r="A1793" s="3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</row>
    <row r="1794" spans="1:13" s="34" customFormat="1">
      <c r="A1794" s="3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</row>
    <row r="1795" spans="1:13" s="34" customFormat="1">
      <c r="A1795" s="3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</row>
    <row r="1796" spans="1:13" s="34" customFormat="1">
      <c r="A1796" s="3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</row>
    <row r="1797" spans="1:13" s="34" customFormat="1">
      <c r="A1797" s="3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</row>
    <row r="1798" spans="1:13" s="34" customFormat="1">
      <c r="A1798" s="3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</row>
    <row r="1799" spans="1:13" s="34" customFormat="1">
      <c r="A1799" s="3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</row>
    <row r="1800" spans="1:13" s="34" customFormat="1">
      <c r="A1800" s="3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</row>
    <row r="1801" spans="1:13" s="34" customFormat="1">
      <c r="A1801" s="3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</row>
    <row r="1802" spans="1:13" s="34" customFormat="1">
      <c r="A1802" s="3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</row>
    <row r="1803" spans="1:13" s="34" customFormat="1">
      <c r="A1803" s="3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</row>
    <row r="1804" spans="1:13" s="34" customFormat="1">
      <c r="A1804" s="3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</row>
    <row r="1805" spans="1:13" s="34" customFormat="1">
      <c r="A1805" s="3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</row>
    <row r="1806" spans="1:13" s="34" customFormat="1">
      <c r="A1806" s="3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</row>
    <row r="1807" spans="1:13" s="34" customFormat="1">
      <c r="A1807" s="3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</row>
    <row r="1808" spans="1:13" s="34" customFormat="1">
      <c r="A1808" s="3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</row>
    <row r="1809" spans="1:13" s="34" customFormat="1">
      <c r="A1809" s="3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</row>
    <row r="1810" spans="1:13" s="34" customFormat="1">
      <c r="A1810" s="3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</row>
    <row r="1811" spans="1:13" s="34" customFormat="1">
      <c r="A1811" s="3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</row>
    <row r="1812" spans="1:13" s="34" customFormat="1">
      <c r="A1812" s="3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</row>
    <row r="1813" spans="1:13" s="34" customFormat="1">
      <c r="A1813" s="3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</row>
    <row r="1814" spans="1:13" s="34" customFormat="1">
      <c r="A1814" s="3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</row>
    <row r="1815" spans="1:13" s="34" customFormat="1">
      <c r="A1815" s="3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</row>
    <row r="1816" spans="1:13" s="34" customFormat="1">
      <c r="A1816" s="3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</row>
    <row r="1817" spans="1:13" s="34" customFormat="1">
      <c r="A1817" s="3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</row>
    <row r="1818" spans="1:13" s="34" customFormat="1">
      <c r="A1818" s="3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</row>
    <row r="1819" spans="1:13" s="34" customFormat="1">
      <c r="A1819" s="3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</row>
    <row r="1820" spans="1:13" s="34" customFormat="1">
      <c r="A1820" s="3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</row>
    <row r="1821" spans="1:13" s="34" customFormat="1">
      <c r="A1821" s="3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</row>
    <row r="1822" spans="1:13" s="34" customFormat="1">
      <c r="A1822" s="3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</row>
    <row r="1823" spans="1:13" s="34" customFormat="1">
      <c r="A1823" s="3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</row>
    <row r="1824" spans="1:13" s="34" customFormat="1">
      <c r="A1824" s="3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</row>
    <row r="1825" spans="1:13" s="34" customFormat="1">
      <c r="A1825" s="3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</row>
    <row r="1826" spans="1:13" s="34" customFormat="1">
      <c r="A1826" s="3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</row>
    <row r="1827" spans="1:13" s="34" customFormat="1">
      <c r="A1827" s="3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</row>
    <row r="1828" spans="1:13" s="34" customFormat="1">
      <c r="A1828" s="3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</row>
    <row r="1829" spans="1:13" s="34" customFormat="1">
      <c r="A1829" s="3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</row>
    <row r="1830" spans="1:13" s="34" customFormat="1">
      <c r="A1830" s="3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</row>
    <row r="1831" spans="1:13" s="34" customFormat="1">
      <c r="A1831" s="3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</row>
    <row r="1832" spans="1:13" s="34" customFormat="1">
      <c r="A1832" s="3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</row>
    <row r="1833" spans="1:13" s="34" customFormat="1">
      <c r="A1833" s="3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</row>
    <row r="1834" spans="1:13" s="34" customFormat="1">
      <c r="A1834" s="3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</row>
    <row r="1835" spans="1:13" s="34" customFormat="1">
      <c r="A1835" s="3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</row>
    <row r="1836" spans="1:13" s="34" customFormat="1">
      <c r="A1836" s="3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</row>
    <row r="1837" spans="1:13" s="34" customFormat="1">
      <c r="A1837" s="3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</row>
    <row r="1838" spans="1:13" s="34" customFormat="1">
      <c r="A1838" s="3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</row>
    <row r="1839" spans="1:13" s="34" customFormat="1">
      <c r="A1839" s="3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</row>
    <row r="1840" spans="1:13" s="34" customFormat="1">
      <c r="A1840" s="3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</row>
    <row r="1841" spans="1:13" s="34" customFormat="1">
      <c r="A1841" s="3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</row>
    <row r="1842" spans="1:13" s="34" customFormat="1">
      <c r="A1842" s="3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</row>
    <row r="1843" spans="1:13" s="34" customFormat="1">
      <c r="A1843" s="3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</row>
    <row r="1844" spans="1:13" s="34" customFormat="1">
      <c r="A1844" s="3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</row>
    <row r="1845" spans="1:13" s="34" customFormat="1">
      <c r="A1845" s="3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</row>
    <row r="1846" spans="1:13" s="34" customFormat="1">
      <c r="A1846" s="3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</row>
    <row r="1847" spans="1:13" s="34" customFormat="1">
      <c r="A1847" s="3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</row>
    <row r="1848" spans="1:13" s="34" customFormat="1">
      <c r="A1848" s="3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</row>
    <row r="1849" spans="1:13" s="34" customFormat="1">
      <c r="A1849" s="3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</row>
    <row r="1850" spans="1:13" s="34" customFormat="1">
      <c r="A1850" s="3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</row>
    <row r="1851" spans="1:13" s="34" customFormat="1">
      <c r="A1851" s="3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</row>
    <row r="1852" spans="1:13" s="34" customFormat="1">
      <c r="A1852" s="3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</row>
    <row r="1853" spans="1:13" s="34" customFormat="1">
      <c r="A1853" s="3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</row>
    <row r="1854" spans="1:13" s="34" customFormat="1">
      <c r="A1854" s="3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</row>
    <row r="1855" spans="1:13" s="34" customFormat="1">
      <c r="A1855" s="3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</row>
    <row r="1856" spans="1:13" s="34" customFormat="1">
      <c r="A1856" s="3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</row>
    <row r="1857" spans="1:13" s="34" customFormat="1">
      <c r="A1857" s="3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</row>
    <row r="1858" spans="1:13" s="34" customFormat="1">
      <c r="A1858" s="3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</row>
    <row r="1859" spans="1:13" s="34" customFormat="1">
      <c r="A1859" s="3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</row>
    <row r="1860" spans="1:13" s="34" customFormat="1">
      <c r="A1860" s="3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</row>
    <row r="1861" spans="1:13" s="34" customFormat="1">
      <c r="A1861" s="3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</row>
    <row r="1862" spans="1:13" s="34" customFormat="1">
      <c r="A1862" s="3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</row>
    <row r="1863" spans="1:13" s="34" customFormat="1">
      <c r="A1863" s="3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</row>
    <row r="1864" spans="1:13" s="34" customFormat="1">
      <c r="A1864" s="3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</row>
    <row r="1865" spans="1:13" s="34" customFormat="1">
      <c r="A1865" s="3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</row>
    <row r="1866" spans="1:13" s="34" customFormat="1">
      <c r="A1866" s="3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</row>
    <row r="1867" spans="1:13" s="34" customFormat="1">
      <c r="A1867" s="3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</row>
    <row r="1868" spans="1:13" s="34" customFormat="1">
      <c r="A1868" s="3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</row>
    <row r="1869" spans="1:13" s="34" customFormat="1">
      <c r="A1869" s="3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</row>
    <row r="1870" spans="1:13" s="34" customFormat="1">
      <c r="A1870" s="3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</row>
    <row r="1871" spans="1:13" s="34" customFormat="1">
      <c r="A1871" s="3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</row>
    <row r="1872" spans="1:13" s="34" customFormat="1">
      <c r="A1872" s="3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</row>
    <row r="1873" spans="1:13" s="34" customFormat="1">
      <c r="A1873" s="3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</row>
    <row r="1874" spans="1:13" s="34" customFormat="1">
      <c r="A1874" s="3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</row>
    <row r="1875" spans="1:13" s="34" customFormat="1">
      <c r="A1875" s="3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</row>
    <row r="1876" spans="1:13" s="34" customFormat="1">
      <c r="A1876" s="3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</row>
    <row r="1877" spans="1:13" s="34" customFormat="1">
      <c r="A1877" s="3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</row>
    <row r="1878" spans="1:13" s="34" customFormat="1">
      <c r="A1878" s="3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</row>
    <row r="1879" spans="1:13" s="34" customFormat="1">
      <c r="A1879" s="3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</row>
    <row r="1880" spans="1:13" s="34" customFormat="1">
      <c r="A1880" s="3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</row>
    <row r="1881" spans="1:13" s="34" customFormat="1">
      <c r="A1881" s="3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</row>
    <row r="1882" spans="1:13" s="34" customFormat="1">
      <c r="A1882" s="3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</row>
    <row r="1883" spans="1:13" s="34" customFormat="1">
      <c r="A1883" s="3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</row>
    <row r="1884" spans="1:13" s="34" customFormat="1">
      <c r="A1884" s="3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</row>
    <row r="1885" spans="1:13" s="34" customFormat="1">
      <c r="A1885" s="3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</row>
    <row r="1886" spans="1:13" s="34" customFormat="1">
      <c r="A1886" s="3"/>
      <c r="B1886" s="4"/>
      <c r="C1886" s="4"/>
      <c r="D1886" s="4"/>
      <c r="E1886" s="4"/>
      <c r="F1886" s="4"/>
      <c r="G1886" s="4"/>
      <c r="H1886" s="3"/>
      <c r="I1886" s="4"/>
      <c r="J1886" s="4"/>
      <c r="K1886" s="4"/>
      <c r="L1886" s="4"/>
      <c r="M1886" s="4"/>
    </row>
    <row r="1887" spans="1:13" s="34" customFormat="1">
      <c r="A1887" s="3"/>
      <c r="B1887" s="4"/>
      <c r="C1887" s="4"/>
      <c r="D1887" s="4"/>
      <c r="E1887" s="4"/>
      <c r="F1887" s="4"/>
      <c r="G1887" s="4"/>
      <c r="H1887" s="3"/>
      <c r="I1887" s="4"/>
      <c r="J1887" s="4"/>
      <c r="K1887" s="4"/>
      <c r="L1887" s="4"/>
      <c r="M1887" s="4"/>
    </row>
    <row r="1888" spans="1:13" s="34" customFormat="1">
      <c r="A1888" s="3"/>
      <c r="B1888" s="4"/>
      <c r="C1888" s="4"/>
      <c r="D1888" s="4"/>
      <c r="E1888" s="4"/>
      <c r="F1888" s="4"/>
      <c r="G1888" s="4"/>
      <c r="H1888" s="3"/>
      <c r="I1888" s="4"/>
      <c r="J1888" s="4"/>
      <c r="K1888" s="4"/>
      <c r="L1888" s="4"/>
      <c r="M1888" s="4"/>
    </row>
    <row r="1889" spans="1:13" s="34" customFormat="1">
      <c r="A1889" s="3"/>
      <c r="B1889" s="4"/>
      <c r="C1889" s="4"/>
      <c r="D1889" s="4"/>
      <c r="E1889" s="4"/>
      <c r="F1889" s="4"/>
      <c r="G1889" s="4"/>
      <c r="H1889" s="3"/>
      <c r="I1889" s="4"/>
      <c r="J1889" s="4"/>
      <c r="K1889" s="4"/>
      <c r="L1889" s="4"/>
      <c r="M1889" s="4"/>
    </row>
    <row r="1890" spans="1:13" s="34" customFormat="1">
      <c r="A1890" s="3"/>
      <c r="B1890" s="4"/>
      <c r="C1890" s="4"/>
      <c r="D1890" s="4"/>
      <c r="E1890" s="4"/>
      <c r="F1890" s="4"/>
      <c r="G1890" s="4"/>
      <c r="H1890" s="3"/>
      <c r="I1890" s="4"/>
      <c r="J1890" s="4"/>
      <c r="K1890" s="4"/>
      <c r="L1890" s="4"/>
      <c r="M1890" s="4"/>
    </row>
    <row r="1891" spans="1:13" s="34" customFormat="1">
      <c r="A1891" s="3"/>
      <c r="B1891" s="4"/>
      <c r="C1891" s="4"/>
      <c r="D1891" s="4"/>
      <c r="E1891" s="4"/>
      <c r="F1891" s="4"/>
      <c r="G1891" s="4"/>
      <c r="H1891" s="3"/>
      <c r="I1891" s="4"/>
      <c r="J1891" s="4"/>
      <c r="K1891" s="4"/>
      <c r="L1891" s="4"/>
      <c r="M1891" s="4"/>
    </row>
    <row r="1892" spans="1:13" s="34" customFormat="1">
      <c r="A1892" s="3"/>
      <c r="B1892" s="4"/>
      <c r="C1892" s="4"/>
      <c r="D1892" s="4"/>
      <c r="E1892" s="4"/>
      <c r="F1892" s="4"/>
      <c r="G1892" s="4"/>
      <c r="H1892" s="3"/>
      <c r="I1892" s="4"/>
      <c r="J1892" s="4"/>
      <c r="K1892" s="4"/>
      <c r="L1892" s="4"/>
      <c r="M1892" s="4"/>
    </row>
    <row r="1893" spans="1:13" s="34" customFormat="1">
      <c r="A1893" s="3"/>
      <c r="B1893" s="4"/>
      <c r="C1893" s="4"/>
      <c r="D1893" s="4"/>
      <c r="E1893" s="4"/>
      <c r="F1893" s="4"/>
      <c r="G1893" s="4"/>
      <c r="H1893" s="3"/>
      <c r="I1893" s="4"/>
      <c r="J1893" s="4"/>
      <c r="K1893" s="4"/>
      <c r="L1893" s="4"/>
      <c r="M1893" s="4"/>
    </row>
    <row r="1894" spans="1:13" s="34" customFormat="1">
      <c r="A1894" s="3"/>
      <c r="B1894" s="4"/>
      <c r="C1894" s="4"/>
      <c r="D1894" s="4"/>
      <c r="E1894" s="4"/>
      <c r="F1894" s="4"/>
      <c r="G1894" s="4"/>
      <c r="H1894" s="3"/>
      <c r="I1894" s="4"/>
      <c r="J1894" s="4"/>
      <c r="K1894" s="4"/>
      <c r="L1894" s="4"/>
      <c r="M1894" s="4"/>
    </row>
    <row r="1895" spans="1:13" s="34" customFormat="1">
      <c r="A1895" s="3"/>
      <c r="B1895" s="4"/>
      <c r="C1895" s="4"/>
      <c r="D1895" s="4"/>
      <c r="E1895" s="4"/>
      <c r="F1895" s="4"/>
      <c r="G1895" s="4"/>
      <c r="H1895" s="3"/>
      <c r="I1895" s="4"/>
      <c r="J1895" s="4"/>
      <c r="K1895" s="4"/>
      <c r="L1895" s="4"/>
      <c r="M1895" s="4"/>
    </row>
    <row r="1896" spans="1:13" s="34" customFormat="1">
      <c r="A1896" s="3"/>
      <c r="B1896" s="4"/>
      <c r="C1896" s="4"/>
      <c r="D1896" s="4"/>
      <c r="E1896" s="4"/>
      <c r="F1896" s="4"/>
      <c r="G1896" s="4"/>
      <c r="H1896" s="3"/>
      <c r="I1896" s="4"/>
      <c r="J1896" s="4"/>
      <c r="K1896" s="4"/>
      <c r="L1896" s="4"/>
      <c r="M1896" s="4"/>
    </row>
    <row r="1897" spans="1:13" s="34" customFormat="1">
      <c r="A1897" s="3"/>
      <c r="B1897" s="4"/>
      <c r="C1897" s="4"/>
      <c r="D1897" s="4"/>
      <c r="E1897" s="4"/>
      <c r="F1897" s="4"/>
      <c r="G1897" s="4"/>
      <c r="H1897" s="3"/>
      <c r="I1897" s="4"/>
      <c r="J1897" s="4"/>
      <c r="K1897" s="4"/>
      <c r="L1897" s="4"/>
      <c r="M1897" s="4"/>
    </row>
    <row r="1898" spans="1:13" s="34" customFormat="1">
      <c r="A1898" s="3"/>
      <c r="B1898" s="4"/>
      <c r="C1898" s="4"/>
      <c r="D1898" s="4"/>
      <c r="E1898" s="4"/>
      <c r="F1898" s="4"/>
      <c r="G1898" s="4"/>
      <c r="H1898" s="3"/>
      <c r="I1898" s="4"/>
      <c r="J1898" s="4"/>
      <c r="K1898" s="4"/>
      <c r="L1898" s="4"/>
      <c r="M1898" s="4"/>
    </row>
    <row r="1899" spans="1:13" s="34" customFormat="1">
      <c r="A1899" s="3"/>
      <c r="B1899" s="4"/>
      <c r="C1899" s="4"/>
      <c r="D1899" s="4"/>
      <c r="E1899" s="4"/>
      <c r="F1899" s="4"/>
      <c r="G1899" s="4"/>
      <c r="H1899" s="3"/>
      <c r="I1899" s="4"/>
      <c r="J1899" s="4"/>
      <c r="K1899" s="4"/>
      <c r="L1899" s="4"/>
      <c r="M1899" s="4"/>
    </row>
    <row r="1900" spans="1:13" s="34" customFormat="1">
      <c r="A1900" s="3"/>
      <c r="B1900" s="4"/>
      <c r="C1900" s="4"/>
      <c r="D1900" s="4"/>
      <c r="E1900" s="4"/>
      <c r="F1900" s="4"/>
      <c r="G1900" s="4"/>
      <c r="H1900" s="3"/>
      <c r="I1900" s="4"/>
      <c r="J1900" s="4"/>
      <c r="K1900" s="4"/>
      <c r="L1900" s="4"/>
      <c r="M1900" s="4"/>
    </row>
    <row r="1901" spans="1:13" s="34" customFormat="1">
      <c r="A1901" s="3"/>
      <c r="B1901" s="4"/>
      <c r="C1901" s="4"/>
      <c r="D1901" s="4"/>
      <c r="E1901" s="4"/>
      <c r="F1901" s="4"/>
      <c r="G1901" s="4"/>
      <c r="H1901" s="3"/>
      <c r="I1901" s="4"/>
      <c r="J1901" s="4"/>
      <c r="K1901" s="4"/>
      <c r="L1901" s="4"/>
      <c r="M1901" s="4"/>
    </row>
    <row r="1902" spans="1:13" s="34" customFormat="1">
      <c r="A1902" s="3"/>
      <c r="B1902" s="4"/>
      <c r="C1902" s="4"/>
      <c r="D1902" s="4"/>
      <c r="E1902" s="4"/>
      <c r="F1902" s="4"/>
      <c r="G1902" s="4"/>
      <c r="H1902" s="3"/>
      <c r="I1902" s="4"/>
      <c r="J1902" s="4"/>
      <c r="K1902" s="4"/>
      <c r="L1902" s="4"/>
      <c r="M1902" s="4"/>
    </row>
    <row r="1903" spans="1:13" s="34" customFormat="1">
      <c r="A1903" s="3"/>
      <c r="B1903" s="4"/>
      <c r="C1903" s="4"/>
      <c r="D1903" s="4"/>
      <c r="E1903" s="4"/>
      <c r="F1903" s="4"/>
      <c r="G1903" s="4"/>
      <c r="H1903" s="3"/>
      <c r="I1903" s="4"/>
      <c r="J1903" s="4"/>
      <c r="K1903" s="4"/>
      <c r="L1903" s="4"/>
      <c r="M1903" s="4"/>
    </row>
    <row r="1904" spans="1:13" s="34" customFormat="1">
      <c r="A1904" s="3"/>
      <c r="B1904" s="4"/>
      <c r="C1904" s="4"/>
      <c r="D1904" s="4"/>
      <c r="E1904" s="4"/>
      <c r="F1904" s="4"/>
      <c r="G1904" s="4"/>
      <c r="H1904" s="3"/>
      <c r="I1904" s="4"/>
      <c r="J1904" s="4"/>
      <c r="K1904" s="4"/>
      <c r="L1904" s="4"/>
      <c r="M1904" s="4"/>
    </row>
    <row r="1905" spans="1:13" s="34" customFormat="1">
      <c r="A1905" s="3"/>
      <c r="B1905" s="4"/>
      <c r="C1905" s="4"/>
      <c r="D1905" s="4"/>
      <c r="E1905" s="4"/>
      <c r="F1905" s="4"/>
      <c r="G1905" s="4"/>
      <c r="H1905" s="3"/>
      <c r="I1905" s="4"/>
      <c r="J1905" s="4"/>
      <c r="K1905" s="4"/>
      <c r="L1905" s="4"/>
      <c r="M1905" s="4"/>
    </row>
    <row r="1906" spans="1:13" s="34" customFormat="1">
      <c r="A1906" s="3"/>
      <c r="B1906" s="4"/>
      <c r="C1906" s="4"/>
      <c r="D1906" s="4"/>
      <c r="E1906" s="4"/>
      <c r="F1906" s="4"/>
      <c r="G1906" s="4"/>
      <c r="H1906" s="3"/>
      <c r="I1906" s="4"/>
      <c r="J1906" s="4"/>
      <c r="K1906" s="4"/>
      <c r="L1906" s="4"/>
      <c r="M1906" s="4"/>
    </row>
    <row r="1907" spans="1:13" s="34" customFormat="1">
      <c r="A1907" s="3"/>
      <c r="B1907" s="4"/>
      <c r="C1907" s="4"/>
      <c r="D1907" s="4"/>
      <c r="E1907" s="4"/>
      <c r="F1907" s="4"/>
      <c r="G1907" s="4"/>
      <c r="H1907" s="3"/>
      <c r="I1907" s="4"/>
      <c r="J1907" s="4"/>
      <c r="K1907" s="4"/>
      <c r="L1907" s="4"/>
      <c r="M1907" s="4"/>
    </row>
  </sheetData>
  <customSheetViews>
    <customSheetView guid="{69CDD2E0-B7B0-11D3-B354-005004B48B2E}" scale="75" fitToPage="1" showRuler="0" topLeftCell="A30">
      <pageMargins left="0.5" right="0.5" top="0.71" bottom="0.77" header="0.5" footer="0.5"/>
      <printOptions horizontalCentered="1"/>
      <pageSetup scale="83" firstPageNumber="3" orientation="portrait" horizontalDpi="4294967292" verticalDpi="4294967292" r:id="rId1"/>
      <headerFooter alignWithMargins="0">
        <oddFooter>&amp;Lkwpierce&amp;C7/31/96&amp;R&amp;F, Rev.1_x000D_Page &amp;P</oddFooter>
      </headerFooter>
    </customSheetView>
  </customSheetViews>
  <printOptions horizontalCentered="1"/>
  <pageMargins left="0.75" right="0.75" top="1" bottom="1" header="0.5" footer="0.5"/>
  <pageSetup scale="78" firstPageNumber="3" orientation="portrait" horizontalDpi="4294967292" verticalDpi="4294967292" r:id="rId2"/>
  <headerFooter alignWithMargins="0">
    <oddFooter>&amp;LScot Chambers
&amp;D&amp;R&amp;F
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K352"/>
  <sheetViews>
    <sheetView zoomScale="75" zoomScaleNormal="25" zoomScaleSheetLayoutView="100" workbookViewId="0">
      <selection activeCell="F28" sqref="F28"/>
    </sheetView>
  </sheetViews>
  <sheetFormatPr defaultColWidth="9.109375" defaultRowHeight="13.2"/>
  <cols>
    <col min="1" max="1" width="9.109375" style="3"/>
    <col min="2" max="2" width="39.33203125" style="3" customWidth="1"/>
    <col min="3" max="3" width="18.6640625" style="3" customWidth="1"/>
    <col min="4" max="4" width="12" style="3" customWidth="1"/>
    <col min="5" max="5" width="9.109375" style="3"/>
    <col min="6" max="16384" width="9.109375" style="2"/>
  </cols>
  <sheetData>
    <row r="1" spans="1:37" ht="15.6">
      <c r="A1" s="1" t="str">
        <f>Scope!A1</f>
        <v>Santee Cooper 5 x LM6000 PC Power Project (236 MW)</v>
      </c>
      <c r="B1" s="69"/>
      <c r="C1" s="69"/>
      <c r="D1" s="69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37" ht="15.6">
      <c r="A2" s="33" t="s">
        <v>203</v>
      </c>
      <c r="B2" s="69"/>
      <c r="C2" s="69"/>
      <c r="D2" s="69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1:37" ht="13.8" thickBo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7" ht="13.8" thickBot="1">
      <c r="A4" s="70"/>
      <c r="B4" s="71"/>
      <c r="C4" s="171"/>
      <c r="D4" s="72" t="s">
        <v>240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7">
      <c r="A5"/>
      <c r="B5" s="23"/>
      <c r="C5" s="168"/>
      <c r="D5" s="37"/>
      <c r="E5" s="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7">
      <c r="A6" s="42" t="s">
        <v>264</v>
      </c>
      <c r="B6" s="23"/>
      <c r="C6" s="168"/>
      <c r="D6" s="22">
        <f>Mob_Backup!H16</f>
        <v>0</v>
      </c>
      <c r="E6" s="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37">
      <c r="A7" s="42"/>
      <c r="B7" s="23"/>
      <c r="C7" s="168"/>
      <c r="D7" s="38"/>
      <c r="E7" s="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</row>
    <row r="8" spans="1:37">
      <c r="A8" s="39" t="s">
        <v>265</v>
      </c>
      <c r="B8" s="23"/>
      <c r="C8" s="168"/>
      <c r="D8" s="22">
        <f>Mob_Backup!H22</f>
        <v>145405.93539999999</v>
      </c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</row>
    <row r="9" spans="1:37">
      <c r="A9" s="42"/>
      <c r="B9" s="23"/>
      <c r="C9" s="168"/>
      <c r="D9" s="38"/>
      <c r="E9" s="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</row>
    <row r="10" spans="1:37">
      <c r="A10" s="42" t="s">
        <v>244</v>
      </c>
      <c r="B10" s="23"/>
      <c r="C10" s="168"/>
      <c r="D10" s="38"/>
      <c r="E10" s="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</row>
    <row r="11" spans="1:37" hidden="1">
      <c r="A11" s="4"/>
      <c r="B11" s="23" t="s">
        <v>266</v>
      </c>
      <c r="C11" s="169"/>
      <c r="D11" s="22">
        <f>Mob_Backup!H28</f>
        <v>0</v>
      </c>
      <c r="E11" s="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</row>
    <row r="12" spans="1:37">
      <c r="A12" s="4"/>
      <c r="B12" s="23" t="s">
        <v>267</v>
      </c>
      <c r="C12" s="169"/>
      <c r="D12" s="22">
        <f>Mob_Backup!H35</f>
        <v>22750</v>
      </c>
      <c r="E12" s="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spans="1:37">
      <c r="A13" s="4"/>
      <c r="B13" s="23" t="s">
        <v>268</v>
      </c>
      <c r="C13" s="169"/>
      <c r="D13" s="22">
        <f>Mob_Backup!H43</f>
        <v>40000</v>
      </c>
      <c r="E13" s="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7">
      <c r="A14" s="4"/>
      <c r="B14" s="23" t="s">
        <v>269</v>
      </c>
      <c r="C14" s="169"/>
      <c r="D14" s="22">
        <f>Mob_Backup!H68</f>
        <v>25000</v>
      </c>
      <c r="E14" s="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pans="1:37">
      <c r="A15" s="4"/>
      <c r="B15" s="23" t="s">
        <v>270</v>
      </c>
      <c r="C15" s="169"/>
      <c r="D15" s="22">
        <f>Mob_Backup!H79</f>
        <v>23750</v>
      </c>
      <c r="E15" s="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pans="1:37">
      <c r="A16" s="4"/>
      <c r="B16" s="23" t="s">
        <v>271</v>
      </c>
      <c r="C16" s="169"/>
      <c r="D16" s="22">
        <f>Mob_Backup!H85</f>
        <v>10400</v>
      </c>
      <c r="E16" s="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>
      <c r="A17" s="4"/>
      <c r="B17" s="23" t="s">
        <v>272</v>
      </c>
      <c r="C17" s="169"/>
      <c r="D17" s="22">
        <f>Mob_Backup!H93</f>
        <v>18800</v>
      </c>
      <c r="E17" s="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</row>
    <row r="18" spans="1:37">
      <c r="A18" s="4"/>
      <c r="B18" s="23" t="s">
        <v>273</v>
      </c>
      <c r="C18" s="169"/>
      <c r="D18" s="22">
        <f>Mob_Backup!H110</f>
        <v>131827.5</v>
      </c>
      <c r="E18" s="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</row>
    <row r="19" spans="1:37">
      <c r="A19" s="4"/>
      <c r="B19" s="23" t="s">
        <v>274</v>
      </c>
      <c r="C19" s="169"/>
      <c r="D19" s="22">
        <f>Mob_Backup!H130</f>
        <v>72100</v>
      </c>
      <c r="E19" s="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</row>
    <row r="20" spans="1:37" hidden="1">
      <c r="A20" s="4"/>
      <c r="B20" s="23" t="s">
        <v>275</v>
      </c>
      <c r="C20" s="169"/>
      <c r="D20" s="22">
        <f>Mob_Backup!H133</f>
        <v>0</v>
      </c>
      <c r="E20" s="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</row>
    <row r="21" spans="1:37" hidden="1">
      <c r="A21" s="4"/>
      <c r="B21" s="89" t="s">
        <v>276</v>
      </c>
      <c r="C21" s="169"/>
      <c r="D21" s="22">
        <f>Mob_Backup!H137</f>
        <v>0</v>
      </c>
      <c r="E21" s="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</row>
    <row r="22" spans="1:37">
      <c r="A22" s="4"/>
      <c r="B22" s="89" t="s">
        <v>277</v>
      </c>
      <c r="C22" s="169"/>
      <c r="D22" s="22">
        <f>Mob_Backup!H144</f>
        <v>16500</v>
      </c>
      <c r="E22" s="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1:37">
      <c r="A23" s="4"/>
      <c r="B23" s="23"/>
      <c r="C23" s="169"/>
      <c r="D23" s="38"/>
      <c r="E23" s="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</row>
    <row r="24" spans="1:37">
      <c r="A24" s="4"/>
      <c r="B24" s="39" t="s">
        <v>278</v>
      </c>
      <c r="C24" s="170"/>
      <c r="D24" s="22">
        <f>SUBTOTAL(9,D11:D23)</f>
        <v>361127.5</v>
      </c>
      <c r="E24" s="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</row>
    <row r="25" spans="1:37">
      <c r="A25" s="4"/>
      <c r="B25" s="23"/>
      <c r="C25" s="169"/>
      <c r="D25" s="38"/>
      <c r="E25" s="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</row>
    <row r="26" spans="1:37">
      <c r="A26" s="4"/>
      <c r="B26" s="23"/>
      <c r="C26" s="169"/>
      <c r="D26" s="38"/>
      <c r="E26" s="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</row>
    <row r="27" spans="1:37">
      <c r="A27" s="42" t="s">
        <v>245</v>
      </c>
      <c r="B27" s="23"/>
      <c r="C27" s="169"/>
      <c r="D27" s="38"/>
      <c r="E27" s="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</row>
    <row r="28" spans="1:37">
      <c r="A28" s="4"/>
      <c r="B28" s="23" t="s">
        <v>279</v>
      </c>
      <c r="C28" s="169"/>
      <c r="D28" s="22">
        <f>Mob_Backup!H180</f>
        <v>94967.25</v>
      </c>
      <c r="E28" s="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</row>
    <row r="29" spans="1:37">
      <c r="A29" s="4"/>
      <c r="B29" s="23" t="s">
        <v>280</v>
      </c>
      <c r="C29" s="169"/>
      <c r="D29" s="22">
        <f>Mob_Backup!H194</f>
        <v>32130</v>
      </c>
      <c r="E29" s="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</row>
    <row r="30" spans="1:37">
      <c r="A30" s="4"/>
      <c r="B30" s="23" t="s">
        <v>281</v>
      </c>
      <c r="C30" s="169"/>
      <c r="D30" s="22">
        <f>Mob_Backup!H213</f>
        <v>12495</v>
      </c>
      <c r="E30" s="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</row>
    <row r="31" spans="1:37">
      <c r="A31" s="4"/>
      <c r="B31" s="23" t="s">
        <v>282</v>
      </c>
      <c r="C31" s="169"/>
      <c r="D31" s="22">
        <f>Mob_Backup!H221</f>
        <v>21000</v>
      </c>
      <c r="E31" s="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</row>
    <row r="32" spans="1:37">
      <c r="A32" s="4"/>
      <c r="B32" s="23" t="s">
        <v>283</v>
      </c>
      <c r="C32" s="169"/>
      <c r="D32" s="22">
        <f>Mob_Backup!H229</f>
        <v>8400</v>
      </c>
      <c r="E32" s="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</row>
    <row r="33" spans="1:37">
      <c r="A33" s="4"/>
      <c r="B33" s="23" t="s">
        <v>284</v>
      </c>
      <c r="C33" s="169"/>
      <c r="D33" s="22">
        <f>Mob_Backup!H279</f>
        <v>82367.25</v>
      </c>
      <c r="E33" s="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</row>
    <row r="34" spans="1:37">
      <c r="A34" s="4"/>
      <c r="B34" s="23" t="s">
        <v>285</v>
      </c>
      <c r="C34" s="169"/>
      <c r="D34" s="22">
        <f>Mob_Backup!H285</f>
        <v>4161.3</v>
      </c>
      <c r="E34" s="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</row>
    <row r="35" spans="1:37">
      <c r="A35" s="4"/>
      <c r="B35" s="23"/>
      <c r="C35" s="169"/>
      <c r="D35" s="38"/>
      <c r="E35" s="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</row>
    <row r="36" spans="1:37">
      <c r="A36" s="4"/>
      <c r="B36" s="39" t="s">
        <v>286</v>
      </c>
      <c r="C36" s="170"/>
      <c r="D36" s="22">
        <f>SUBTOTAL(9,D27:D35)</f>
        <v>255520.8</v>
      </c>
      <c r="E36" s="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>
      <c r="A37" s="4"/>
      <c r="B37" s="23"/>
      <c r="C37" s="169"/>
      <c r="D37" s="38"/>
      <c r="E37" s="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ht="13.8" thickBot="1">
      <c r="A38" s="42" t="s">
        <v>246</v>
      </c>
      <c r="B38" s="23"/>
      <c r="C38" s="169"/>
      <c r="D38" s="40">
        <f>D36+D24+D8+D6</f>
        <v>762054.23540000001</v>
      </c>
      <c r="E38" s="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>
      <c r="A39" s="42"/>
      <c r="B39" s="23"/>
      <c r="C39" s="168"/>
      <c r="D39" s="32"/>
      <c r="E39" s="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ht="13.8" thickBot="1">
      <c r="A40" s="2"/>
      <c r="B40" s="2"/>
      <c r="C40" s="2"/>
      <c r="D40" s="2"/>
      <c r="E40" s="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hidden="1">
      <c r="A41" s="42" t="s">
        <v>287</v>
      </c>
      <c r="B41" s="4"/>
      <c r="C41" s="168"/>
      <c r="D41" s="302">
        <v>0</v>
      </c>
      <c r="E41" s="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idden="1">
      <c r="A42" s="42"/>
      <c r="B42" s="4"/>
      <c r="C42" s="23"/>
      <c r="D42" s="22"/>
      <c r="E42" s="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1:37" hidden="1">
      <c r="A43" s="91" t="s">
        <v>288</v>
      </c>
      <c r="B43" s="4"/>
      <c r="C43" s="23"/>
      <c r="D43" s="22">
        <f>Mob_Backup!H301</f>
        <v>0</v>
      </c>
      <c r="E43" s="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1:37" hidden="1">
      <c r="A44" s="4"/>
      <c r="B44" s="42"/>
      <c r="C44" s="23"/>
      <c r="D44" s="22"/>
      <c r="E44" s="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1:37" ht="13.8" hidden="1" thickBot="1">
      <c r="A45" s="223" t="s">
        <v>205</v>
      </c>
      <c r="B45" s="4"/>
      <c r="C45" s="4"/>
      <c r="D45" s="40">
        <f>Mob_Backup!H303</f>
        <v>0</v>
      </c>
      <c r="E45" s="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  <row r="46" spans="1:37" hidden="1">
      <c r="A46" s="223"/>
      <c r="B46" s="4"/>
      <c r="C46" s="4"/>
      <c r="D46" s="32"/>
      <c r="E46" s="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</row>
    <row r="47" spans="1:37" ht="13.8" hidden="1" thickBot="1">
      <c r="A47" s="4"/>
      <c r="B47" s="4"/>
      <c r="C47" s="4"/>
      <c r="D47" s="4"/>
      <c r="E47" s="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1:37" ht="13.8" thickBot="1">
      <c r="A48" s="42" t="s">
        <v>211</v>
      </c>
      <c r="B48" s="4"/>
      <c r="C48" s="169"/>
      <c r="D48" s="28">
        <f>Mob_Backup!H311</f>
        <v>1006075.847</v>
      </c>
      <c r="E48" s="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>
      <c r="A49" s="42"/>
      <c r="B49" s="4"/>
      <c r="C49" s="168"/>
      <c r="D49" s="32"/>
      <c r="E49" s="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ht="13.8" thickBot="1">
      <c r="A50" s="4"/>
      <c r="B50" s="4"/>
      <c r="C50" s="4"/>
      <c r="D50" s="4"/>
      <c r="E50" s="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>
      <c r="A51" s="42" t="s">
        <v>289</v>
      </c>
      <c r="B51" s="4"/>
      <c r="C51" s="4"/>
      <c r="D51" s="300">
        <f>ROUND(Mob_Backup!H291*(Mob_Estimate!D43+Mob_Estimate!D41+Mob_Estimate!D38),-4)</f>
        <v>80000</v>
      </c>
      <c r="E51" s="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 ht="13.8" thickBot="1">
      <c r="A52" s="39" t="s">
        <v>250</v>
      </c>
      <c r="B52" s="4"/>
      <c r="C52" s="4"/>
      <c r="D52" s="301">
        <f>ROUND(Mob_Backup!H297*Mob_Estimate!D8,-4)</f>
        <v>10000</v>
      </c>
      <c r="E52" s="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>
      <c r="A53" s="4"/>
      <c r="B53" s="4"/>
      <c r="C53" s="4"/>
      <c r="D53" s="4"/>
      <c r="E53" s="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>
      <c r="A54" s="4"/>
      <c r="B54" s="4"/>
      <c r="C54" s="4"/>
      <c r="D54" s="4"/>
      <c r="E54" s="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>
      <c r="A55" s="4"/>
      <c r="B55" s="4"/>
      <c r="C55" s="4"/>
      <c r="D55" s="4"/>
      <c r="E55" s="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>
      <c r="A56" s="4"/>
      <c r="B56" s="4"/>
      <c r="C56" s="4"/>
      <c r="D56" s="4"/>
      <c r="E56" s="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>
      <c r="A57" s="4"/>
      <c r="B57" s="4"/>
      <c r="C57" s="4"/>
      <c r="D57" s="4"/>
      <c r="E57" s="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>
      <c r="A58" s="4"/>
      <c r="B58" s="4"/>
      <c r="C58" s="4"/>
      <c r="D58" s="4"/>
      <c r="E58" s="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37">
      <c r="A59" s="4"/>
      <c r="B59" s="4"/>
      <c r="C59" s="4"/>
      <c r="D59" s="4"/>
      <c r="E59" s="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 spans="1:37">
      <c r="A60" s="4"/>
      <c r="B60" s="4"/>
      <c r="C60" s="4"/>
      <c r="D60" s="4"/>
      <c r="E60" s="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>
      <c r="A61" s="4"/>
      <c r="B61" s="4"/>
      <c r="C61" s="4"/>
      <c r="D61" s="4"/>
      <c r="E61" s="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>
      <c r="A62" s="4"/>
      <c r="B62" s="4"/>
      <c r="C62" s="4"/>
      <c r="D62" s="4"/>
      <c r="E62" s="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>
      <c r="A63" s="4"/>
      <c r="B63" s="4"/>
      <c r="C63" s="4"/>
      <c r="D63" s="4"/>
      <c r="E63" s="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</row>
    <row r="64" spans="1:37">
      <c r="A64" s="4"/>
      <c r="B64" s="4"/>
      <c r="C64" s="4"/>
      <c r="D64" s="4"/>
      <c r="E64" s="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</row>
    <row r="65" spans="1:37">
      <c r="A65" s="4"/>
      <c r="B65" s="4"/>
      <c r="C65" s="4"/>
      <c r="D65" s="4"/>
      <c r="E65" s="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</row>
    <row r="66" spans="1:37">
      <c r="A66" s="4"/>
      <c r="B66" s="4"/>
      <c r="C66" s="4"/>
      <c r="D66" s="4"/>
      <c r="E66" s="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</row>
    <row r="67" spans="1:37">
      <c r="A67" s="4"/>
      <c r="B67" s="4"/>
      <c r="C67" s="4"/>
      <c r="D67" s="4"/>
      <c r="E67" s="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</row>
    <row r="68" spans="1:37">
      <c r="A68" s="4"/>
      <c r="B68" s="4"/>
      <c r="C68" s="4"/>
      <c r="D68" s="4"/>
      <c r="E68" s="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</row>
    <row r="69" spans="1:37">
      <c r="A69" s="4"/>
      <c r="B69" s="4"/>
      <c r="C69" s="4"/>
      <c r="D69" s="4"/>
      <c r="E69" s="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</row>
    <row r="70" spans="1:37">
      <c r="A70" s="4"/>
      <c r="B70" s="4"/>
      <c r="C70" s="4"/>
      <c r="D70" s="4"/>
      <c r="E70" s="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</row>
    <row r="71" spans="1:37">
      <c r="A71" s="4"/>
      <c r="B71" s="4"/>
      <c r="C71" s="4"/>
      <c r="D71" s="4"/>
      <c r="E71" s="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</row>
    <row r="72" spans="1:37">
      <c r="A72" s="4"/>
      <c r="B72" s="4"/>
      <c r="C72" s="4"/>
      <c r="D72" s="4"/>
      <c r="E72" s="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</row>
    <row r="73" spans="1:37">
      <c r="A73" s="4"/>
      <c r="B73" s="4"/>
      <c r="C73" s="4"/>
      <c r="D73" s="4"/>
      <c r="E73" s="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</row>
    <row r="74" spans="1:37">
      <c r="A74" s="4"/>
      <c r="B74" s="4"/>
      <c r="C74" s="4"/>
      <c r="D74" s="4"/>
      <c r="E74" s="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</row>
    <row r="75" spans="1:37">
      <c r="A75" s="4"/>
      <c r="B75" s="4"/>
      <c r="C75" s="4"/>
      <c r="D75" s="4"/>
      <c r="E75" s="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</row>
    <row r="76" spans="1:37">
      <c r="A76" s="4"/>
      <c r="B76" s="4"/>
      <c r="C76" s="4"/>
      <c r="D76" s="4"/>
      <c r="E76" s="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</row>
    <row r="77" spans="1:37">
      <c r="A77" s="4"/>
      <c r="B77" s="4"/>
      <c r="C77" s="4"/>
      <c r="D77" s="4"/>
      <c r="E77" s="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</row>
    <row r="78" spans="1:37">
      <c r="A78" s="4"/>
      <c r="B78" s="4"/>
      <c r="C78" s="4"/>
      <c r="D78" s="4"/>
      <c r="E78" s="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</row>
    <row r="79" spans="1:37">
      <c r="A79" s="4"/>
      <c r="B79" s="4"/>
      <c r="C79" s="4"/>
      <c r="D79" s="4"/>
      <c r="E79" s="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</row>
    <row r="80" spans="1:37">
      <c r="A80" s="4"/>
      <c r="B80" s="4"/>
      <c r="C80" s="4"/>
      <c r="D80" s="4"/>
      <c r="E80" s="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</row>
    <row r="81" spans="1:37">
      <c r="A81" s="4"/>
      <c r="B81" s="4"/>
      <c r="C81" s="4"/>
      <c r="D81" s="4"/>
      <c r="E81" s="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</row>
    <row r="82" spans="1:37">
      <c r="A82" s="4"/>
      <c r="B82" s="4"/>
      <c r="C82" s="4"/>
      <c r="D82" s="4"/>
      <c r="E82" s="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</row>
    <row r="83" spans="1:37">
      <c r="A83" s="4"/>
      <c r="B83" s="4"/>
      <c r="C83" s="4"/>
      <c r="D83" s="4"/>
      <c r="E83" s="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</row>
    <row r="84" spans="1:37">
      <c r="A84" s="4"/>
      <c r="B84" s="4"/>
      <c r="C84" s="4"/>
      <c r="D84" s="4"/>
      <c r="E84" s="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</row>
    <row r="85" spans="1:37">
      <c r="A85" s="4"/>
      <c r="B85" s="4"/>
      <c r="C85" s="4"/>
      <c r="D85" s="4"/>
      <c r="E85" s="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</row>
    <row r="86" spans="1:37">
      <c r="A86" s="4"/>
      <c r="B86" s="4"/>
      <c r="C86" s="4"/>
      <c r="D86" s="4"/>
      <c r="E86" s="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</row>
    <row r="87" spans="1:37">
      <c r="A87" s="4"/>
      <c r="B87" s="4"/>
      <c r="C87" s="4"/>
      <c r="D87" s="4"/>
      <c r="E87" s="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</row>
    <row r="88" spans="1:37">
      <c r="A88" s="4"/>
      <c r="B88" s="4"/>
      <c r="C88" s="4"/>
      <c r="D88" s="4"/>
      <c r="E88" s="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</row>
    <row r="89" spans="1:37">
      <c r="A89" s="4"/>
      <c r="B89" s="4"/>
      <c r="C89" s="4"/>
      <c r="D89" s="4"/>
      <c r="E89" s="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</row>
    <row r="90" spans="1:37">
      <c r="A90" s="4"/>
      <c r="B90" s="4"/>
      <c r="C90" s="4"/>
      <c r="D90" s="4"/>
      <c r="E90" s="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</row>
    <row r="91" spans="1:37">
      <c r="A91" s="4"/>
      <c r="B91" s="4"/>
      <c r="C91" s="4"/>
      <c r="D91" s="4"/>
      <c r="E91" s="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</row>
    <row r="92" spans="1:37">
      <c r="A92" s="4"/>
      <c r="B92" s="4"/>
      <c r="C92" s="4"/>
      <c r="D92" s="4"/>
      <c r="E92" s="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</row>
    <row r="93" spans="1:37">
      <c r="A93" s="4"/>
      <c r="B93" s="4"/>
      <c r="C93" s="4"/>
      <c r="D93" s="4"/>
      <c r="E93" s="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</row>
    <row r="94" spans="1:37">
      <c r="A94" s="4"/>
      <c r="B94" s="4"/>
      <c r="C94" s="4"/>
      <c r="D94" s="4"/>
      <c r="E94" s="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</row>
    <row r="95" spans="1:37">
      <c r="A95" s="4"/>
      <c r="B95" s="4"/>
      <c r="C95" s="4"/>
      <c r="D95" s="4"/>
      <c r="E95" s="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</row>
    <row r="96" spans="1:37">
      <c r="A96" s="4"/>
      <c r="B96" s="4"/>
      <c r="C96" s="4"/>
      <c r="D96" s="4"/>
      <c r="E96" s="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</row>
    <row r="97" spans="1:37">
      <c r="A97" s="4"/>
      <c r="B97" s="4"/>
      <c r="C97" s="4"/>
      <c r="D97" s="4"/>
      <c r="E97" s="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</row>
    <row r="98" spans="1:37">
      <c r="A98" s="4"/>
      <c r="B98" s="4"/>
      <c r="C98" s="4"/>
      <c r="D98" s="4"/>
      <c r="E98" s="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</row>
    <row r="99" spans="1:37">
      <c r="A99" s="4"/>
      <c r="B99" s="4"/>
      <c r="C99" s="4"/>
      <c r="D99" s="4"/>
      <c r="E99" s="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</row>
    <row r="100" spans="1:37">
      <c r="A100" s="4"/>
      <c r="B100" s="4"/>
      <c r="C100" s="4"/>
      <c r="D100" s="4"/>
      <c r="E100" s="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</row>
    <row r="101" spans="1:37">
      <c r="A101" s="4"/>
      <c r="B101" s="4"/>
      <c r="C101" s="4"/>
      <c r="D101" s="4"/>
      <c r="E101" s="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</row>
    <row r="102" spans="1:37">
      <c r="A102" s="4"/>
      <c r="B102" s="4"/>
      <c r="C102" s="4"/>
      <c r="D102" s="4"/>
      <c r="E102" s="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</row>
    <row r="103" spans="1:37">
      <c r="A103" s="4"/>
      <c r="B103" s="4"/>
      <c r="C103" s="4"/>
      <c r="D103" s="4"/>
      <c r="E103" s="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</row>
    <row r="104" spans="1:37">
      <c r="A104" s="4"/>
      <c r="B104" s="4"/>
      <c r="C104" s="4"/>
      <c r="D104" s="4"/>
      <c r="E104" s="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</row>
    <row r="105" spans="1:37">
      <c r="A105" s="4"/>
      <c r="B105" s="4"/>
      <c r="C105" s="4"/>
      <c r="D105" s="4"/>
      <c r="E105" s="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</row>
    <row r="106" spans="1:37">
      <c r="A106" s="4"/>
      <c r="B106" s="4"/>
      <c r="C106" s="4"/>
      <c r="D106" s="4"/>
      <c r="E106" s="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</row>
    <row r="107" spans="1:37">
      <c r="A107" s="4"/>
      <c r="B107" s="4"/>
      <c r="C107" s="4"/>
      <c r="D107" s="4"/>
      <c r="E107" s="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</row>
    <row r="108" spans="1:37">
      <c r="A108" s="4"/>
      <c r="B108" s="4"/>
      <c r="C108" s="4"/>
      <c r="D108" s="4"/>
      <c r="E108" s="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</row>
    <row r="109" spans="1:37">
      <c r="A109" s="4"/>
      <c r="B109" s="4"/>
      <c r="C109" s="4"/>
      <c r="D109" s="4"/>
      <c r="E109" s="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</row>
    <row r="110" spans="1:37">
      <c r="A110" s="4"/>
      <c r="B110" s="4"/>
      <c r="C110" s="4"/>
      <c r="D110" s="4"/>
      <c r="E110" s="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</row>
    <row r="111" spans="1:37">
      <c r="A111" s="4"/>
      <c r="B111" s="4"/>
      <c r="C111" s="4"/>
      <c r="D111" s="4"/>
      <c r="E111" s="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</row>
    <row r="112" spans="1:37">
      <c r="A112" s="4"/>
      <c r="B112" s="4"/>
      <c r="C112" s="4"/>
      <c r="D112" s="4"/>
      <c r="E112" s="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</row>
    <row r="113" spans="1:37">
      <c r="A113" s="4"/>
      <c r="B113" s="4"/>
      <c r="C113" s="4"/>
      <c r="D113" s="4"/>
      <c r="E113" s="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</row>
    <row r="114" spans="1:37">
      <c r="A114" s="4"/>
      <c r="B114" s="4"/>
      <c r="C114" s="4"/>
      <c r="D114" s="4"/>
      <c r="E114" s="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</row>
    <row r="115" spans="1:37">
      <c r="A115" s="4"/>
      <c r="B115" s="4"/>
      <c r="C115" s="4"/>
      <c r="D115" s="4"/>
      <c r="E115" s="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</row>
    <row r="116" spans="1:37">
      <c r="A116" s="4"/>
      <c r="B116" s="4"/>
      <c r="C116" s="4"/>
      <c r="D116" s="4"/>
      <c r="E116" s="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</row>
    <row r="117" spans="1:37">
      <c r="A117" s="4"/>
      <c r="B117" s="4"/>
      <c r="C117" s="4"/>
      <c r="D117" s="4"/>
      <c r="E117" s="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</row>
    <row r="118" spans="1:37">
      <c r="A118" s="4"/>
      <c r="B118" s="4"/>
      <c r="C118" s="4"/>
      <c r="D118" s="4"/>
      <c r="E118" s="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</row>
    <row r="119" spans="1:37">
      <c r="A119" s="4"/>
      <c r="B119" s="4"/>
      <c r="C119" s="4"/>
      <c r="D119" s="4"/>
      <c r="E119" s="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</row>
    <row r="120" spans="1:37">
      <c r="A120" s="4"/>
      <c r="B120" s="4"/>
      <c r="C120" s="4"/>
      <c r="D120" s="4"/>
      <c r="E120" s="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</row>
    <row r="121" spans="1:37">
      <c r="A121" s="4"/>
      <c r="B121" s="4"/>
      <c r="C121" s="4"/>
      <c r="D121" s="4"/>
      <c r="E121" s="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</row>
    <row r="122" spans="1:37">
      <c r="A122" s="4"/>
      <c r="B122" s="4"/>
      <c r="C122" s="4"/>
      <c r="D122" s="4"/>
      <c r="E122" s="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</row>
    <row r="123" spans="1:37">
      <c r="A123" s="4"/>
      <c r="B123" s="4"/>
      <c r="C123" s="4"/>
      <c r="D123" s="4"/>
      <c r="E123" s="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</row>
    <row r="124" spans="1:37">
      <c r="A124" s="4"/>
      <c r="B124" s="4"/>
      <c r="C124" s="4"/>
      <c r="D124" s="4"/>
      <c r="E124" s="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</row>
    <row r="125" spans="1:37">
      <c r="A125" s="4"/>
      <c r="B125" s="4"/>
      <c r="C125" s="4"/>
      <c r="D125" s="4"/>
      <c r="E125" s="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</row>
    <row r="126" spans="1:37">
      <c r="A126" s="4"/>
      <c r="B126" s="4"/>
      <c r="C126" s="4"/>
      <c r="D126" s="4"/>
      <c r="E126" s="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</row>
    <row r="127" spans="1:37">
      <c r="A127" s="4"/>
      <c r="B127" s="4"/>
      <c r="C127" s="4"/>
      <c r="D127" s="4"/>
      <c r="E127" s="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</row>
    <row r="128" spans="1:37">
      <c r="A128" s="4"/>
      <c r="B128" s="4"/>
      <c r="C128" s="4"/>
      <c r="D128" s="4"/>
      <c r="E128" s="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</row>
    <row r="129" spans="1:37">
      <c r="A129" s="4"/>
      <c r="B129" s="4"/>
      <c r="C129" s="4"/>
      <c r="D129" s="4"/>
      <c r="E129" s="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</row>
    <row r="130" spans="1:37">
      <c r="A130" s="4"/>
      <c r="B130" s="4"/>
      <c r="C130" s="4"/>
      <c r="D130" s="4"/>
      <c r="E130" s="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</row>
    <row r="131" spans="1:37">
      <c r="A131" s="4"/>
      <c r="B131" s="4"/>
      <c r="C131" s="4"/>
      <c r="D131" s="4"/>
      <c r="E131" s="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</row>
    <row r="132" spans="1:37">
      <c r="A132" s="4"/>
      <c r="B132" s="4"/>
      <c r="C132" s="4"/>
      <c r="D132" s="4"/>
      <c r="E132" s="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</row>
    <row r="133" spans="1:37">
      <c r="A133" s="4"/>
      <c r="B133" s="4"/>
      <c r="C133" s="4"/>
      <c r="D133" s="4"/>
      <c r="E133" s="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</row>
    <row r="134" spans="1:37">
      <c r="A134" s="4"/>
      <c r="B134" s="4"/>
      <c r="C134" s="4"/>
      <c r="D134" s="4"/>
      <c r="E134" s="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</row>
    <row r="135" spans="1:37">
      <c r="A135" s="4"/>
      <c r="B135" s="4"/>
      <c r="C135" s="4"/>
      <c r="D135" s="4"/>
      <c r="E135" s="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</row>
    <row r="136" spans="1:37">
      <c r="A136" s="4"/>
      <c r="B136" s="4"/>
      <c r="C136" s="4"/>
      <c r="D136" s="4"/>
      <c r="E136" s="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</row>
    <row r="137" spans="1:37">
      <c r="A137" s="4"/>
      <c r="B137" s="4"/>
      <c r="C137" s="4"/>
      <c r="D137" s="4"/>
      <c r="E137" s="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</row>
    <row r="138" spans="1:37">
      <c r="A138" s="4"/>
      <c r="B138" s="4"/>
      <c r="C138" s="4"/>
      <c r="D138" s="4"/>
      <c r="E138" s="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</row>
    <row r="139" spans="1:37">
      <c r="A139" s="4"/>
      <c r="B139" s="4"/>
      <c r="C139" s="4"/>
      <c r="D139" s="4"/>
      <c r="E139" s="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</row>
    <row r="140" spans="1:37">
      <c r="A140" s="4"/>
      <c r="B140" s="4"/>
      <c r="C140" s="4"/>
      <c r="D140" s="4"/>
      <c r="E140" s="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</row>
    <row r="141" spans="1:37">
      <c r="A141" s="4"/>
      <c r="B141" s="4"/>
      <c r="C141" s="4"/>
      <c r="D141" s="4"/>
      <c r="E141" s="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</row>
    <row r="142" spans="1:37">
      <c r="A142" s="4"/>
      <c r="B142" s="4"/>
      <c r="C142" s="4"/>
      <c r="D142" s="4"/>
      <c r="E142" s="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</row>
    <row r="143" spans="1:37">
      <c r="A143" s="4"/>
      <c r="B143" s="4"/>
      <c r="C143" s="4"/>
      <c r="D143" s="4"/>
      <c r="E143" s="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</row>
    <row r="144" spans="1:37">
      <c r="A144" s="4"/>
      <c r="B144" s="4"/>
      <c r="C144" s="4"/>
      <c r="D144" s="4"/>
      <c r="E144" s="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</row>
    <row r="145" spans="1:37">
      <c r="A145" s="4"/>
      <c r="B145" s="4"/>
      <c r="C145" s="4"/>
      <c r="D145" s="4"/>
      <c r="E145" s="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</row>
    <row r="146" spans="1:37">
      <c r="A146" s="4"/>
      <c r="B146" s="4"/>
      <c r="C146" s="4"/>
      <c r="D146" s="4"/>
      <c r="E146" s="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</row>
    <row r="147" spans="1:37">
      <c r="A147" s="4"/>
      <c r="B147" s="4"/>
      <c r="C147" s="4"/>
      <c r="D147" s="4"/>
      <c r="E147" s="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</row>
    <row r="148" spans="1:37">
      <c r="A148" s="4"/>
      <c r="B148" s="4"/>
      <c r="C148" s="4"/>
      <c r="D148" s="4"/>
      <c r="E148" s="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</row>
    <row r="149" spans="1:37">
      <c r="A149" s="4"/>
      <c r="B149" s="4"/>
      <c r="C149" s="4"/>
      <c r="D149" s="4"/>
      <c r="E149" s="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</row>
    <row r="150" spans="1:37">
      <c r="A150" s="4"/>
      <c r="B150" s="4"/>
      <c r="C150" s="4"/>
      <c r="D150" s="4"/>
      <c r="E150" s="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</row>
    <row r="151" spans="1:37">
      <c r="A151" s="4"/>
      <c r="B151" s="4"/>
      <c r="C151" s="4"/>
      <c r="D151" s="4"/>
      <c r="E151" s="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</row>
    <row r="152" spans="1:37">
      <c r="A152" s="4"/>
      <c r="B152" s="4"/>
      <c r="C152" s="4"/>
      <c r="D152" s="4"/>
      <c r="E152" s="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</row>
    <row r="153" spans="1:37">
      <c r="A153" s="4"/>
      <c r="B153" s="4"/>
      <c r="C153" s="4"/>
      <c r="D153" s="4"/>
      <c r="E153" s="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</row>
    <row r="154" spans="1:37">
      <c r="A154" s="4"/>
      <c r="B154" s="4"/>
      <c r="C154" s="4"/>
      <c r="D154" s="4"/>
      <c r="E154" s="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</row>
    <row r="155" spans="1:37">
      <c r="A155" s="4"/>
      <c r="B155" s="4"/>
      <c r="C155" s="4"/>
      <c r="D155" s="4"/>
      <c r="E155" s="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</row>
    <row r="156" spans="1:37">
      <c r="A156" s="4"/>
      <c r="B156" s="4"/>
      <c r="C156" s="4"/>
      <c r="D156" s="4"/>
      <c r="E156" s="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</row>
    <row r="157" spans="1:37">
      <c r="A157" s="4"/>
      <c r="B157" s="4"/>
      <c r="C157" s="4"/>
      <c r="D157" s="4"/>
      <c r="E157" s="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</row>
    <row r="158" spans="1:37">
      <c r="A158" s="4"/>
      <c r="B158" s="4"/>
      <c r="C158" s="4"/>
      <c r="D158" s="4"/>
      <c r="E158" s="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</row>
    <row r="159" spans="1:37">
      <c r="A159" s="4"/>
      <c r="B159" s="4"/>
      <c r="C159" s="4"/>
      <c r="D159" s="4"/>
      <c r="E159" s="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</row>
    <row r="160" spans="1:37">
      <c r="A160" s="4"/>
      <c r="B160" s="4"/>
      <c r="C160" s="4"/>
      <c r="D160" s="4"/>
      <c r="E160" s="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</row>
    <row r="161" spans="1:37">
      <c r="A161" s="4"/>
      <c r="B161" s="4"/>
      <c r="C161" s="4"/>
      <c r="D161" s="4"/>
      <c r="E161" s="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</row>
    <row r="162" spans="1:37">
      <c r="A162" s="4"/>
      <c r="B162" s="4"/>
      <c r="C162" s="4"/>
      <c r="D162" s="4"/>
      <c r="E162" s="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</row>
    <row r="163" spans="1:37">
      <c r="A163" s="4"/>
      <c r="B163" s="4"/>
      <c r="C163" s="4"/>
      <c r="D163" s="4"/>
      <c r="E163" s="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</row>
    <row r="164" spans="1:37">
      <c r="A164" s="4"/>
      <c r="B164" s="4"/>
      <c r="C164" s="4"/>
      <c r="D164" s="4"/>
      <c r="E164" s="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</row>
    <row r="165" spans="1:37">
      <c r="A165" s="4"/>
      <c r="B165" s="4"/>
      <c r="C165" s="4"/>
      <c r="D165" s="4"/>
      <c r="E165" s="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</row>
    <row r="166" spans="1:37">
      <c r="A166" s="4"/>
      <c r="B166" s="4"/>
      <c r="C166" s="4"/>
      <c r="D166" s="4"/>
      <c r="E166" s="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</row>
    <row r="167" spans="1:37">
      <c r="A167" s="4"/>
      <c r="B167" s="4"/>
      <c r="C167" s="4"/>
      <c r="D167" s="4"/>
      <c r="E167" s="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</row>
    <row r="168" spans="1:37">
      <c r="A168" s="4"/>
      <c r="B168" s="4"/>
      <c r="C168" s="4"/>
      <c r="D168" s="4"/>
      <c r="E168" s="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</row>
    <row r="169" spans="1:37">
      <c r="A169" s="4"/>
      <c r="B169" s="4"/>
      <c r="C169" s="4"/>
      <c r="D169" s="4"/>
      <c r="E169" s="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</row>
    <row r="170" spans="1:37">
      <c r="A170" s="4"/>
      <c r="B170" s="4"/>
      <c r="C170" s="4"/>
      <c r="D170" s="4"/>
      <c r="E170" s="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</row>
    <row r="171" spans="1:37">
      <c r="A171" s="4"/>
      <c r="B171" s="4"/>
      <c r="C171" s="4"/>
      <c r="D171" s="4"/>
      <c r="E171" s="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</row>
    <row r="172" spans="1:37">
      <c r="A172" s="4"/>
      <c r="B172" s="4"/>
      <c r="C172" s="4"/>
      <c r="D172" s="4"/>
      <c r="E172" s="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</row>
    <row r="173" spans="1:37">
      <c r="A173" s="4"/>
      <c r="B173" s="4"/>
      <c r="C173" s="4"/>
      <c r="D173" s="4"/>
      <c r="E173" s="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</row>
    <row r="174" spans="1:37">
      <c r="A174" s="4"/>
      <c r="B174" s="4"/>
      <c r="C174" s="4"/>
      <c r="D174" s="4"/>
      <c r="E174" s="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</row>
    <row r="175" spans="1:37">
      <c r="A175" s="4"/>
      <c r="B175" s="4"/>
      <c r="C175" s="4"/>
      <c r="D175" s="4"/>
      <c r="E175" s="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</row>
    <row r="176" spans="1:37">
      <c r="A176" s="4"/>
      <c r="B176" s="4"/>
      <c r="C176" s="4"/>
      <c r="D176" s="4"/>
      <c r="E176" s="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</row>
    <row r="177" spans="1:37">
      <c r="A177" s="4"/>
      <c r="B177" s="4"/>
      <c r="C177" s="4"/>
      <c r="D177" s="4"/>
      <c r="E177" s="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</row>
    <row r="178" spans="1:37">
      <c r="A178" s="4"/>
      <c r="B178" s="4"/>
      <c r="C178" s="4"/>
      <c r="D178" s="4"/>
      <c r="E178" s="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</row>
    <row r="179" spans="1:37">
      <c r="A179" s="4"/>
      <c r="B179" s="4"/>
      <c r="C179" s="4"/>
      <c r="D179" s="4"/>
      <c r="E179" s="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</row>
    <row r="180" spans="1:37">
      <c r="A180" s="4"/>
      <c r="B180" s="4"/>
      <c r="C180" s="4"/>
      <c r="D180" s="4"/>
      <c r="E180" s="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</row>
    <row r="181" spans="1:37">
      <c r="A181" s="4"/>
      <c r="B181" s="4"/>
      <c r="C181" s="4"/>
      <c r="D181" s="4"/>
      <c r="E181" s="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</row>
    <row r="182" spans="1:37">
      <c r="A182" s="4"/>
      <c r="B182" s="4"/>
      <c r="C182" s="4"/>
      <c r="D182" s="4"/>
      <c r="E182" s="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</row>
    <row r="183" spans="1:37">
      <c r="A183" s="4"/>
      <c r="B183" s="4"/>
      <c r="C183" s="4"/>
      <c r="D183" s="4"/>
      <c r="E183" s="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</row>
    <row r="184" spans="1:37">
      <c r="A184" s="4"/>
      <c r="B184" s="4"/>
      <c r="C184" s="4"/>
      <c r="D184" s="4"/>
      <c r="E184" s="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</row>
    <row r="185" spans="1:37">
      <c r="A185" s="4"/>
      <c r="B185" s="4"/>
      <c r="C185" s="4"/>
      <c r="D185" s="4"/>
      <c r="E185" s="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</row>
    <row r="186" spans="1:37">
      <c r="A186" s="4"/>
      <c r="B186" s="4"/>
      <c r="C186" s="4"/>
      <c r="D186" s="4"/>
      <c r="E186" s="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</row>
    <row r="187" spans="1:37">
      <c r="A187" s="4"/>
      <c r="B187" s="4"/>
      <c r="C187" s="4"/>
      <c r="D187" s="4"/>
      <c r="E187" s="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</row>
    <row r="188" spans="1:37">
      <c r="A188" s="4"/>
      <c r="B188" s="4"/>
      <c r="C188" s="4"/>
      <c r="D188" s="4"/>
      <c r="E188" s="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</row>
    <row r="189" spans="1:37">
      <c r="A189" s="4"/>
      <c r="B189" s="4"/>
      <c r="C189" s="4"/>
      <c r="D189" s="4"/>
      <c r="E189" s="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</row>
    <row r="190" spans="1:37">
      <c r="A190" s="4"/>
      <c r="B190" s="4"/>
      <c r="C190" s="4"/>
      <c r="D190" s="4"/>
      <c r="E190" s="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</row>
    <row r="191" spans="1:37">
      <c r="A191" s="4"/>
      <c r="B191" s="4"/>
      <c r="C191" s="4"/>
      <c r="D191" s="4"/>
      <c r="E191" s="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</row>
    <row r="192" spans="1:37">
      <c r="A192" s="4"/>
      <c r="B192" s="4"/>
      <c r="C192" s="4"/>
      <c r="D192" s="4"/>
      <c r="E192" s="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</row>
    <row r="193" spans="1:37">
      <c r="A193" s="4"/>
      <c r="B193" s="4"/>
      <c r="C193" s="4"/>
      <c r="D193" s="4"/>
      <c r="E193" s="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</row>
    <row r="194" spans="1:37">
      <c r="A194" s="4"/>
      <c r="B194" s="4"/>
      <c r="C194" s="4"/>
      <c r="D194" s="4"/>
      <c r="E194" s="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</row>
    <row r="195" spans="1:37">
      <c r="A195" s="4"/>
      <c r="B195" s="4"/>
      <c r="C195" s="4"/>
      <c r="D195" s="4"/>
      <c r="E195" s="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</row>
    <row r="196" spans="1:37">
      <c r="A196" s="4"/>
      <c r="B196" s="4"/>
      <c r="C196" s="4"/>
      <c r="D196" s="4"/>
      <c r="E196" s="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</row>
    <row r="197" spans="1:37">
      <c r="A197" s="4"/>
      <c r="B197" s="4"/>
      <c r="C197" s="4"/>
      <c r="D197" s="4"/>
      <c r="E197" s="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</row>
    <row r="198" spans="1:37">
      <c r="A198" s="4"/>
      <c r="B198" s="4"/>
      <c r="C198" s="4"/>
      <c r="D198" s="4"/>
      <c r="E198" s="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</row>
    <row r="199" spans="1:37">
      <c r="A199" s="4"/>
      <c r="B199" s="4"/>
      <c r="C199" s="4"/>
      <c r="D199" s="4"/>
      <c r="E199" s="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</row>
    <row r="200" spans="1:37">
      <c r="A200" s="4"/>
      <c r="B200" s="4"/>
      <c r="C200" s="4"/>
      <c r="D200" s="4"/>
      <c r="E200" s="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</row>
    <row r="201" spans="1:37">
      <c r="A201" s="4"/>
      <c r="B201" s="4"/>
      <c r="C201" s="4"/>
      <c r="D201" s="4"/>
      <c r="E201" s="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</row>
    <row r="202" spans="1:37">
      <c r="A202" s="4"/>
      <c r="B202" s="4"/>
      <c r="C202" s="4"/>
      <c r="D202" s="4"/>
      <c r="E202" s="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</row>
    <row r="203" spans="1:37">
      <c r="A203" s="4"/>
      <c r="B203" s="4"/>
      <c r="C203" s="4"/>
      <c r="D203" s="4"/>
      <c r="E203" s="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</row>
    <row r="204" spans="1:37">
      <c r="A204" s="4"/>
      <c r="B204" s="4"/>
      <c r="C204" s="4"/>
      <c r="D204" s="4"/>
      <c r="E204" s="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</row>
    <row r="205" spans="1:37">
      <c r="A205" s="4"/>
      <c r="B205" s="4"/>
      <c r="C205" s="4"/>
      <c r="D205" s="4"/>
      <c r="E205" s="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</row>
    <row r="206" spans="1:37">
      <c r="A206" s="4"/>
      <c r="B206" s="4"/>
      <c r="C206" s="4"/>
      <c r="D206" s="4"/>
      <c r="E206" s="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</row>
    <row r="207" spans="1:37">
      <c r="A207" s="4"/>
      <c r="B207" s="4"/>
      <c r="C207" s="4"/>
      <c r="D207" s="4"/>
      <c r="E207" s="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</row>
    <row r="208" spans="1:37">
      <c r="A208" s="4"/>
      <c r="B208" s="4"/>
      <c r="C208" s="4"/>
      <c r="D208" s="4"/>
      <c r="E208" s="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</row>
    <row r="209" spans="1:37">
      <c r="A209" s="4"/>
      <c r="B209" s="4"/>
      <c r="C209" s="4"/>
      <c r="D209" s="4"/>
      <c r="E209" s="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</row>
    <row r="210" spans="1:37">
      <c r="A210" s="4"/>
      <c r="B210" s="4"/>
      <c r="C210" s="4"/>
      <c r="D210" s="4"/>
      <c r="E210" s="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</row>
    <row r="211" spans="1:37">
      <c r="A211" s="4"/>
      <c r="B211" s="4"/>
      <c r="C211" s="4"/>
      <c r="D211" s="4"/>
      <c r="E211" s="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</row>
    <row r="212" spans="1:37">
      <c r="A212" s="4"/>
      <c r="B212" s="4"/>
      <c r="C212" s="4"/>
      <c r="D212" s="4"/>
      <c r="E212" s="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</row>
    <row r="213" spans="1:37">
      <c r="A213" s="4"/>
      <c r="B213" s="4"/>
      <c r="C213" s="4"/>
      <c r="D213" s="4"/>
      <c r="E213" s="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</row>
    <row r="214" spans="1:37">
      <c r="A214" s="4"/>
      <c r="B214" s="4"/>
      <c r="C214" s="4"/>
      <c r="D214" s="4"/>
      <c r="E214" s="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</row>
    <row r="215" spans="1:37">
      <c r="A215" s="4"/>
      <c r="B215" s="4"/>
      <c r="C215" s="4"/>
      <c r="D215" s="4"/>
      <c r="E215" s="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</row>
    <row r="216" spans="1:37">
      <c r="A216" s="4"/>
      <c r="B216" s="4"/>
      <c r="C216" s="4"/>
      <c r="D216" s="4"/>
      <c r="E216" s="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</row>
    <row r="217" spans="1:37">
      <c r="A217" s="4"/>
      <c r="B217" s="4"/>
      <c r="C217" s="4"/>
      <c r="D217" s="4"/>
      <c r="E217" s="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</row>
    <row r="218" spans="1:37">
      <c r="A218" s="4"/>
      <c r="B218" s="4"/>
      <c r="C218" s="4"/>
      <c r="D218" s="4"/>
      <c r="E218" s="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</row>
    <row r="219" spans="1:37">
      <c r="A219" s="4"/>
      <c r="B219" s="4"/>
      <c r="C219" s="4"/>
      <c r="D219" s="4"/>
      <c r="E219" s="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</row>
    <row r="220" spans="1:37">
      <c r="A220" s="4"/>
      <c r="B220" s="4"/>
      <c r="C220" s="4"/>
      <c r="D220" s="4"/>
      <c r="E220" s="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</row>
    <row r="221" spans="1:37">
      <c r="A221" s="4"/>
      <c r="B221" s="4"/>
      <c r="C221" s="4"/>
      <c r="D221" s="4"/>
      <c r="E221" s="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</row>
    <row r="222" spans="1:37">
      <c r="A222" s="4"/>
      <c r="B222" s="4"/>
      <c r="C222" s="4"/>
      <c r="D222" s="4"/>
      <c r="E222" s="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</row>
    <row r="223" spans="1:37">
      <c r="A223" s="4"/>
      <c r="B223" s="4"/>
      <c r="C223" s="4"/>
      <c r="D223" s="4"/>
      <c r="E223" s="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</row>
    <row r="224" spans="1:37">
      <c r="A224" s="4"/>
      <c r="B224" s="4"/>
      <c r="C224" s="4"/>
      <c r="D224" s="4"/>
      <c r="E224" s="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</row>
    <row r="225" spans="1:37">
      <c r="A225" s="4"/>
      <c r="B225" s="4"/>
      <c r="C225" s="4"/>
      <c r="D225" s="4"/>
      <c r="E225" s="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</row>
    <row r="226" spans="1:37">
      <c r="A226" s="4"/>
      <c r="B226" s="4"/>
      <c r="C226" s="4"/>
      <c r="D226" s="4"/>
      <c r="E226" s="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</row>
    <row r="227" spans="1:37">
      <c r="A227" s="4"/>
      <c r="B227" s="4"/>
      <c r="C227" s="4"/>
      <c r="D227" s="4"/>
      <c r="E227" s="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</row>
    <row r="228" spans="1:37">
      <c r="A228" s="4"/>
      <c r="B228" s="4"/>
      <c r="C228" s="4"/>
      <c r="D228" s="4"/>
      <c r="E228" s="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</row>
    <row r="229" spans="1:37">
      <c r="A229" s="4"/>
      <c r="B229" s="4"/>
      <c r="C229" s="4"/>
      <c r="D229" s="4"/>
      <c r="E229" s="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</row>
    <row r="230" spans="1:37">
      <c r="A230" s="4"/>
      <c r="B230" s="4"/>
      <c r="C230" s="4"/>
      <c r="D230" s="4"/>
      <c r="E230" s="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</row>
    <row r="231" spans="1:37">
      <c r="A231" s="4"/>
      <c r="B231" s="4"/>
      <c r="C231" s="4"/>
      <c r="D231" s="4"/>
      <c r="E231" s="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</row>
    <row r="232" spans="1:37">
      <c r="A232" s="4"/>
      <c r="B232" s="4"/>
      <c r="C232" s="4"/>
      <c r="D232" s="4"/>
      <c r="E232" s="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</row>
    <row r="233" spans="1:37">
      <c r="A233" s="4"/>
      <c r="B233" s="4"/>
      <c r="C233" s="4"/>
      <c r="D233" s="4"/>
      <c r="E233" s="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</row>
    <row r="234" spans="1:37">
      <c r="A234" s="4"/>
      <c r="B234" s="4"/>
      <c r="C234" s="4"/>
      <c r="D234" s="4"/>
      <c r="E234" s="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</row>
    <row r="235" spans="1:37">
      <c r="A235" s="4"/>
      <c r="B235" s="4"/>
      <c r="C235" s="4"/>
      <c r="D235" s="4"/>
      <c r="E235" s="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</row>
    <row r="236" spans="1:37">
      <c r="A236" s="4"/>
      <c r="B236" s="4"/>
      <c r="C236" s="4"/>
      <c r="D236" s="4"/>
      <c r="E236" s="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</row>
    <row r="237" spans="1:37">
      <c r="A237" s="4"/>
      <c r="B237" s="4"/>
      <c r="C237" s="4"/>
      <c r="D237" s="4"/>
      <c r="E237" s="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</row>
    <row r="238" spans="1:37">
      <c r="A238" s="4"/>
      <c r="B238" s="4"/>
      <c r="C238" s="4"/>
      <c r="D238" s="4"/>
      <c r="E238" s="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</row>
    <row r="239" spans="1:37">
      <c r="A239" s="4"/>
      <c r="B239" s="4"/>
      <c r="C239" s="4"/>
      <c r="D239" s="4"/>
      <c r="E239" s="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</row>
    <row r="240" spans="1:37">
      <c r="A240" s="4"/>
      <c r="B240" s="4"/>
      <c r="C240" s="4"/>
      <c r="D240" s="4"/>
      <c r="E240" s="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</row>
    <row r="241" spans="1:37">
      <c r="A241" s="4"/>
      <c r="B241" s="4"/>
      <c r="C241" s="4"/>
      <c r="D241" s="4"/>
      <c r="E241" s="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</row>
    <row r="242" spans="1:37">
      <c r="A242" s="4"/>
      <c r="B242" s="4"/>
      <c r="C242" s="4"/>
      <c r="D242" s="4"/>
      <c r="E242" s="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</row>
    <row r="243" spans="1:37">
      <c r="A243" s="4"/>
      <c r="B243" s="4"/>
      <c r="C243" s="4"/>
      <c r="D243" s="4"/>
      <c r="E243" s="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</row>
    <row r="244" spans="1:37">
      <c r="A244" s="4"/>
      <c r="B244" s="4"/>
      <c r="C244" s="4"/>
      <c r="D244" s="4"/>
      <c r="E244" s="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</row>
    <row r="245" spans="1:37">
      <c r="A245" s="4"/>
      <c r="B245" s="4"/>
      <c r="C245" s="4"/>
      <c r="D245" s="4"/>
      <c r="E245" s="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</row>
    <row r="246" spans="1:37">
      <c r="A246" s="4"/>
      <c r="B246" s="4"/>
      <c r="C246" s="4"/>
      <c r="D246" s="4"/>
      <c r="E246" s="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</row>
    <row r="247" spans="1:37">
      <c r="A247" s="4"/>
      <c r="B247" s="4"/>
      <c r="C247" s="4"/>
      <c r="D247" s="4"/>
      <c r="E247" s="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</row>
    <row r="248" spans="1:37">
      <c r="A248" s="4"/>
      <c r="B248" s="4"/>
      <c r="C248" s="4"/>
      <c r="D248" s="4"/>
      <c r="E248" s="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</row>
    <row r="249" spans="1:37">
      <c r="A249" s="4"/>
      <c r="B249" s="4"/>
      <c r="C249" s="4"/>
      <c r="D249" s="4"/>
      <c r="E249" s="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</row>
    <row r="250" spans="1:37">
      <c r="A250" s="4"/>
      <c r="B250" s="4"/>
      <c r="C250" s="4"/>
      <c r="D250" s="4"/>
      <c r="E250" s="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</row>
    <row r="251" spans="1:37">
      <c r="A251" s="4"/>
      <c r="B251" s="4"/>
      <c r="C251" s="4"/>
      <c r="D251" s="4"/>
      <c r="E251" s="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</row>
    <row r="252" spans="1:37">
      <c r="A252" s="4"/>
      <c r="B252" s="4"/>
      <c r="C252" s="4"/>
      <c r="D252" s="4"/>
      <c r="E252" s="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</row>
    <row r="253" spans="1:37">
      <c r="A253" s="4"/>
      <c r="B253" s="4"/>
      <c r="C253" s="4"/>
      <c r="D253" s="4"/>
      <c r="E253" s="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</row>
    <row r="254" spans="1:37">
      <c r="A254" s="4"/>
      <c r="B254" s="4"/>
      <c r="C254" s="4"/>
      <c r="D254" s="4"/>
      <c r="E254" s="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</row>
    <row r="255" spans="1:37">
      <c r="A255" s="4"/>
      <c r="B255" s="4"/>
      <c r="C255" s="4"/>
      <c r="D255" s="4"/>
      <c r="E255" s="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</row>
    <row r="256" spans="1:37">
      <c r="A256" s="4"/>
      <c r="B256" s="4"/>
      <c r="C256" s="4"/>
      <c r="D256" s="4"/>
      <c r="E256" s="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</row>
    <row r="257" spans="1:37">
      <c r="A257" s="4"/>
      <c r="B257" s="4"/>
      <c r="C257" s="4"/>
      <c r="D257" s="4"/>
      <c r="E257" s="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</row>
    <row r="258" spans="1:37">
      <c r="A258" s="4"/>
      <c r="B258" s="4"/>
      <c r="C258" s="4"/>
      <c r="D258" s="4"/>
      <c r="E258" s="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</row>
    <row r="259" spans="1:37">
      <c r="A259" s="4"/>
      <c r="B259" s="4"/>
      <c r="C259" s="4"/>
      <c r="D259" s="4"/>
      <c r="E259" s="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</row>
    <row r="260" spans="1:37">
      <c r="A260" s="4"/>
      <c r="B260" s="4"/>
      <c r="C260" s="4"/>
      <c r="D260" s="4"/>
      <c r="E260" s="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</row>
    <row r="261" spans="1:37">
      <c r="A261" s="4"/>
      <c r="B261" s="4"/>
      <c r="C261" s="4"/>
      <c r="D261" s="4"/>
      <c r="E261" s="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</row>
    <row r="262" spans="1:37">
      <c r="A262" s="4"/>
      <c r="B262" s="4"/>
      <c r="C262" s="4"/>
      <c r="D262" s="4"/>
      <c r="E262" s="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</row>
    <row r="263" spans="1:37">
      <c r="A263" s="4"/>
      <c r="B263" s="4"/>
      <c r="C263" s="4"/>
      <c r="D263" s="4"/>
      <c r="E263" s="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</row>
    <row r="264" spans="1:37">
      <c r="A264" s="4"/>
      <c r="B264" s="4"/>
      <c r="C264" s="4"/>
      <c r="D264" s="4"/>
      <c r="E264" s="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</row>
    <row r="265" spans="1:37">
      <c r="A265" s="4"/>
      <c r="B265" s="4"/>
      <c r="C265" s="4"/>
      <c r="D265" s="4"/>
      <c r="E265" s="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</row>
    <row r="266" spans="1:37">
      <c r="A266" s="4"/>
      <c r="B266" s="4"/>
      <c r="C266" s="4"/>
      <c r="D266" s="4"/>
      <c r="E266" s="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</row>
    <row r="267" spans="1:37">
      <c r="A267" s="4"/>
      <c r="B267" s="4"/>
      <c r="C267" s="4"/>
      <c r="D267" s="4"/>
      <c r="E267" s="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</row>
    <row r="268" spans="1:37">
      <c r="A268" s="4"/>
      <c r="B268" s="4"/>
      <c r="C268" s="4"/>
      <c r="D268" s="4"/>
      <c r="E268" s="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</row>
    <row r="269" spans="1:37">
      <c r="A269" s="4"/>
      <c r="B269" s="4"/>
      <c r="C269" s="4"/>
      <c r="D269" s="4"/>
      <c r="E269" s="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</row>
    <row r="270" spans="1:37">
      <c r="A270" s="4"/>
      <c r="B270" s="4"/>
      <c r="C270" s="4"/>
      <c r="D270" s="4"/>
      <c r="E270" s="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</row>
    <row r="271" spans="1:37">
      <c r="A271" s="4"/>
      <c r="B271" s="4"/>
      <c r="C271" s="4"/>
      <c r="D271" s="4"/>
      <c r="E271" s="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</row>
    <row r="272" spans="1:37">
      <c r="A272" s="4"/>
      <c r="B272" s="4"/>
      <c r="C272" s="4"/>
      <c r="D272" s="4"/>
      <c r="E272" s="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</row>
    <row r="273" spans="1:37">
      <c r="A273" s="4"/>
      <c r="B273" s="4"/>
      <c r="C273" s="4"/>
      <c r="D273" s="4"/>
      <c r="E273" s="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</row>
    <row r="274" spans="1:37">
      <c r="A274" s="4"/>
      <c r="B274" s="4"/>
      <c r="C274" s="4"/>
      <c r="D274" s="4"/>
      <c r="E274" s="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</row>
    <row r="275" spans="1:37">
      <c r="A275" s="4"/>
      <c r="B275" s="4"/>
      <c r="C275" s="4"/>
      <c r="D275" s="4"/>
      <c r="E275" s="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</row>
    <row r="276" spans="1:37">
      <c r="A276" s="4"/>
      <c r="B276" s="4"/>
      <c r="C276" s="4"/>
      <c r="D276" s="4"/>
      <c r="E276" s="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</row>
    <row r="277" spans="1:37">
      <c r="A277" s="4"/>
      <c r="B277" s="4"/>
      <c r="C277" s="4"/>
      <c r="D277" s="4"/>
      <c r="E277" s="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</row>
    <row r="278" spans="1:37">
      <c r="A278" s="4"/>
      <c r="B278" s="4"/>
      <c r="C278" s="4"/>
      <c r="D278" s="4"/>
      <c r="E278" s="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</row>
    <row r="279" spans="1:37">
      <c r="A279" s="4"/>
      <c r="B279" s="4"/>
      <c r="C279" s="4"/>
      <c r="D279" s="4"/>
      <c r="E279" s="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</row>
    <row r="280" spans="1:37">
      <c r="A280" s="4"/>
      <c r="B280" s="4"/>
      <c r="C280" s="4"/>
      <c r="D280" s="4"/>
      <c r="E280" s="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</row>
    <row r="281" spans="1:37">
      <c r="A281" s="4"/>
      <c r="B281" s="4"/>
      <c r="C281" s="4"/>
      <c r="D281" s="4"/>
      <c r="E281" s="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</row>
    <row r="282" spans="1:37">
      <c r="A282" s="4"/>
      <c r="B282" s="4"/>
      <c r="C282" s="4"/>
      <c r="D282" s="4"/>
      <c r="E282" s="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</row>
    <row r="283" spans="1:37">
      <c r="A283" s="4"/>
      <c r="B283" s="4"/>
      <c r="C283" s="4"/>
      <c r="D283" s="4"/>
      <c r="E283" s="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</row>
    <row r="284" spans="1:37">
      <c r="A284" s="4"/>
      <c r="B284" s="4"/>
      <c r="C284" s="4"/>
      <c r="D284" s="4"/>
      <c r="E284" s="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</row>
    <row r="285" spans="1:37">
      <c r="A285" s="4"/>
      <c r="B285" s="4"/>
      <c r="C285" s="4"/>
      <c r="D285" s="4"/>
      <c r="E285" s="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</row>
    <row r="286" spans="1:37">
      <c r="A286" s="4"/>
      <c r="B286" s="4"/>
      <c r="C286" s="4"/>
      <c r="D286" s="4"/>
      <c r="E286" s="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</row>
    <row r="287" spans="1:37">
      <c r="A287" s="4"/>
      <c r="B287" s="4"/>
      <c r="C287" s="4"/>
      <c r="D287" s="4"/>
      <c r="E287" s="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</row>
    <row r="288" spans="1:37">
      <c r="A288" s="4"/>
      <c r="B288" s="4"/>
      <c r="C288" s="4"/>
      <c r="D288" s="4"/>
      <c r="E288" s="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</row>
    <row r="289" spans="1:37">
      <c r="A289" s="4"/>
      <c r="B289" s="4"/>
      <c r="C289" s="4"/>
      <c r="D289" s="4"/>
      <c r="E289" s="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</row>
    <row r="290" spans="1:37">
      <c r="A290" s="4"/>
      <c r="B290" s="4"/>
      <c r="C290" s="4"/>
      <c r="D290" s="4"/>
      <c r="E290" s="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</row>
    <row r="291" spans="1:37">
      <c r="A291" s="4"/>
      <c r="B291" s="4"/>
      <c r="C291" s="4"/>
      <c r="D291" s="4"/>
      <c r="E291" s="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</row>
    <row r="292" spans="1:37">
      <c r="A292" s="4"/>
      <c r="B292" s="4"/>
      <c r="C292" s="4"/>
      <c r="D292" s="4"/>
      <c r="E292" s="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</row>
    <row r="293" spans="1:37">
      <c r="A293" s="4"/>
      <c r="B293" s="4"/>
      <c r="C293" s="4"/>
      <c r="D293" s="4"/>
      <c r="E293" s="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</row>
    <row r="294" spans="1:37">
      <c r="A294" s="4"/>
      <c r="B294" s="4"/>
      <c r="C294" s="4"/>
      <c r="D294" s="4"/>
      <c r="E294" s="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</row>
    <row r="295" spans="1:37">
      <c r="A295" s="4"/>
      <c r="B295" s="4"/>
      <c r="C295" s="4"/>
      <c r="D295" s="4"/>
      <c r="E295" s="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</row>
    <row r="296" spans="1:37">
      <c r="A296" s="4"/>
      <c r="B296" s="4"/>
      <c r="C296" s="4"/>
      <c r="D296" s="4"/>
      <c r="E296" s="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</row>
    <row r="297" spans="1:37">
      <c r="A297" s="4"/>
      <c r="B297" s="4"/>
      <c r="C297" s="4"/>
      <c r="D297" s="4"/>
      <c r="E297" s="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</row>
    <row r="298" spans="1:37">
      <c r="A298" s="4"/>
      <c r="B298" s="4"/>
      <c r="C298" s="4"/>
      <c r="D298" s="4"/>
      <c r="E298" s="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</row>
    <row r="299" spans="1:37">
      <c r="A299" s="4"/>
      <c r="B299" s="4"/>
      <c r="C299" s="4"/>
      <c r="D299" s="4"/>
      <c r="E299" s="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</row>
    <row r="300" spans="1:37">
      <c r="A300" s="4"/>
      <c r="B300" s="4"/>
      <c r="C300" s="4"/>
      <c r="D300" s="4"/>
      <c r="E300" s="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</row>
    <row r="301" spans="1:37">
      <c r="A301" s="4"/>
      <c r="B301" s="4"/>
      <c r="C301" s="4"/>
      <c r="D301" s="4"/>
      <c r="E301" s="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</row>
    <row r="302" spans="1:37">
      <c r="A302" s="4"/>
      <c r="B302" s="4"/>
      <c r="C302" s="4"/>
      <c r="D302" s="4"/>
      <c r="E302" s="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</row>
    <row r="303" spans="1:37">
      <c r="A303" s="4"/>
      <c r="B303" s="4"/>
      <c r="C303" s="4"/>
      <c r="D303" s="4"/>
      <c r="E303" s="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</row>
    <row r="304" spans="1:37">
      <c r="A304" s="4"/>
      <c r="B304" s="4"/>
      <c r="C304" s="4"/>
      <c r="D304" s="4"/>
      <c r="E304" s="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</row>
    <row r="305" spans="1:37">
      <c r="A305" s="4"/>
      <c r="B305" s="4"/>
      <c r="C305" s="4"/>
      <c r="D305" s="4"/>
      <c r="E305" s="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</row>
    <row r="306" spans="1:37">
      <c r="A306" s="4"/>
      <c r="B306" s="4"/>
      <c r="C306" s="4"/>
      <c r="D306" s="4"/>
      <c r="E306" s="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</row>
    <row r="307" spans="1:37">
      <c r="A307" s="4"/>
      <c r="B307" s="4"/>
      <c r="C307" s="4"/>
      <c r="D307" s="4"/>
      <c r="E307" s="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</row>
    <row r="308" spans="1:37">
      <c r="A308" s="4"/>
      <c r="B308" s="4"/>
      <c r="C308" s="4"/>
      <c r="D308" s="4"/>
      <c r="E308" s="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</row>
    <row r="309" spans="1:37">
      <c r="A309" s="4"/>
      <c r="B309" s="4"/>
      <c r="C309" s="4"/>
      <c r="D309" s="4"/>
      <c r="E309" s="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</row>
    <row r="310" spans="1:37">
      <c r="A310" s="4"/>
      <c r="B310" s="4"/>
      <c r="C310" s="4"/>
      <c r="D310" s="4"/>
      <c r="E310" s="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</row>
    <row r="311" spans="1:37">
      <c r="A311" s="4"/>
      <c r="B311" s="4"/>
      <c r="C311" s="4"/>
      <c r="D311" s="4"/>
      <c r="E311" s="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</row>
    <row r="312" spans="1:37">
      <c r="A312" s="4"/>
      <c r="B312" s="4"/>
      <c r="C312" s="4"/>
      <c r="D312" s="4"/>
      <c r="E312" s="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</row>
    <row r="313" spans="1:37">
      <c r="A313" s="4"/>
      <c r="B313" s="4"/>
      <c r="C313" s="4"/>
      <c r="D313" s="4"/>
      <c r="E313" s="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</row>
    <row r="314" spans="1:37">
      <c r="A314" s="4"/>
      <c r="B314" s="4"/>
      <c r="C314" s="4"/>
      <c r="D314" s="4"/>
      <c r="E314" s="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</row>
    <row r="315" spans="1:37">
      <c r="A315" s="4"/>
      <c r="B315" s="4"/>
      <c r="C315" s="4"/>
      <c r="D315" s="4"/>
      <c r="E315" s="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</row>
    <row r="316" spans="1:37">
      <c r="A316" s="4"/>
      <c r="B316" s="4"/>
      <c r="C316" s="4"/>
      <c r="D316" s="4"/>
      <c r="E316" s="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</row>
    <row r="317" spans="1:37">
      <c r="A317" s="4"/>
      <c r="B317" s="4"/>
      <c r="C317" s="4"/>
      <c r="D317" s="4"/>
      <c r="E317" s="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</row>
    <row r="318" spans="1:37">
      <c r="A318" s="4"/>
      <c r="B318" s="4"/>
      <c r="C318" s="4"/>
      <c r="D318" s="4"/>
      <c r="E318" s="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</row>
    <row r="319" spans="1:37">
      <c r="A319" s="4"/>
      <c r="B319" s="4"/>
      <c r="C319" s="4"/>
      <c r="D319" s="4"/>
      <c r="E319" s="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</row>
    <row r="320" spans="1:37">
      <c r="A320" s="4"/>
      <c r="B320" s="4"/>
      <c r="C320" s="4"/>
      <c r="D320" s="4"/>
      <c r="E320" s="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</row>
    <row r="321" spans="1:37">
      <c r="A321" s="4"/>
      <c r="B321" s="4"/>
      <c r="C321" s="4"/>
      <c r="D321" s="4"/>
      <c r="E321" s="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</row>
    <row r="322" spans="1:37">
      <c r="A322" s="4"/>
      <c r="B322" s="4"/>
      <c r="C322" s="4"/>
      <c r="D322" s="4"/>
      <c r="E322" s="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</row>
    <row r="323" spans="1:37">
      <c r="A323" s="4"/>
      <c r="B323" s="4"/>
      <c r="C323" s="4"/>
      <c r="D323" s="4"/>
      <c r="E323" s="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</row>
    <row r="324" spans="1:37">
      <c r="A324" s="4"/>
      <c r="B324" s="4"/>
      <c r="C324" s="4"/>
      <c r="D324" s="4"/>
      <c r="E324" s="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</row>
    <row r="325" spans="1:37">
      <c r="A325" s="4"/>
      <c r="B325" s="4"/>
      <c r="C325" s="4"/>
      <c r="D325" s="4"/>
      <c r="E325" s="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</row>
    <row r="326" spans="1:37">
      <c r="A326" s="4"/>
      <c r="B326" s="4"/>
      <c r="C326" s="4"/>
      <c r="D326" s="4"/>
      <c r="E326" s="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</row>
    <row r="327" spans="1:37">
      <c r="A327" s="4"/>
      <c r="B327" s="4"/>
      <c r="C327" s="4"/>
      <c r="D327" s="4"/>
      <c r="E327" s="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</row>
    <row r="328" spans="1:37">
      <c r="A328" s="4"/>
      <c r="B328" s="4"/>
      <c r="C328" s="4"/>
      <c r="D328" s="4"/>
      <c r="E328" s="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</row>
    <row r="329" spans="1:37">
      <c r="A329" s="4"/>
      <c r="B329" s="4"/>
      <c r="C329" s="4"/>
      <c r="D329" s="4"/>
      <c r="E329" s="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</row>
    <row r="330" spans="1:37">
      <c r="A330" s="4"/>
      <c r="B330" s="4"/>
      <c r="C330" s="4"/>
      <c r="D330" s="4"/>
      <c r="E330" s="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</row>
    <row r="331" spans="1:37">
      <c r="A331" s="4"/>
      <c r="B331" s="4"/>
      <c r="C331" s="4"/>
      <c r="D331" s="4"/>
      <c r="E331" s="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</row>
    <row r="332" spans="1:37">
      <c r="A332" s="4"/>
      <c r="B332" s="4"/>
      <c r="C332" s="4"/>
      <c r="D332" s="4"/>
      <c r="E332" s="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</row>
    <row r="333" spans="1:37">
      <c r="A333" s="4"/>
      <c r="B333" s="4"/>
      <c r="C333" s="4"/>
      <c r="D333" s="4"/>
      <c r="E333" s="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</row>
    <row r="334" spans="1:37">
      <c r="A334" s="4"/>
      <c r="B334" s="4"/>
      <c r="C334" s="4"/>
      <c r="D334" s="4"/>
      <c r="E334" s="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</row>
    <row r="335" spans="1:37">
      <c r="A335" s="4"/>
      <c r="B335" s="4"/>
      <c r="C335" s="4"/>
      <c r="D335" s="4"/>
      <c r="E335" s="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</row>
    <row r="336" spans="1:37">
      <c r="A336" s="4"/>
      <c r="B336" s="4"/>
      <c r="C336" s="4"/>
      <c r="D336" s="4"/>
      <c r="E336" s="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</row>
    <row r="337" spans="1:37">
      <c r="A337" s="4"/>
      <c r="B337" s="4"/>
      <c r="C337" s="4"/>
      <c r="D337" s="4"/>
      <c r="E337" s="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</row>
    <row r="338" spans="1:37">
      <c r="A338" s="4"/>
      <c r="B338" s="4"/>
      <c r="C338" s="4"/>
      <c r="D338" s="4"/>
      <c r="E338" s="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</row>
    <row r="339" spans="1:37">
      <c r="A339" s="4"/>
      <c r="B339" s="4"/>
      <c r="C339" s="4"/>
      <c r="D339" s="4"/>
      <c r="E339" s="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</row>
    <row r="340" spans="1:37">
      <c r="A340" s="4"/>
      <c r="B340" s="4"/>
      <c r="C340" s="4"/>
      <c r="D340" s="4"/>
      <c r="E340" s="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</row>
    <row r="341" spans="1:37">
      <c r="A341" s="4"/>
      <c r="B341" s="4"/>
      <c r="C341" s="4"/>
      <c r="D341" s="4"/>
      <c r="E341" s="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</row>
    <row r="342" spans="1:37">
      <c r="A342" s="4"/>
      <c r="B342" s="4"/>
      <c r="C342" s="4"/>
      <c r="D342" s="4"/>
      <c r="E342" s="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</row>
    <row r="343" spans="1:37">
      <c r="A343" s="4"/>
      <c r="B343" s="4"/>
      <c r="C343" s="4"/>
      <c r="D343" s="4"/>
      <c r="E343" s="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</row>
    <row r="344" spans="1:37">
      <c r="A344" s="4"/>
      <c r="B344" s="4"/>
      <c r="C344" s="4"/>
      <c r="D344" s="4"/>
      <c r="E344" s="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</row>
    <row r="345" spans="1:37">
      <c r="A345" s="4"/>
      <c r="B345" s="4"/>
      <c r="C345" s="4"/>
      <c r="D345" s="4"/>
      <c r="E345" s="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</row>
    <row r="346" spans="1:37">
      <c r="A346" s="4"/>
      <c r="B346" s="4"/>
      <c r="C346" s="4"/>
      <c r="D346" s="4"/>
      <c r="E346" s="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</row>
    <row r="347" spans="1:37">
      <c r="A347" s="4"/>
      <c r="B347" s="4"/>
      <c r="C347" s="4"/>
      <c r="D347" s="4"/>
      <c r="E347" s="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</row>
    <row r="348" spans="1:37">
      <c r="A348" s="4"/>
      <c r="B348" s="4"/>
      <c r="C348" s="4"/>
      <c r="D348" s="4"/>
      <c r="E348" s="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</row>
    <row r="349" spans="1:37">
      <c r="A349" s="4"/>
      <c r="B349" s="4"/>
      <c r="C349" s="4"/>
      <c r="D349" s="4"/>
      <c r="E349" s="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</row>
    <row r="350" spans="1:37">
      <c r="A350" s="4"/>
      <c r="B350" s="4"/>
      <c r="C350" s="4"/>
      <c r="D350" s="4"/>
      <c r="E350" s="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</row>
    <row r="351" spans="1:37">
      <c r="A351" s="4"/>
      <c r="B351" s="4"/>
      <c r="C351" s="4"/>
      <c r="D351" s="4"/>
      <c r="E351" s="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</row>
    <row r="352" spans="1:37">
      <c r="A352" s="4"/>
      <c r="B352" s="4"/>
      <c r="C352" s="4"/>
      <c r="D352" s="4"/>
      <c r="E352" s="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</row>
  </sheetData>
  <printOptions horizontalCentered="1"/>
  <pageMargins left="0.75" right="0.75" top="1" bottom="1" header="0.5" footer="0.5"/>
  <pageSetup scale="93" firstPageNumber="6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V361"/>
  <sheetViews>
    <sheetView zoomScale="50" zoomScaleNormal="25" zoomScaleSheetLayoutView="100" workbookViewId="0">
      <selection activeCell="F28" sqref="F28"/>
    </sheetView>
  </sheetViews>
  <sheetFormatPr defaultRowHeight="13.2"/>
  <cols>
    <col min="1" max="1" width="20.44140625" customWidth="1"/>
    <col min="2" max="2" width="11.88671875" hidden="1" customWidth="1"/>
    <col min="3" max="3" width="12.6640625" hidden="1" customWidth="1"/>
    <col min="4" max="4" width="10.44140625" hidden="1" customWidth="1"/>
    <col min="5" max="10" width="9.109375" hidden="1" customWidth="1"/>
    <col min="11" max="20" width="15.6640625" customWidth="1"/>
    <col min="24" max="24" width="9.33203125" customWidth="1"/>
  </cols>
  <sheetData>
    <row r="1" spans="1:48" ht="15.6">
      <c r="A1" s="1" t="str">
        <f>Scope!A1</f>
        <v>Santee Cooper 5 x LM6000 PC Power Project (236 MW)</v>
      </c>
      <c r="B1" s="1"/>
      <c r="C1" s="1"/>
      <c r="D1" s="1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ht="15.6">
      <c r="A2" s="45" t="s">
        <v>290</v>
      </c>
      <c r="B2" s="45"/>
      <c r="C2" s="45"/>
      <c r="D2" s="4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23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ht="1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ht="15">
      <c r="A5" s="96" t="s">
        <v>291</v>
      </c>
      <c r="B5" s="97">
        <v>18</v>
      </c>
      <c r="C5" s="97">
        <v>17</v>
      </c>
      <c r="D5" s="259">
        <v>16</v>
      </c>
      <c r="E5" s="261">
        <v>15</v>
      </c>
      <c r="F5" s="141">
        <v>14</v>
      </c>
      <c r="G5" s="97">
        <v>13</v>
      </c>
      <c r="H5" s="97">
        <v>12</v>
      </c>
      <c r="I5" s="141">
        <f>H5-1</f>
        <v>11</v>
      </c>
      <c r="J5" s="141">
        <f t="shared" ref="J5:S5" si="0">I5-1</f>
        <v>10</v>
      </c>
      <c r="K5" s="141">
        <f t="shared" si="0"/>
        <v>9</v>
      </c>
      <c r="L5" s="141">
        <f t="shared" si="0"/>
        <v>8</v>
      </c>
      <c r="M5" s="141">
        <f t="shared" si="0"/>
        <v>7</v>
      </c>
      <c r="N5" s="506">
        <f t="shared" si="0"/>
        <v>6</v>
      </c>
      <c r="O5" s="141">
        <f t="shared" si="0"/>
        <v>5</v>
      </c>
      <c r="P5" s="506">
        <f t="shared" si="0"/>
        <v>4</v>
      </c>
      <c r="Q5" s="141">
        <f t="shared" si="0"/>
        <v>3</v>
      </c>
      <c r="R5" s="141">
        <f t="shared" si="0"/>
        <v>2</v>
      </c>
      <c r="S5" s="199">
        <f t="shared" si="0"/>
        <v>1</v>
      </c>
      <c r="T5" s="192" t="s">
        <v>219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ht="15">
      <c r="A6" s="96" t="s">
        <v>292</v>
      </c>
      <c r="B6" s="263"/>
      <c r="C6" s="262"/>
      <c r="D6" s="262"/>
      <c r="E6" s="264"/>
      <c r="F6" s="260"/>
      <c r="G6" s="198"/>
      <c r="I6" s="198"/>
      <c r="J6" s="198"/>
      <c r="K6" s="633" t="s">
        <v>42</v>
      </c>
      <c r="L6" s="634"/>
      <c r="M6" s="634"/>
      <c r="N6" s="635"/>
      <c r="O6" s="636" t="s">
        <v>273</v>
      </c>
      <c r="P6" s="637"/>
      <c r="Q6" s="633" t="s">
        <v>1408</v>
      </c>
      <c r="R6" s="638"/>
      <c r="S6" s="639"/>
      <c r="T6" s="50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ht="15">
      <c r="A7" s="96"/>
      <c r="B7" s="439"/>
      <c r="C7" s="101"/>
      <c r="D7" s="142"/>
      <c r="E7" s="142"/>
      <c r="F7" s="141"/>
      <c r="G7" s="141"/>
      <c r="H7" s="141"/>
      <c r="I7" s="502"/>
      <c r="K7" s="505" t="s">
        <v>1098</v>
      </c>
      <c r="L7" s="98"/>
      <c r="M7" s="98"/>
      <c r="N7" s="98"/>
      <c r="O7" s="98"/>
      <c r="P7" s="98"/>
      <c r="Q7" s="98"/>
      <c r="R7" s="98"/>
      <c r="S7" s="98"/>
      <c r="T7" s="98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ht="15">
      <c r="A8" s="225"/>
      <c r="B8" s="503"/>
      <c r="C8" s="101"/>
      <c r="D8" s="142"/>
      <c r="E8" s="142"/>
      <c r="F8" s="142"/>
      <c r="G8" s="142"/>
      <c r="H8" s="141"/>
      <c r="I8" s="101"/>
      <c r="J8" s="225"/>
      <c r="K8" s="100"/>
      <c r="M8" s="101"/>
      <c r="N8" s="101"/>
      <c r="O8" s="101"/>
      <c r="P8" s="101"/>
      <c r="Q8" s="101"/>
      <c r="R8" s="101"/>
      <c r="S8" s="101"/>
      <c r="T8" s="101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ht="15">
      <c r="A9" s="225"/>
      <c r="B9" s="503"/>
      <c r="C9" s="101"/>
      <c r="D9" s="142"/>
      <c r="E9" s="142"/>
      <c r="F9" s="142"/>
      <c r="G9" s="142"/>
      <c r="H9" s="141"/>
      <c r="I9" s="142"/>
      <c r="J9" s="225"/>
      <c r="K9" s="100"/>
      <c r="L9" s="101"/>
      <c r="M9" s="101"/>
      <c r="N9" s="101"/>
      <c r="O9" s="440" t="s">
        <v>760</v>
      </c>
      <c r="P9" s="101"/>
      <c r="Q9" s="101"/>
      <c r="R9" s="101"/>
      <c r="S9" s="101"/>
      <c r="T9" s="101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5">
      <c r="A10" s="225"/>
      <c r="B10" s="100"/>
      <c r="C10" s="101"/>
      <c r="D10" s="142"/>
      <c r="E10" s="142"/>
      <c r="F10" s="142"/>
      <c r="G10" s="142"/>
      <c r="H10" s="141"/>
      <c r="I10" s="142"/>
      <c r="J10" s="504"/>
      <c r="K10" s="100"/>
      <c r="L10" s="101"/>
      <c r="M10" s="101"/>
      <c r="N10" s="101"/>
      <c r="O10" s="440"/>
      <c r="P10" s="101"/>
      <c r="Q10" s="101"/>
      <c r="R10" s="101"/>
      <c r="S10" s="101"/>
      <c r="T10" s="101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ht="15">
      <c r="A11" s="225"/>
      <c r="B11" s="100"/>
      <c r="C11" s="142"/>
      <c r="D11" s="101"/>
      <c r="E11" s="142"/>
      <c r="F11" s="101"/>
      <c r="G11" s="142"/>
      <c r="H11" s="141"/>
      <c r="I11" s="142"/>
      <c r="J11" s="504"/>
      <c r="K11" s="100"/>
      <c r="L11" s="101"/>
      <c r="M11" s="101"/>
      <c r="N11" s="101"/>
      <c r="O11" s="101"/>
      <c r="P11" s="101"/>
      <c r="Q11" s="101"/>
      <c r="R11" s="101"/>
      <c r="S11" s="101"/>
      <c r="T11" s="101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ht="15" hidden="1">
      <c r="A12" s="225"/>
      <c r="B12" s="100"/>
      <c r="C12" s="101"/>
      <c r="D12" s="101"/>
      <c r="F12" s="101"/>
      <c r="G12" s="142"/>
      <c r="H12" s="101"/>
      <c r="I12" s="142"/>
      <c r="J12" s="504"/>
      <c r="K12" s="100"/>
      <c r="L12" s="101"/>
      <c r="M12" s="101"/>
      <c r="O12" s="101"/>
      <c r="P12" s="101"/>
      <c r="Q12" s="101"/>
      <c r="R12" s="101"/>
      <c r="S12" s="101"/>
      <c r="T12" s="101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48" ht="15" hidden="1">
      <c r="A13" s="225"/>
      <c r="B13" s="100"/>
      <c r="C13" s="101"/>
      <c r="D13" s="101"/>
      <c r="F13" s="101"/>
      <c r="G13" s="142"/>
      <c r="H13" s="101"/>
      <c r="I13" s="142"/>
      <c r="J13" s="504"/>
      <c r="K13" s="100"/>
      <c r="L13" s="101"/>
      <c r="M13" s="101"/>
      <c r="N13" s="101"/>
      <c r="O13" s="101"/>
      <c r="P13" s="101"/>
      <c r="Q13" s="101"/>
      <c r="R13" s="101"/>
      <c r="S13" s="101"/>
      <c r="T13" s="101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 ht="15" hidden="1">
      <c r="A14" s="225"/>
      <c r="B14" s="100"/>
      <c r="C14" s="101"/>
      <c r="D14" s="101"/>
      <c r="F14" s="101"/>
      <c r="G14" s="142"/>
      <c r="H14" s="101"/>
      <c r="I14" s="142"/>
      <c r="J14" s="504"/>
      <c r="K14" s="100"/>
      <c r="M14" s="101"/>
      <c r="N14" s="101"/>
      <c r="O14" s="101"/>
      <c r="P14" s="101"/>
      <c r="Q14" s="101"/>
      <c r="R14" s="101"/>
      <c r="S14" s="101"/>
      <c r="T14" s="101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 ht="15" hidden="1">
      <c r="A15" s="225"/>
      <c r="B15" s="100"/>
      <c r="C15" s="101"/>
      <c r="D15" s="101"/>
      <c r="E15" s="142"/>
      <c r="F15" s="101"/>
      <c r="G15" s="142"/>
      <c r="H15" s="142"/>
      <c r="I15" s="142"/>
      <c r="J15" s="504"/>
      <c r="K15" s="100"/>
      <c r="L15" s="101"/>
      <c r="M15" s="101"/>
      <c r="N15" s="101"/>
      <c r="O15" s="101"/>
      <c r="P15" s="101"/>
      <c r="Q15" s="101"/>
      <c r="R15" s="101"/>
      <c r="S15" s="101"/>
      <c r="T15" s="101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48" ht="15" hidden="1">
      <c r="A16" s="225"/>
      <c r="B16" s="100"/>
      <c r="C16" s="142"/>
      <c r="D16" s="142"/>
      <c r="E16" s="142"/>
      <c r="F16" s="142"/>
      <c r="G16" s="142"/>
      <c r="H16" s="142"/>
      <c r="J16" s="504"/>
      <c r="K16" s="100"/>
      <c r="L16" s="101"/>
      <c r="M16" s="101"/>
      <c r="N16" s="101"/>
      <c r="O16" s="101"/>
      <c r="P16" s="101"/>
      <c r="Q16" s="101"/>
      <c r="R16" s="101"/>
      <c r="S16" s="101"/>
      <c r="T16" s="101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ht="15" hidden="1">
      <c r="A17" s="210"/>
      <c r="B17" s="142"/>
      <c r="C17" s="142"/>
      <c r="D17" s="142"/>
      <c r="E17" s="142"/>
      <c r="F17" s="142"/>
      <c r="G17" s="142"/>
      <c r="H17" s="14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ht="15" hidden="1">
      <c r="A18" s="210"/>
      <c r="B18" s="142"/>
      <c r="C18" s="142"/>
      <c r="D18" s="142"/>
      <c r="E18" s="142"/>
      <c r="F18" s="142"/>
      <c r="G18" s="142"/>
      <c r="H18" s="142"/>
      <c r="J18" s="101"/>
      <c r="L18" s="101"/>
      <c r="M18" s="101"/>
      <c r="N18" s="101"/>
      <c r="O18" s="101"/>
      <c r="P18" s="101"/>
      <c r="Q18" s="101"/>
      <c r="R18" s="101"/>
      <c r="S18" s="101"/>
      <c r="T18" s="101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ht="15" hidden="1">
      <c r="A19" s="210"/>
      <c r="B19" s="142"/>
      <c r="C19" s="142"/>
      <c r="D19" s="142"/>
      <c r="E19" s="142"/>
      <c r="F19" s="142"/>
      <c r="G19" s="142"/>
      <c r="H19" s="142"/>
      <c r="I19" s="142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ht="15" hidden="1">
      <c r="A20" s="210"/>
      <c r="B20" s="142"/>
      <c r="C20" s="142"/>
      <c r="D20" s="142"/>
      <c r="E20" s="142"/>
      <c r="F20" s="142"/>
      <c r="G20" s="142"/>
      <c r="H20" s="142"/>
      <c r="I20" s="142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ht="15" hidden="1">
      <c r="A21" s="210"/>
      <c r="B21" s="142"/>
      <c r="C21" s="142"/>
      <c r="D21" s="142"/>
      <c r="E21" s="142"/>
      <c r="F21" s="142"/>
      <c r="G21" s="142"/>
      <c r="H21" s="142"/>
      <c r="I21" s="142"/>
      <c r="K21" s="101"/>
      <c r="L21" s="101"/>
      <c r="M21" s="101"/>
      <c r="O21" s="101"/>
      <c r="P21" s="101"/>
      <c r="Q21" s="101"/>
      <c r="R21" s="101"/>
      <c r="S21" s="101"/>
      <c r="T21" s="101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ht="15" hidden="1">
      <c r="A22" s="210"/>
      <c r="B22" s="142"/>
      <c r="C22" s="142"/>
      <c r="D22" s="142"/>
      <c r="E22" s="142"/>
      <c r="F22" s="142"/>
      <c r="G22" s="142"/>
      <c r="H22" s="142"/>
      <c r="I22" s="142"/>
      <c r="J22" s="101"/>
      <c r="K22" s="101"/>
      <c r="L22" s="101"/>
      <c r="M22" s="101"/>
      <c r="O22" s="101"/>
      <c r="P22" s="101"/>
      <c r="Q22" s="101"/>
      <c r="R22" s="101"/>
      <c r="S22" s="101"/>
      <c r="T22" s="10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ht="15" hidden="1">
      <c r="A23" s="210"/>
      <c r="B23" s="142"/>
      <c r="C23" s="142"/>
      <c r="D23" s="142"/>
      <c r="E23" s="142"/>
      <c r="F23" s="142"/>
      <c r="G23" s="142"/>
      <c r="H23" s="142"/>
      <c r="I23" s="142"/>
      <c r="J23" s="101"/>
      <c r="K23" s="101"/>
      <c r="L23" s="101"/>
      <c r="M23" s="101"/>
      <c r="O23" s="101"/>
      <c r="P23" s="101"/>
      <c r="Q23" s="101"/>
      <c r="R23" s="101"/>
      <c r="S23" s="101"/>
      <c r="T23" s="101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ht="15" hidden="1">
      <c r="A24" s="210"/>
      <c r="B24" s="142"/>
      <c r="C24" s="142"/>
      <c r="D24" s="142"/>
      <c r="E24" s="142"/>
      <c r="F24" s="142"/>
      <c r="G24" s="142"/>
      <c r="H24" s="142"/>
      <c r="I24" s="142"/>
      <c r="J24" s="101"/>
      <c r="K24" s="101"/>
      <c r="L24" s="101"/>
      <c r="M24" s="101"/>
      <c r="O24" s="101"/>
      <c r="P24" s="101"/>
      <c r="Q24" s="101"/>
      <c r="R24" s="101"/>
      <c r="S24" s="101"/>
      <c r="T24" s="101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ht="15" hidden="1">
      <c r="A25" s="210"/>
      <c r="B25" s="142"/>
      <c r="C25" s="142"/>
      <c r="D25" s="142"/>
      <c r="E25" s="142"/>
      <c r="F25" s="142"/>
      <c r="G25" s="142"/>
      <c r="H25" s="142"/>
      <c r="I25" s="142"/>
      <c r="J25" s="101"/>
      <c r="K25" s="101"/>
      <c r="L25" s="101"/>
      <c r="M25" s="101"/>
      <c r="O25" s="101"/>
      <c r="P25" s="101"/>
      <c r="Q25" s="101"/>
      <c r="R25" s="101"/>
      <c r="S25" s="101"/>
      <c r="T25" s="10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ht="15" hidden="1">
      <c r="A26" s="210"/>
      <c r="B26" s="142"/>
      <c r="C26" s="142"/>
      <c r="D26" s="142"/>
      <c r="E26" s="142"/>
      <c r="F26" s="142"/>
      <c r="G26" s="142"/>
      <c r="H26" s="142"/>
      <c r="I26" s="142"/>
      <c r="K26" s="101"/>
      <c r="L26" s="101"/>
      <c r="M26" s="101"/>
      <c r="O26" s="101"/>
      <c r="P26" s="101"/>
      <c r="Q26" s="101"/>
      <c r="R26" s="101"/>
      <c r="S26" s="101"/>
      <c r="T26" s="101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ht="15" hidden="1">
      <c r="A27" s="210"/>
      <c r="B27" s="142"/>
      <c r="C27" s="142"/>
      <c r="D27" s="142"/>
      <c r="E27" s="142"/>
      <c r="F27" s="142"/>
      <c r="G27" s="142"/>
      <c r="H27" s="142"/>
      <c r="I27" s="142"/>
      <c r="J27" s="101"/>
      <c r="K27" s="101"/>
      <c r="L27" s="101"/>
      <c r="M27" s="101"/>
      <c r="O27" s="101"/>
      <c r="P27" s="101"/>
      <c r="Q27" s="101"/>
      <c r="R27" s="101"/>
      <c r="S27" s="101"/>
      <c r="T27" s="101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ht="15" hidden="1">
      <c r="A28" s="210"/>
      <c r="B28" s="142"/>
      <c r="C28" s="142"/>
      <c r="D28" s="142"/>
      <c r="E28" s="142"/>
      <c r="F28" s="142"/>
      <c r="G28" s="142"/>
      <c r="H28" s="142"/>
      <c r="I28" s="142"/>
      <c r="J28" s="101"/>
      <c r="K28" s="101"/>
      <c r="L28" s="101"/>
      <c r="M28" s="101"/>
      <c r="O28" s="101"/>
      <c r="P28" s="101"/>
      <c r="Q28" s="101"/>
      <c r="R28" s="101"/>
      <c r="S28" s="101"/>
      <c r="T28" s="101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ht="15">
      <c r="A29" s="258"/>
      <c r="B29" s="258"/>
      <c r="C29" s="258"/>
      <c r="D29" s="258"/>
      <c r="E29" s="258"/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258"/>
      <c r="Q29" s="258"/>
      <c r="R29" s="258"/>
      <c r="S29" s="258"/>
      <c r="T29" s="25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ht="15">
      <c r="A30" s="211"/>
      <c r="B30" s="143"/>
      <c r="C30" s="143"/>
      <c r="D30" s="143"/>
      <c r="E30" s="143"/>
      <c r="F30" s="143"/>
      <c r="G30" s="143"/>
      <c r="H30" s="143"/>
      <c r="I30" s="143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ht="15">
      <c r="A31" s="210" t="s">
        <v>293</v>
      </c>
      <c r="B31" s="142"/>
      <c r="C31" s="142"/>
      <c r="D31" s="142"/>
      <c r="E31" s="142"/>
      <c r="F31" s="142"/>
      <c r="G31" s="142"/>
      <c r="H31" s="142"/>
      <c r="I31" s="142"/>
      <c r="J31" s="101"/>
      <c r="K31" s="101"/>
      <c r="L31" s="101"/>
      <c r="M31" s="101"/>
      <c r="O31" s="101"/>
      <c r="P31" s="101"/>
      <c r="Q31" s="101"/>
      <c r="R31" s="101"/>
      <c r="S31" s="101"/>
      <c r="T31" s="10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ht="15">
      <c r="A32" s="210"/>
      <c r="B32" s="142"/>
      <c r="C32" s="142"/>
      <c r="D32" s="142"/>
      <c r="E32" s="142"/>
      <c r="F32" s="142"/>
      <c r="G32" s="142"/>
      <c r="H32" s="142"/>
      <c r="I32" s="142"/>
      <c r="J32" s="101"/>
      <c r="K32" s="101"/>
      <c r="L32" s="101" t="s">
        <v>294</v>
      </c>
      <c r="M32" s="101"/>
      <c r="N32" s="101"/>
      <c r="O32" s="101"/>
      <c r="P32" s="101"/>
      <c r="Q32" s="101"/>
      <c r="R32" s="101"/>
      <c r="S32" s="101"/>
      <c r="T32" s="10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ht="15">
      <c r="A33" s="210"/>
      <c r="B33" s="142"/>
      <c r="C33" s="142"/>
      <c r="D33" s="142"/>
      <c r="E33" s="142"/>
      <c r="F33" s="142"/>
      <c r="G33" s="142"/>
      <c r="H33" s="142"/>
      <c r="I33" s="142"/>
      <c r="J33" s="101"/>
      <c r="K33" s="101"/>
      <c r="L33" s="101" t="s">
        <v>295</v>
      </c>
      <c r="M33" s="101"/>
      <c r="N33" s="101"/>
      <c r="O33" s="101"/>
      <c r="P33" s="101"/>
      <c r="Q33" s="101"/>
      <c r="R33" s="101"/>
      <c r="S33" s="101"/>
      <c r="T33" s="10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ht="15">
      <c r="A34" s="210"/>
      <c r="B34" s="142"/>
      <c r="C34" s="142"/>
      <c r="D34" s="142"/>
      <c r="E34" s="142"/>
      <c r="F34" s="142"/>
      <c r="G34" s="142"/>
      <c r="H34" s="142"/>
      <c r="I34" s="142"/>
      <c r="J34" s="101"/>
      <c r="K34" s="101"/>
      <c r="L34" s="101" t="s">
        <v>296</v>
      </c>
      <c r="M34" s="101"/>
      <c r="O34" s="101"/>
      <c r="P34" s="101"/>
      <c r="Q34" s="101"/>
      <c r="R34" s="101"/>
      <c r="S34" s="101"/>
      <c r="T34" s="101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ht="15">
      <c r="A35" s="210"/>
      <c r="B35" s="142"/>
      <c r="C35" s="142"/>
      <c r="D35" s="142"/>
      <c r="E35" s="142"/>
      <c r="F35" s="142"/>
      <c r="G35" s="142"/>
      <c r="H35" s="142"/>
      <c r="I35" s="142"/>
      <c r="J35" s="101"/>
      <c r="K35" s="101"/>
      <c r="L35" s="142" t="s">
        <v>297</v>
      </c>
      <c r="M35" s="101"/>
      <c r="O35" s="101"/>
      <c r="P35" s="101"/>
      <c r="Q35" s="101"/>
      <c r="R35" s="101"/>
      <c r="S35" s="101"/>
      <c r="T35" s="101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ht="15">
      <c r="A36" s="210"/>
      <c r="B36" s="142"/>
      <c r="C36" s="142"/>
      <c r="D36" s="142"/>
      <c r="E36" s="142"/>
      <c r="F36" s="142"/>
      <c r="G36" s="142"/>
      <c r="H36" s="142"/>
      <c r="I36" s="142"/>
      <c r="J36" s="101"/>
      <c r="L36" s="101"/>
      <c r="M36" s="101"/>
      <c r="N36" s="101" t="s">
        <v>298</v>
      </c>
      <c r="O36" s="101"/>
      <c r="P36" s="101"/>
      <c r="Q36" s="101"/>
      <c r="R36" s="101"/>
      <c r="S36" s="101"/>
      <c r="T36" s="101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ht="15">
      <c r="A37" s="210"/>
      <c r="B37" s="142"/>
      <c r="C37" s="142"/>
      <c r="D37" s="142"/>
      <c r="E37" s="142"/>
      <c r="F37" s="142"/>
      <c r="G37" s="142"/>
      <c r="H37" s="142"/>
      <c r="I37" s="142"/>
      <c r="J37" s="101"/>
      <c r="L37" s="101"/>
      <c r="M37" s="101"/>
      <c r="N37" s="101" t="s">
        <v>359</v>
      </c>
      <c r="O37" s="101"/>
      <c r="P37" s="101"/>
      <c r="Q37" s="101"/>
      <c r="R37" s="101"/>
      <c r="S37" s="101"/>
      <c r="T37" s="101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ht="15">
      <c r="A38" s="210"/>
      <c r="B38" s="142"/>
      <c r="C38" s="142"/>
      <c r="D38" s="142"/>
      <c r="E38" s="142"/>
      <c r="F38" s="142"/>
      <c r="G38" s="142"/>
      <c r="H38" s="142"/>
      <c r="I38" s="142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ht="15" hidden="1">
      <c r="A39" s="210"/>
      <c r="B39" s="142"/>
      <c r="C39" s="142"/>
      <c r="D39" s="142"/>
      <c r="E39" s="142"/>
      <c r="F39" s="142"/>
      <c r="G39" s="142"/>
      <c r="H39" s="142"/>
      <c r="I39" s="14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ht="15" hidden="1">
      <c r="A40" s="210"/>
      <c r="B40" s="142"/>
      <c r="C40" s="142"/>
      <c r="D40" s="142"/>
      <c r="E40" s="142"/>
      <c r="F40" s="142"/>
      <c r="G40" s="142"/>
      <c r="H40" s="142"/>
      <c r="I40" s="14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ht="15" hidden="1">
      <c r="A41" s="210"/>
      <c r="B41" s="142"/>
      <c r="C41" s="142"/>
      <c r="D41" s="142"/>
      <c r="E41" s="142"/>
      <c r="F41" s="142"/>
      <c r="G41" s="142"/>
      <c r="H41" s="142"/>
      <c r="I41" s="14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1:4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1:4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1:4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1:4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1:4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1:4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1:4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1:4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1:4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1:4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1:4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1: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1:4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1:4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1:4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1:4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1:4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spans="1:4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spans="1:4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1:4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 spans="1:4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 spans="1:4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spans="1:4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spans="1:4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spans="1:4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1:4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spans="1:4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spans="1:4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spans="1:4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1:4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1:4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1:4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1:4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1:4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1:4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1:4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spans="1:4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spans="1:4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 spans="1:4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spans="1:4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 spans="1:4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 spans="1:4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 spans="1:4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 spans="1:4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 spans="1:4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 spans="1:4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 spans="1:4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 spans="1:4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 spans="1:4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 spans="1:4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 spans="1:4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 spans="1:4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 spans="1:4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 spans="1:4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 spans="1:4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 spans="1:4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 spans="1:4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 spans="1:4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 spans="1:4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 spans="1:4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 spans="1:4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 spans="1:4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 spans="1:4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 spans="1:4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 spans="1:4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 spans="1:4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 spans="1:4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 spans="1:4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 spans="1:4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 spans="1:4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 spans="1:4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 spans="1:4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 spans="1:4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 spans="1:4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 spans="1:4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 spans="1:4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 spans="1:4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 spans="1:4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 spans="1:4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 spans="1:4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 spans="1:4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 spans="1:4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 spans="1:4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 spans="1:4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 spans="1:4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 spans="1:4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 spans="1:4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 spans="1:4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 spans="1:4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 spans="1:4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 spans="1:4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 spans="1:4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 spans="1:4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 spans="1:4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 spans="1:4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 spans="1:4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 spans="1:4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 spans="1:4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 spans="1:4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 spans="1:4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 spans="1:4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 spans="1:4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 spans="1:4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 spans="1:4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 spans="1:4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 spans="1:4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 spans="1:4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 spans="1:4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 spans="1:4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 spans="1: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 spans="1:4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 spans="1:4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 spans="1:4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 spans="1:4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 spans="1:4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 spans="1:4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 spans="1:4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 spans="1:4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 spans="1:4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 spans="1:4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 spans="1:4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 spans="1:4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 spans="1:4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</sheetData>
  <mergeCells count="3">
    <mergeCell ref="K6:N6"/>
    <mergeCell ref="O6:P6"/>
    <mergeCell ref="Q6:S6"/>
  </mergeCells>
  <printOptions horizontalCentered="1"/>
  <pageMargins left="0.75" right="0.75" top="1" bottom="1" header="0.5" footer="0.5"/>
  <pageSetup scale="69" orientation="landscape" horizontalDpi="4294967292" verticalDpi="4294967292" r:id="rId1"/>
  <headerFooter alignWithMargins="0">
    <oddFooter>&amp;LRichard Bickings
&amp;D&amp;CPage &amp;P&amp;R&amp;F
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I71"/>
  <sheetViews>
    <sheetView zoomScale="75" zoomScaleNormal="25" zoomScaleSheetLayoutView="100" workbookViewId="0">
      <selection activeCell="F28" sqref="F28"/>
    </sheetView>
  </sheetViews>
  <sheetFormatPr defaultColWidth="9.109375" defaultRowHeight="13.2"/>
  <cols>
    <col min="1" max="1" width="35.33203125" style="4" customWidth="1"/>
    <col min="2" max="2" width="10.44140625" style="4" customWidth="1"/>
    <col min="3" max="3" width="9.5546875" style="4" customWidth="1"/>
    <col min="4" max="4" width="9.88671875" style="4" customWidth="1"/>
    <col min="5" max="5" width="11.88671875" style="4" customWidth="1"/>
    <col min="6" max="6" width="12.6640625" style="4" customWidth="1"/>
    <col min="7" max="7" width="12.5546875" style="4" customWidth="1"/>
    <col min="8" max="8" width="9.109375" style="4"/>
    <col min="9" max="9" width="9.88671875" style="4" customWidth="1"/>
    <col min="10" max="10" width="10.109375" style="4" customWidth="1"/>
    <col min="11" max="16384" width="9.109375" style="4"/>
  </cols>
  <sheetData>
    <row r="1" spans="1:7" ht="15.6">
      <c r="A1" s="1" t="str">
        <f>Scope!A1</f>
        <v>Santee Cooper 5 x LM6000 PC Power Project (236 MW)</v>
      </c>
      <c r="B1" s="15"/>
      <c r="C1" s="15"/>
      <c r="D1" s="15"/>
      <c r="E1" s="15"/>
      <c r="F1" s="15"/>
      <c r="G1" s="15"/>
    </row>
    <row r="2" spans="1:7" ht="15.6">
      <c r="A2" s="45" t="s">
        <v>768</v>
      </c>
      <c r="B2" s="15"/>
      <c r="C2" s="15"/>
      <c r="D2" s="15"/>
      <c r="E2" s="15"/>
      <c r="F2" s="15"/>
      <c r="G2" s="15"/>
    </row>
    <row r="3" spans="1:7" ht="15.6">
      <c r="A3" s="45" t="s">
        <v>753</v>
      </c>
      <c r="B3" s="15"/>
      <c r="C3" s="15"/>
      <c r="D3" s="15"/>
      <c r="E3" s="15"/>
      <c r="F3" s="15"/>
      <c r="G3" s="15"/>
    </row>
    <row r="4" spans="1:7" ht="13.8" thickBot="1"/>
    <row r="5" spans="1:7">
      <c r="B5" s="8"/>
      <c r="C5" s="8" t="s">
        <v>360</v>
      </c>
      <c r="D5" s="8" t="s">
        <v>361</v>
      </c>
      <c r="E5" s="8" t="s">
        <v>180</v>
      </c>
      <c r="F5" s="8" t="s">
        <v>363</v>
      </c>
    </row>
    <row r="6" spans="1:7">
      <c r="B6" s="11" t="s">
        <v>754</v>
      </c>
      <c r="C6" s="11" t="s">
        <v>365</v>
      </c>
      <c r="D6" s="11" t="s">
        <v>366</v>
      </c>
      <c r="E6" s="11" t="s">
        <v>368</v>
      </c>
      <c r="F6" s="11" t="s">
        <v>369</v>
      </c>
    </row>
    <row r="7" spans="1:7" ht="13.8" thickBot="1">
      <c r="B7" s="6" t="s">
        <v>364</v>
      </c>
      <c r="C7" s="6" t="s">
        <v>370</v>
      </c>
      <c r="D7" s="7" t="s">
        <v>371</v>
      </c>
      <c r="E7" s="7" t="s">
        <v>372</v>
      </c>
      <c r="F7" s="7" t="s">
        <v>240</v>
      </c>
    </row>
    <row r="8" spans="1:7">
      <c r="B8" s="216"/>
      <c r="C8" s="216"/>
      <c r="D8" s="216"/>
      <c r="E8" s="27"/>
      <c r="F8" s="10"/>
    </row>
    <row r="9" spans="1:7">
      <c r="A9" s="4" t="s">
        <v>1098</v>
      </c>
      <c r="B9" s="475">
        <v>1</v>
      </c>
      <c r="C9" s="152" t="s">
        <v>373</v>
      </c>
      <c r="D9" s="217">
        <v>9</v>
      </c>
      <c r="E9" s="416">
        <f t="shared" ref="E9:E15" si="0">B29/12</f>
        <v>9809.1465999999982</v>
      </c>
      <c r="F9" s="417">
        <f t="shared" ref="F9:F15" si="1">E9*D9*B9</f>
        <v>88282.319399999978</v>
      </c>
    </row>
    <row r="10" spans="1:7" hidden="1">
      <c r="A10" s="4" t="s">
        <v>755</v>
      </c>
      <c r="B10" s="475">
        <v>0</v>
      </c>
      <c r="C10" s="152" t="s">
        <v>374</v>
      </c>
      <c r="D10" s="217">
        <v>6</v>
      </c>
      <c r="E10" s="416">
        <f t="shared" si="0"/>
        <v>9809.1465999999982</v>
      </c>
      <c r="F10" s="417">
        <f t="shared" si="1"/>
        <v>0</v>
      </c>
    </row>
    <row r="11" spans="1:7" hidden="1">
      <c r="A11" s="4" t="s">
        <v>756</v>
      </c>
      <c r="B11" s="475">
        <v>0</v>
      </c>
      <c r="C11" s="152" t="s">
        <v>375</v>
      </c>
      <c r="D11" s="217">
        <v>5</v>
      </c>
      <c r="E11" s="416">
        <f t="shared" si="0"/>
        <v>6531.7185999999992</v>
      </c>
      <c r="F11" s="417">
        <f t="shared" si="1"/>
        <v>0</v>
      </c>
    </row>
    <row r="12" spans="1:7" hidden="1">
      <c r="A12" s="4" t="s">
        <v>757</v>
      </c>
      <c r="B12" s="475">
        <v>0</v>
      </c>
      <c r="C12" s="152" t="s">
        <v>758</v>
      </c>
      <c r="D12" s="217">
        <v>7</v>
      </c>
      <c r="E12" s="416">
        <f t="shared" si="0"/>
        <v>3427.526080000001</v>
      </c>
      <c r="F12" s="417">
        <f t="shared" si="1"/>
        <v>0</v>
      </c>
    </row>
    <row r="13" spans="1:7" hidden="1">
      <c r="A13" s="4" t="s">
        <v>759</v>
      </c>
      <c r="B13" s="475">
        <v>0</v>
      </c>
      <c r="C13" s="152" t="s">
        <v>375</v>
      </c>
      <c r="D13" s="217">
        <v>6</v>
      </c>
      <c r="E13" s="416">
        <f t="shared" si="0"/>
        <v>6953.1021999999984</v>
      </c>
      <c r="F13" s="417">
        <f t="shared" si="1"/>
        <v>0</v>
      </c>
    </row>
    <row r="14" spans="1:7">
      <c r="A14" s="4" t="s">
        <v>760</v>
      </c>
      <c r="B14" s="475">
        <v>2</v>
      </c>
      <c r="C14" s="152" t="s">
        <v>758</v>
      </c>
      <c r="D14" s="217">
        <v>5</v>
      </c>
      <c r="E14" s="416">
        <f t="shared" si="0"/>
        <v>5712.3616000000002</v>
      </c>
      <c r="F14" s="417">
        <f t="shared" si="1"/>
        <v>57123.616000000002</v>
      </c>
    </row>
    <row r="15" spans="1:7" hidden="1">
      <c r="A15" s="4" t="s">
        <v>1407</v>
      </c>
      <c r="B15" s="475">
        <v>0</v>
      </c>
      <c r="C15" s="152" t="s">
        <v>758</v>
      </c>
      <c r="D15" s="217">
        <v>5</v>
      </c>
      <c r="E15" s="416">
        <f t="shared" si="0"/>
        <v>4340.5238800000006</v>
      </c>
      <c r="F15" s="417">
        <f t="shared" si="1"/>
        <v>0</v>
      </c>
    </row>
    <row r="16" spans="1:7" ht="13.8" thickBot="1">
      <c r="B16" s="7"/>
      <c r="C16" s="14"/>
      <c r="D16" s="7"/>
      <c r="E16" s="418"/>
      <c r="F16" s="419"/>
    </row>
    <row r="17" spans="1:35">
      <c r="B17" s="12"/>
      <c r="C17" s="12"/>
      <c r="D17" s="12"/>
      <c r="E17" s="420"/>
      <c r="F17" s="420"/>
    </row>
    <row r="18" spans="1:35" ht="13.8" thickBot="1">
      <c r="A18" s="23"/>
      <c r="B18" s="12"/>
      <c r="C18" s="12"/>
      <c r="D18" s="12"/>
      <c r="E18" s="421"/>
      <c r="F18" s="420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35" ht="13.8" thickBot="1">
      <c r="A19" s="4" t="s">
        <v>376</v>
      </c>
      <c r="B19" s="26">
        <f>SUM(B8:B16)</f>
        <v>3</v>
      </c>
      <c r="C19" s="30"/>
      <c r="D19" s="212"/>
      <c r="E19" s="422"/>
      <c r="F19" s="423">
        <f>SUM(F9:F16)</f>
        <v>145405.93539999999</v>
      </c>
    </row>
    <row r="20" spans="1:35">
      <c r="B20" s="15"/>
      <c r="E20" s="15"/>
    </row>
    <row r="21" spans="1:35">
      <c r="A21" s="4" t="s">
        <v>761</v>
      </c>
      <c r="B21" s="15"/>
      <c r="E21" s="15"/>
    </row>
    <row r="22" spans="1:35">
      <c r="B22" s="15"/>
      <c r="E22" s="15"/>
    </row>
    <row r="23" spans="1:35">
      <c r="A23" s="4" t="s">
        <v>762</v>
      </c>
      <c r="B23" s="15"/>
      <c r="E23" s="15"/>
    </row>
    <row r="24" spans="1:35">
      <c r="B24" s="15"/>
      <c r="E24" s="15"/>
    </row>
    <row r="25" spans="1:35">
      <c r="A25" s="4" t="s">
        <v>763</v>
      </c>
      <c r="B25" s="15" t="s">
        <v>764</v>
      </c>
      <c r="C25" s="4" t="s">
        <v>252</v>
      </c>
      <c r="E25" s="15"/>
    </row>
    <row r="26" spans="1:35">
      <c r="B26" s="15" t="s">
        <v>1095</v>
      </c>
      <c r="C26" s="4" t="s">
        <v>685</v>
      </c>
      <c r="E26" s="15"/>
    </row>
    <row r="27" spans="1:35">
      <c r="A27" s="4" t="s">
        <v>606</v>
      </c>
      <c r="B27" s="15" t="s">
        <v>765</v>
      </c>
      <c r="C27" s="18">
        <v>2080</v>
      </c>
      <c r="E27" s="15"/>
    </row>
    <row r="28" spans="1:35">
      <c r="B28" s="15"/>
      <c r="E28" s="15"/>
    </row>
    <row r="29" spans="1:35">
      <c r="A29" s="4" t="str">
        <f t="shared" ref="A29:A35" si="2">A9</f>
        <v>PLANT MANAGER</v>
      </c>
      <c r="B29" s="424">
        <f>I46*C$27</f>
        <v>117709.75919999997</v>
      </c>
      <c r="E29" s="15"/>
    </row>
    <row r="30" spans="1:35" hidden="1">
      <c r="A30" s="4" t="str">
        <f t="shared" si="2"/>
        <v>MAINTENANCE MANAGER</v>
      </c>
      <c r="B30" s="424">
        <f>I47*C$27</f>
        <v>117709.75919999997</v>
      </c>
      <c r="E30" s="15"/>
    </row>
    <row r="31" spans="1:35" hidden="1">
      <c r="A31" s="4" t="str">
        <f t="shared" si="2"/>
        <v xml:space="preserve">PURCHASING / WAREHOUSE </v>
      </c>
      <c r="B31" s="424">
        <f>I48*C$27</f>
        <v>78380.623199999987</v>
      </c>
    </row>
    <row r="32" spans="1:35" hidden="1">
      <c r="A32" s="4" t="str">
        <f t="shared" si="2"/>
        <v>CLERK</v>
      </c>
      <c r="B32" s="424">
        <f>I49*C$27</f>
        <v>41130.31296000001</v>
      </c>
    </row>
    <row r="33" spans="1:12" hidden="1">
      <c r="A33" s="4" t="str">
        <f t="shared" si="2"/>
        <v>PLANT SUPERVISOR</v>
      </c>
      <c r="B33" s="424">
        <f>I51*C$27</f>
        <v>83437.226399999985</v>
      </c>
    </row>
    <row r="34" spans="1:12">
      <c r="A34" s="4" t="str">
        <f t="shared" si="2"/>
        <v>TECHNICIAN III</v>
      </c>
      <c r="B34" s="424">
        <f>I52*C$27</f>
        <v>68548.339200000002</v>
      </c>
    </row>
    <row r="35" spans="1:12" hidden="1">
      <c r="A35" s="4" t="str">
        <f t="shared" si="2"/>
        <v>TECHNICIAN II</v>
      </c>
      <c r="B35" s="424">
        <f>I53*C$27</f>
        <v>52086.286560000008</v>
      </c>
    </row>
    <row r="36" spans="1:12" ht="15.6">
      <c r="A36" s="382"/>
      <c r="B36" s="186"/>
      <c r="C36" s="186"/>
      <c r="D36" s="186"/>
      <c r="E36" s="3"/>
      <c r="F36" s="186"/>
      <c r="G36" s="186"/>
      <c r="H36" s="3"/>
      <c r="I36"/>
      <c r="J36"/>
      <c r="K36"/>
      <c r="L36"/>
    </row>
    <row r="37" spans="1:12" ht="15.6">
      <c r="A37" s="382" t="s">
        <v>721</v>
      </c>
      <c r="B37" s="186"/>
      <c r="C37" s="186"/>
      <c r="D37" s="186"/>
      <c r="E37" s="3"/>
      <c r="F37" s="186"/>
      <c r="G37" s="186"/>
      <c r="H37" s="3"/>
      <c r="I37"/>
      <c r="J37"/>
      <c r="K37"/>
      <c r="L37"/>
    </row>
    <row r="38" spans="1:12" ht="15.6">
      <c r="A38" s="382" t="s">
        <v>722</v>
      </c>
      <c r="B38" s="186"/>
      <c r="C38" s="186"/>
      <c r="D38" s="186"/>
      <c r="E38" s="3"/>
      <c r="F38" s="186"/>
      <c r="G38" s="186"/>
      <c r="H38" s="186"/>
      <c r="I38"/>
      <c r="J38"/>
      <c r="K38"/>
      <c r="L38"/>
    </row>
    <row r="39" spans="1:12">
      <c r="A39" s="383"/>
      <c r="B39" s="383"/>
      <c r="C39" s="383"/>
      <c r="D39" s="383"/>
      <c r="E39" s="384"/>
      <c r="F39" s="383"/>
      <c r="G39" s="187"/>
      <c r="H39" s="187"/>
      <c r="I39"/>
      <c r="J39"/>
      <c r="K39"/>
      <c r="L39"/>
    </row>
    <row r="40" spans="1:12">
      <c r="A40" s="385"/>
      <c r="B40" s="386"/>
      <c r="C40" s="387"/>
      <c r="D40" s="387"/>
      <c r="E40" s="387"/>
      <c r="F40" s="387"/>
      <c r="G40" s="388"/>
      <c r="H40" s="355"/>
      <c r="I40" s="388"/>
      <c r="J40" s="355"/>
      <c r="K40"/>
      <c r="L40"/>
    </row>
    <row r="41" spans="1:12">
      <c r="A41" s="390"/>
      <c r="B41" s="391" t="s">
        <v>724</v>
      </c>
      <c r="C41" s="392" t="s">
        <v>725</v>
      </c>
      <c r="D41" s="392" t="s">
        <v>726</v>
      </c>
      <c r="E41" s="392"/>
      <c r="F41" s="391" t="s">
        <v>727</v>
      </c>
      <c r="G41" s="393" t="s">
        <v>728</v>
      </c>
      <c r="H41" s="224"/>
      <c r="I41" s="396"/>
      <c r="J41" s="436" t="s">
        <v>724</v>
      </c>
      <c r="K41"/>
      <c r="L41"/>
    </row>
    <row r="42" spans="1:12">
      <c r="A42" s="390" t="s">
        <v>730</v>
      </c>
      <c r="B42" s="391" t="s">
        <v>731</v>
      </c>
      <c r="C42" s="395" t="s">
        <v>984</v>
      </c>
      <c r="D42" s="395" t="s">
        <v>732</v>
      </c>
      <c r="E42" s="395" t="s">
        <v>733</v>
      </c>
      <c r="F42" s="391" t="s">
        <v>734</v>
      </c>
      <c r="G42" s="396" t="s">
        <v>735</v>
      </c>
      <c r="H42" s="397" t="s">
        <v>736</v>
      </c>
      <c r="I42" s="396" t="s">
        <v>682</v>
      </c>
      <c r="J42" s="436" t="s">
        <v>252</v>
      </c>
      <c r="K42"/>
      <c r="L42"/>
    </row>
    <row r="43" spans="1:12">
      <c r="A43" s="390" t="s">
        <v>739</v>
      </c>
      <c r="B43" s="391" t="s">
        <v>740</v>
      </c>
      <c r="C43" s="391" t="s">
        <v>741</v>
      </c>
      <c r="D43" s="391" t="s">
        <v>734</v>
      </c>
      <c r="E43" s="391" t="s">
        <v>742</v>
      </c>
      <c r="F43" s="391" t="s">
        <v>743</v>
      </c>
      <c r="G43" s="393" t="s">
        <v>734</v>
      </c>
      <c r="H43" s="224"/>
      <c r="I43" s="396" t="s">
        <v>362</v>
      </c>
      <c r="J43" s="436" t="s">
        <v>367</v>
      </c>
      <c r="K43"/>
      <c r="L43"/>
    </row>
    <row r="44" spans="1:12">
      <c r="A44" s="390"/>
      <c r="B44" s="391"/>
      <c r="C44" s="425">
        <v>0.1434</v>
      </c>
      <c r="D44" s="425">
        <v>7.7799999999999994E-2</v>
      </c>
      <c r="E44" s="426">
        <v>0.12</v>
      </c>
      <c r="F44" s="427">
        <v>440.66</v>
      </c>
      <c r="G44" s="428">
        <v>0.01</v>
      </c>
      <c r="H44" s="429">
        <v>0.05</v>
      </c>
      <c r="I44" s="402"/>
      <c r="J44" s="437"/>
      <c r="K44"/>
      <c r="L44"/>
    </row>
    <row r="45" spans="1:12" ht="15.6">
      <c r="A45" s="403" t="s">
        <v>1069</v>
      </c>
      <c r="B45" s="404"/>
      <c r="C45" s="404"/>
      <c r="D45" s="405"/>
      <c r="E45" s="405"/>
      <c r="F45" s="404"/>
      <c r="G45" s="405"/>
      <c r="H45" s="205"/>
      <c r="I45" s="405"/>
      <c r="J45" s="205"/>
      <c r="K45"/>
      <c r="L45"/>
    </row>
    <row r="46" spans="1:12">
      <c r="A46" s="348" t="str">
        <f>A9</f>
        <v>PLANT MANAGER</v>
      </c>
      <c r="B46" s="430">
        <f>80000/2080</f>
        <v>38.46153846153846</v>
      </c>
      <c r="C46" s="415">
        <f t="shared" ref="C46:E49" si="3">$B46*C$44</f>
        <v>5.5153846153846153</v>
      </c>
      <c r="D46" s="415">
        <f t="shared" si="3"/>
        <v>2.9923076923076919</v>
      </c>
      <c r="E46" s="415">
        <f t="shared" si="3"/>
        <v>4.615384615384615</v>
      </c>
      <c r="F46" s="415">
        <f>$F$44*12/2080</f>
        <v>2.5422692307692309</v>
      </c>
      <c r="G46" s="415">
        <f>SUM(B46:F46)*G$44</f>
        <v>0.54126884615384607</v>
      </c>
      <c r="H46" s="415">
        <f>$B46*H$44</f>
        <v>1.9230769230769231</v>
      </c>
      <c r="I46" s="415">
        <f>SUM(B46:H46)</f>
        <v>56.591230384615372</v>
      </c>
      <c r="J46" s="431">
        <f>B46*2080</f>
        <v>80000</v>
      </c>
      <c r="K46"/>
      <c r="L46"/>
    </row>
    <row r="47" spans="1:12" hidden="1">
      <c r="A47" s="348" t="str">
        <f>A10</f>
        <v>MAINTENANCE MANAGER</v>
      </c>
      <c r="B47" s="432">
        <f>80000/2080</f>
        <v>38.46153846153846</v>
      </c>
      <c r="C47" s="415">
        <f t="shared" si="3"/>
        <v>5.5153846153846153</v>
      </c>
      <c r="D47" s="415">
        <f t="shared" si="3"/>
        <v>2.9923076923076919</v>
      </c>
      <c r="E47" s="415">
        <f t="shared" si="3"/>
        <v>4.615384615384615</v>
      </c>
      <c r="F47" s="415">
        <f>$F$44*12/2080</f>
        <v>2.5422692307692309</v>
      </c>
      <c r="G47" s="415">
        <f>SUM(B47:F47)*G$44</f>
        <v>0.54126884615384607</v>
      </c>
      <c r="H47" s="415">
        <f>$B47*H$44</f>
        <v>1.9230769230769231</v>
      </c>
      <c r="I47" s="415">
        <f>SUM(B47:H47)</f>
        <v>56.591230384615372</v>
      </c>
      <c r="J47" s="431">
        <f>B47*2080</f>
        <v>80000</v>
      </c>
      <c r="K47"/>
      <c r="L47"/>
    </row>
    <row r="48" spans="1:12" hidden="1">
      <c r="A48" s="348" t="str">
        <f>A11</f>
        <v xml:space="preserve">PURCHASING / WAREHOUSE </v>
      </c>
      <c r="B48" s="430">
        <v>25</v>
      </c>
      <c r="C48" s="415">
        <f t="shared" si="3"/>
        <v>3.585</v>
      </c>
      <c r="D48" s="415">
        <f t="shared" si="3"/>
        <v>1.9449999999999998</v>
      </c>
      <c r="E48" s="415">
        <f t="shared" si="3"/>
        <v>3</v>
      </c>
      <c r="F48" s="415">
        <f>$F$44*12/2080</f>
        <v>2.5422692307692309</v>
      </c>
      <c r="G48" s="415">
        <f>SUM(B48:F48)*G$44</f>
        <v>0.36072269230769233</v>
      </c>
      <c r="H48" s="415">
        <f>$B48*H$44</f>
        <v>1.25</v>
      </c>
      <c r="I48" s="415">
        <f>SUM(B48:H48)</f>
        <v>37.682991923076919</v>
      </c>
      <c r="J48" s="431">
        <f>B48*2080</f>
        <v>52000</v>
      </c>
      <c r="K48"/>
      <c r="L48"/>
    </row>
    <row r="49" spans="1:12" hidden="1">
      <c r="A49" s="348" t="str">
        <f>A12</f>
        <v>CLERK</v>
      </c>
      <c r="B49" s="430">
        <v>12.25</v>
      </c>
      <c r="C49" s="415">
        <f t="shared" si="3"/>
        <v>1.75665</v>
      </c>
      <c r="D49" s="415">
        <f t="shared" si="3"/>
        <v>0.95304999999999995</v>
      </c>
      <c r="E49" s="415">
        <f t="shared" si="3"/>
        <v>1.47</v>
      </c>
      <c r="F49" s="415">
        <f>$F$44*12/2080</f>
        <v>2.5422692307692309</v>
      </c>
      <c r="G49" s="415">
        <f>SUM(B49:F49)*G$44</f>
        <v>0.18971969230769234</v>
      </c>
      <c r="H49" s="415">
        <f>$B49*H$44</f>
        <v>0.61250000000000004</v>
      </c>
      <c r="I49" s="415">
        <f>SUM(B49:H49)</f>
        <v>19.774188923076927</v>
      </c>
      <c r="J49" s="431">
        <f>B49*2080</f>
        <v>25480</v>
      </c>
      <c r="K49"/>
      <c r="L49"/>
    </row>
    <row r="50" spans="1:12" ht="15.6">
      <c r="A50" s="403" t="s">
        <v>766</v>
      </c>
      <c r="B50" s="433"/>
      <c r="C50" s="179"/>
      <c r="D50" s="179"/>
      <c r="E50" s="179"/>
      <c r="F50" s="179"/>
      <c r="G50" s="179"/>
      <c r="H50" s="179"/>
      <c r="I50" s="179"/>
      <c r="J50" s="179"/>
      <c r="K50"/>
      <c r="L50"/>
    </row>
    <row r="51" spans="1:12" hidden="1">
      <c r="A51" s="348" t="str">
        <f>A13</f>
        <v>PLANT SUPERVISOR</v>
      </c>
      <c r="B51" s="430">
        <f>55600/2080</f>
        <v>26.73076923076923</v>
      </c>
      <c r="C51" s="415">
        <f t="shared" ref="C51:E53" si="4">$B51*C$44</f>
        <v>3.8331923076923076</v>
      </c>
      <c r="D51" s="415">
        <f t="shared" si="4"/>
        <v>2.0796538461538461</v>
      </c>
      <c r="E51" s="415">
        <f t="shared" si="4"/>
        <v>3.2076923076923074</v>
      </c>
      <c r="F51" s="415">
        <f>$F$44*12/2080</f>
        <v>2.5422692307692309</v>
      </c>
      <c r="G51" s="415">
        <f>SUM(B51:F51)*G$44</f>
        <v>0.38393576923076922</v>
      </c>
      <c r="H51" s="415">
        <f>$B51*H$44</f>
        <v>1.3365384615384617</v>
      </c>
      <c r="I51" s="415">
        <f>SUM(B51:H51)</f>
        <v>40.114051153846148</v>
      </c>
      <c r="J51" s="431">
        <f>B51*2080</f>
        <v>55600</v>
      </c>
      <c r="K51"/>
      <c r="L51"/>
    </row>
    <row r="52" spans="1:12">
      <c r="A52" s="348" t="str">
        <f>A14</f>
        <v>TECHNICIAN III</v>
      </c>
      <c r="B52" s="430">
        <f>45000/2080</f>
        <v>21.634615384615383</v>
      </c>
      <c r="C52" s="415">
        <f t="shared" si="4"/>
        <v>3.1024038461538459</v>
      </c>
      <c r="D52" s="415">
        <f t="shared" si="4"/>
        <v>1.6831730769230766</v>
      </c>
      <c r="E52" s="415">
        <f t="shared" si="4"/>
        <v>2.5961538461538458</v>
      </c>
      <c r="F52" s="415">
        <f>$F$44*12/2080</f>
        <v>2.5422692307692309</v>
      </c>
      <c r="G52" s="415">
        <f>SUM(B52:F52)*G$44</f>
        <v>0.31558615384615385</v>
      </c>
      <c r="H52" s="415">
        <f>$B52*H$44</f>
        <v>1.0817307692307692</v>
      </c>
      <c r="I52" s="415">
        <f>SUM(B52:H52)</f>
        <v>32.955932307692308</v>
      </c>
      <c r="J52" s="431">
        <f>B52*2080</f>
        <v>45000</v>
      </c>
      <c r="K52"/>
      <c r="L52"/>
    </row>
    <row r="53" spans="1:12" hidden="1">
      <c r="A53" s="348" t="str">
        <f>A15</f>
        <v>TECHNICIAN II</v>
      </c>
      <c r="B53" s="430">
        <v>16</v>
      </c>
      <c r="C53" s="415">
        <f t="shared" si="4"/>
        <v>2.2944</v>
      </c>
      <c r="D53" s="415">
        <f t="shared" si="4"/>
        <v>1.2447999999999999</v>
      </c>
      <c r="E53" s="415">
        <f t="shared" si="4"/>
        <v>1.92</v>
      </c>
      <c r="F53" s="415">
        <f>$F$44*12/2080</f>
        <v>2.5422692307692309</v>
      </c>
      <c r="G53" s="415">
        <f>SUM(B53:F53)*G$44</f>
        <v>0.24001469230769235</v>
      </c>
      <c r="H53" s="415">
        <f>$B53*H$44</f>
        <v>0.8</v>
      </c>
      <c r="I53" s="415">
        <f>SUM(B53:H53)</f>
        <v>25.041483923076928</v>
      </c>
      <c r="J53" s="431">
        <f>B53*2080</f>
        <v>33280</v>
      </c>
      <c r="K53"/>
      <c r="L53"/>
    </row>
    <row r="54" spans="1:12">
      <c r="A54"/>
      <c r="B54"/>
      <c r="C54"/>
      <c r="D54"/>
      <c r="E54"/>
      <c r="F54"/>
      <c r="G54"/>
      <c r="H54"/>
      <c r="I54"/>
      <c r="J54"/>
      <c r="K54"/>
      <c r="L54"/>
    </row>
    <row r="55" spans="1:12" ht="15.6">
      <c r="A55" s="382" t="s">
        <v>750</v>
      </c>
      <c r="B55" s="186"/>
      <c r="C55" s="186"/>
      <c r="D55" s="186"/>
      <c r="E55" s="3"/>
      <c r="F55" s="186"/>
      <c r="G55"/>
      <c r="H55" s="186"/>
      <c r="I55" s="3"/>
      <c r="J55"/>
      <c r="K55"/>
      <c r="L55"/>
    </row>
    <row r="56" spans="1:12" ht="15.6">
      <c r="A56" s="382" t="s">
        <v>722</v>
      </c>
      <c r="B56" s="186"/>
      <c r="C56" s="186"/>
      <c r="D56" s="186"/>
      <c r="E56" s="3"/>
      <c r="F56" s="186"/>
      <c r="G56"/>
      <c r="H56" s="186"/>
      <c r="I56" s="186"/>
      <c r="J56"/>
      <c r="K56"/>
      <c r="L56"/>
    </row>
    <row r="57" spans="1:12">
      <c r="A57" s="383"/>
      <c r="B57" s="383"/>
      <c r="C57" s="383"/>
      <c r="D57" s="383"/>
      <c r="E57" s="384"/>
      <c r="F57" s="383"/>
      <c r="G57"/>
      <c r="H57" s="187"/>
      <c r="I57" s="187"/>
      <c r="J57"/>
      <c r="K57"/>
      <c r="L57"/>
    </row>
    <row r="58" spans="1:12">
      <c r="A58" s="385"/>
      <c r="B58" s="386"/>
      <c r="C58" s="387"/>
      <c r="D58" s="387"/>
      <c r="E58" s="387"/>
      <c r="F58" s="387"/>
      <c r="G58" s="388"/>
      <c r="H58" s="355"/>
      <c r="I58" s="389"/>
      <c r="J58"/>
      <c r="K58"/>
      <c r="L58"/>
    </row>
    <row r="59" spans="1:12">
      <c r="A59" s="390"/>
      <c r="B59" s="391" t="s">
        <v>724</v>
      </c>
      <c r="C59" s="392" t="s">
        <v>725</v>
      </c>
      <c r="D59" s="392" t="s">
        <v>726</v>
      </c>
      <c r="E59" s="392"/>
      <c r="F59" s="391" t="s">
        <v>727</v>
      </c>
      <c r="G59" s="393" t="s">
        <v>728</v>
      </c>
      <c r="H59" s="224"/>
      <c r="I59" s="394"/>
      <c r="J59"/>
      <c r="K59"/>
      <c r="L59"/>
    </row>
    <row r="60" spans="1:12">
      <c r="A60" s="390" t="s">
        <v>730</v>
      </c>
      <c r="B60" s="391" t="s">
        <v>731</v>
      </c>
      <c r="C60" s="395" t="s">
        <v>984</v>
      </c>
      <c r="D60" s="395" t="s">
        <v>732</v>
      </c>
      <c r="E60" s="395" t="s">
        <v>733</v>
      </c>
      <c r="F60" s="391" t="s">
        <v>734</v>
      </c>
      <c r="G60" s="396" t="s">
        <v>735</v>
      </c>
      <c r="H60" s="397" t="s">
        <v>736</v>
      </c>
      <c r="I60" s="394" t="s">
        <v>682</v>
      </c>
      <c r="J60"/>
      <c r="K60"/>
      <c r="L60"/>
    </row>
    <row r="61" spans="1:12">
      <c r="A61" s="390" t="s">
        <v>739</v>
      </c>
      <c r="B61" s="391" t="s">
        <v>740</v>
      </c>
      <c r="C61" s="391" t="s">
        <v>741</v>
      </c>
      <c r="D61" s="391" t="s">
        <v>734</v>
      </c>
      <c r="E61" s="391" t="s">
        <v>742</v>
      </c>
      <c r="F61" s="391" t="s">
        <v>743</v>
      </c>
      <c r="G61" s="393" t="s">
        <v>734</v>
      </c>
      <c r="H61" s="224"/>
      <c r="I61" s="394" t="s">
        <v>362</v>
      </c>
      <c r="J61"/>
      <c r="K61"/>
      <c r="L61"/>
    </row>
    <row r="62" spans="1:12">
      <c r="A62" s="390"/>
      <c r="B62" s="391"/>
      <c r="C62" s="398">
        <f>C$44</f>
        <v>0.1434</v>
      </c>
      <c r="D62" s="398">
        <f>D$44</f>
        <v>7.7799999999999994E-2</v>
      </c>
      <c r="E62" s="434">
        <f>E$44</f>
        <v>0.12</v>
      </c>
      <c r="F62" s="435">
        <v>0</v>
      </c>
      <c r="G62" s="398">
        <f>G$44</f>
        <v>0.01</v>
      </c>
      <c r="H62" s="429">
        <v>0</v>
      </c>
      <c r="I62" s="402"/>
      <c r="J62"/>
      <c r="K62"/>
      <c r="L62"/>
    </row>
    <row r="63" spans="1:12" ht="15.6">
      <c r="A63" s="403" t="s">
        <v>1069</v>
      </c>
      <c r="B63" s="404"/>
      <c r="C63" s="404"/>
      <c r="D63" s="405"/>
      <c r="E63" s="405"/>
      <c r="F63" s="404"/>
      <c r="G63" s="405"/>
      <c r="H63" s="205"/>
      <c r="I63" s="405"/>
      <c r="J63"/>
      <c r="K63"/>
      <c r="L63"/>
    </row>
    <row r="64" spans="1:12">
      <c r="A64" s="348" t="str">
        <f>A46</f>
        <v>PLANT MANAGER</v>
      </c>
      <c r="B64" s="414">
        <f>B46*1.5</f>
        <v>57.692307692307693</v>
      </c>
      <c r="C64" s="415">
        <f t="shared" ref="C64:E67" si="5">$B64*C$62</f>
        <v>8.273076923076923</v>
      </c>
      <c r="D64" s="415">
        <f t="shared" si="5"/>
        <v>4.4884615384615385</v>
      </c>
      <c r="E64" s="415">
        <f t="shared" si="5"/>
        <v>6.9230769230769234</v>
      </c>
      <c r="F64" s="415">
        <f>$F$62*12/2080</f>
        <v>0</v>
      </c>
      <c r="G64" s="415">
        <f>SUM(B64:F64)*G$62</f>
        <v>0.77376923076923076</v>
      </c>
      <c r="H64" s="415">
        <f>$B64*H$62</f>
        <v>0</v>
      </c>
      <c r="I64" s="415">
        <f>SUM(B64:H64)</f>
        <v>78.15069230769231</v>
      </c>
      <c r="J64"/>
      <c r="K64"/>
      <c r="L64"/>
    </row>
    <row r="65" spans="1:12" hidden="1">
      <c r="A65" s="348" t="str">
        <f>A47</f>
        <v>MAINTENANCE MANAGER</v>
      </c>
      <c r="B65" s="414">
        <f>B47*1.5</f>
        <v>57.692307692307693</v>
      </c>
      <c r="C65" s="415">
        <f t="shared" si="5"/>
        <v>8.273076923076923</v>
      </c>
      <c r="D65" s="415">
        <f t="shared" si="5"/>
        <v>4.4884615384615385</v>
      </c>
      <c r="E65" s="415">
        <f t="shared" si="5"/>
        <v>6.9230769230769234</v>
      </c>
      <c r="F65" s="415">
        <f>$F$62*12/2080</f>
        <v>0</v>
      </c>
      <c r="G65" s="415">
        <f>SUM(B65:F65)*G$62</f>
        <v>0.77376923076923076</v>
      </c>
      <c r="H65" s="415">
        <f>$B65*H$62</f>
        <v>0</v>
      </c>
      <c r="I65" s="415">
        <f>SUM(B65:H65)</f>
        <v>78.15069230769231</v>
      </c>
      <c r="J65"/>
      <c r="K65"/>
      <c r="L65"/>
    </row>
    <row r="66" spans="1:12" hidden="1">
      <c r="A66" s="348" t="str">
        <f>A48</f>
        <v xml:space="preserve">PURCHASING / WAREHOUSE </v>
      </c>
      <c r="B66" s="414">
        <f>B48*1.5</f>
        <v>37.5</v>
      </c>
      <c r="C66" s="415">
        <f t="shared" si="5"/>
        <v>5.3775000000000004</v>
      </c>
      <c r="D66" s="415">
        <f t="shared" si="5"/>
        <v>2.9175</v>
      </c>
      <c r="E66" s="415">
        <f t="shared" si="5"/>
        <v>4.5</v>
      </c>
      <c r="F66" s="415">
        <f>$F$62*12/2080</f>
        <v>0</v>
      </c>
      <c r="G66" s="415">
        <f>SUM(B66:F66)*G$62</f>
        <v>0.50295000000000001</v>
      </c>
      <c r="H66" s="415">
        <f>$B66*H$62</f>
        <v>0</v>
      </c>
      <c r="I66" s="415">
        <f>SUM(B66:H66)</f>
        <v>50.797949999999993</v>
      </c>
      <c r="J66"/>
      <c r="K66"/>
      <c r="L66"/>
    </row>
    <row r="67" spans="1:12" hidden="1">
      <c r="A67" s="348" t="str">
        <f>A49</f>
        <v>CLERK</v>
      </c>
      <c r="B67" s="414">
        <f>B49*1.5</f>
        <v>18.375</v>
      </c>
      <c r="C67" s="415">
        <f t="shared" si="5"/>
        <v>2.6349749999999998</v>
      </c>
      <c r="D67" s="415">
        <f t="shared" si="5"/>
        <v>1.4295749999999998</v>
      </c>
      <c r="E67" s="415">
        <f t="shared" si="5"/>
        <v>2.2050000000000001</v>
      </c>
      <c r="F67" s="415">
        <f>$F$62*12/2080</f>
        <v>0</v>
      </c>
      <c r="G67" s="415">
        <f>SUM(B67:F67)*G$62</f>
        <v>0.24644550000000004</v>
      </c>
      <c r="H67" s="415">
        <f>$B67*H$62</f>
        <v>0</v>
      </c>
      <c r="I67" s="415">
        <f>SUM(B67:H67)</f>
        <v>24.890995500000002</v>
      </c>
      <c r="J67"/>
      <c r="K67"/>
      <c r="L67"/>
    </row>
    <row r="68" spans="1:12" ht="15.6">
      <c r="A68" s="403" t="s">
        <v>766</v>
      </c>
      <c r="B68" s="414"/>
      <c r="C68" s="415"/>
      <c r="D68" s="415"/>
      <c r="E68" s="415"/>
      <c r="F68" s="415"/>
      <c r="G68" s="415"/>
      <c r="H68" s="415"/>
      <c r="I68" s="415"/>
      <c r="J68"/>
      <c r="K68"/>
      <c r="L68"/>
    </row>
    <row r="69" spans="1:12" hidden="1">
      <c r="A69" s="348" t="str">
        <f>A51</f>
        <v>PLANT SUPERVISOR</v>
      </c>
      <c r="B69" s="414">
        <f>B51*1.5</f>
        <v>40.096153846153847</v>
      </c>
      <c r="C69" s="415">
        <f t="shared" ref="C69:E71" si="6">$B69*C$62</f>
        <v>5.7497884615384613</v>
      </c>
      <c r="D69" s="415">
        <f t="shared" si="6"/>
        <v>3.1194807692307691</v>
      </c>
      <c r="E69" s="415">
        <f t="shared" si="6"/>
        <v>4.8115384615384613</v>
      </c>
      <c r="F69" s="415">
        <f>$F$62*12/2080</f>
        <v>0</v>
      </c>
      <c r="G69" s="415">
        <f>SUM(B69:F69)*G$62</f>
        <v>0.53776961538461543</v>
      </c>
      <c r="H69" s="415">
        <f>$B69*H$62</f>
        <v>0</v>
      </c>
      <c r="I69" s="415">
        <f>SUM(B69:H69)</f>
        <v>54.314731153846161</v>
      </c>
      <c r="J69"/>
      <c r="K69"/>
      <c r="L69"/>
    </row>
    <row r="70" spans="1:12">
      <c r="A70" s="348" t="str">
        <f>A52</f>
        <v>TECHNICIAN III</v>
      </c>
      <c r="B70" s="414">
        <f>B52*1.5</f>
        <v>32.451923076923073</v>
      </c>
      <c r="C70" s="415">
        <f t="shared" si="6"/>
        <v>4.6536057692307686</v>
      </c>
      <c r="D70" s="415">
        <f t="shared" si="6"/>
        <v>2.5247596153846148</v>
      </c>
      <c r="E70" s="415">
        <f t="shared" si="6"/>
        <v>3.8942307692307687</v>
      </c>
      <c r="F70" s="415">
        <f>$F$62*12/2080</f>
        <v>0</v>
      </c>
      <c r="G70" s="415">
        <f>SUM(B70:F70)*G$62</f>
        <v>0.43524519230769232</v>
      </c>
      <c r="H70" s="415">
        <f>$B70*H$62</f>
        <v>0</v>
      </c>
      <c r="I70" s="415">
        <f>SUM(B70:H70)</f>
        <v>43.959764423076919</v>
      </c>
      <c r="J70"/>
      <c r="K70"/>
      <c r="L70"/>
    </row>
    <row r="71" spans="1:12" hidden="1">
      <c r="A71" s="348" t="str">
        <f>A53</f>
        <v>TECHNICIAN II</v>
      </c>
      <c r="B71" s="414">
        <f>B53*1.5</f>
        <v>24</v>
      </c>
      <c r="C71" s="415">
        <f t="shared" si="6"/>
        <v>3.4416000000000002</v>
      </c>
      <c r="D71" s="415">
        <f t="shared" si="6"/>
        <v>1.8672</v>
      </c>
      <c r="E71" s="415">
        <f t="shared" si="6"/>
        <v>2.88</v>
      </c>
      <c r="F71" s="415">
        <f>$F$62*12/2080</f>
        <v>0</v>
      </c>
      <c r="G71" s="415">
        <f>SUM(B71:F71)*G$62</f>
        <v>0.32188800000000001</v>
      </c>
      <c r="H71" s="415">
        <f>$B71*H$62</f>
        <v>0</v>
      </c>
      <c r="I71" s="415">
        <f>SUM(B71:H71)</f>
        <v>32.510688000000002</v>
      </c>
      <c r="J71"/>
      <c r="K71"/>
      <c r="L71"/>
    </row>
  </sheetData>
  <printOptions horizontalCentered="1"/>
  <pageMargins left="0.75" right="0.75" top="1" bottom="1" header="0.5" footer="0.5"/>
  <pageSetup scale="69" firstPageNumber="9" orientation="portrait" horizontalDpi="4294967292" verticalDpi="4294967292" r:id="rId1"/>
  <headerFooter alignWithMargins="0">
    <oddFooter>&amp;LRichard Bickings
&amp;D&amp;CPage &amp;P&amp;R&amp;F
&amp;A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>
    <pageSetUpPr fitToPage="1"/>
  </sheetPr>
  <dimension ref="A1:K55"/>
  <sheetViews>
    <sheetView showGridLines="0" zoomScale="90" zoomScaleNormal="90" workbookViewId="0">
      <selection activeCell="F28" sqref="F28"/>
    </sheetView>
  </sheetViews>
  <sheetFormatPr defaultColWidth="9.109375" defaultRowHeight="13.2"/>
  <cols>
    <col min="1" max="1" width="40.109375" style="181" customWidth="1"/>
    <col min="2" max="2" width="1.44140625" style="181" customWidth="1"/>
    <col min="3" max="4" width="17.6640625" style="181" customWidth="1"/>
    <col min="5" max="5" width="12.109375" style="181" customWidth="1"/>
    <col min="6" max="6" width="13.6640625" style="181" customWidth="1"/>
    <col min="7" max="7" width="9.109375" style="181"/>
    <col min="8" max="8" width="21.33203125" style="181" bestFit="1" customWidth="1"/>
    <col min="9" max="16384" width="9.109375" style="181"/>
  </cols>
  <sheetData>
    <row r="1" spans="1:11" s="510" customFormat="1" ht="15.6">
      <c r="A1" s="508" t="str">
        <f>Scope!$A$1</f>
        <v>Santee Cooper 5 x LM6000 PC Power Project (236 MW)</v>
      </c>
      <c r="B1" s="509"/>
      <c r="C1" s="509"/>
      <c r="D1" s="509"/>
      <c r="E1" s="509"/>
      <c r="F1" s="509"/>
      <c r="G1" s="509" t="s">
        <v>606</v>
      </c>
      <c r="H1" s="509"/>
    </row>
    <row r="2" spans="1:11" s="510" customFormat="1" ht="15.6">
      <c r="A2" s="640" t="s">
        <v>204</v>
      </c>
      <c r="B2" s="640"/>
      <c r="C2" s="640"/>
      <c r="D2" s="640"/>
      <c r="E2" s="640"/>
      <c r="F2" s="640"/>
      <c r="G2" s="511"/>
      <c r="H2" s="511"/>
      <c r="I2" s="509"/>
      <c r="J2" s="509"/>
      <c r="K2" s="509"/>
    </row>
    <row r="4" spans="1:11">
      <c r="I4" s="496"/>
    </row>
    <row r="5" spans="1:11">
      <c r="A5" s="512" t="s">
        <v>1414</v>
      </c>
      <c r="B5" s="513"/>
      <c r="C5" s="514" t="s">
        <v>1415</v>
      </c>
      <c r="D5" s="515" t="s">
        <v>1416</v>
      </c>
      <c r="E5" s="513"/>
      <c r="F5" s="513"/>
      <c r="G5" s="516"/>
    </row>
    <row r="6" spans="1:11">
      <c r="A6" s="517"/>
      <c r="B6" s="518"/>
      <c r="C6" s="518"/>
      <c r="D6" s="519"/>
      <c r="E6" s="518"/>
      <c r="F6" s="518"/>
      <c r="G6" s="520"/>
    </row>
    <row r="7" spans="1:11">
      <c r="A7" s="512" t="s">
        <v>477</v>
      </c>
      <c r="B7" s="513"/>
      <c r="C7" s="513"/>
      <c r="D7" s="513"/>
      <c r="E7" s="513"/>
      <c r="F7" s="513"/>
      <c r="G7" s="516"/>
    </row>
    <row r="8" spans="1:11">
      <c r="A8" s="521" t="s">
        <v>1417</v>
      </c>
      <c r="C8" s="522">
        <v>1</v>
      </c>
      <c r="D8" s="523" t="s">
        <v>1418</v>
      </c>
      <c r="E8" s="181" t="s">
        <v>479</v>
      </c>
      <c r="F8" s="181" t="s">
        <v>1419</v>
      </c>
      <c r="G8" s="524"/>
    </row>
    <row r="9" spans="1:11">
      <c r="A9" s="521" t="s">
        <v>1420</v>
      </c>
      <c r="C9" s="522">
        <v>5</v>
      </c>
      <c r="D9" s="523" t="s">
        <v>1418</v>
      </c>
      <c r="E9" s="181" t="s">
        <v>479</v>
      </c>
      <c r="F9" s="181" t="s">
        <v>1419</v>
      </c>
      <c r="G9" s="524"/>
    </row>
    <row r="10" spans="1:11">
      <c r="A10" s="521" t="s">
        <v>1421</v>
      </c>
      <c r="C10" s="522">
        <v>1</v>
      </c>
      <c r="D10" s="523" t="s">
        <v>1418</v>
      </c>
      <c r="E10" s="181" t="s">
        <v>479</v>
      </c>
      <c r="F10" s="181" t="s">
        <v>1419</v>
      </c>
      <c r="G10" s="524"/>
    </row>
    <row r="11" spans="1:11">
      <c r="A11" s="517"/>
      <c r="B11" s="518"/>
      <c r="C11" s="525"/>
      <c r="D11" s="518"/>
      <c r="E11" s="518"/>
      <c r="F11" s="518"/>
      <c r="G11" s="520"/>
    </row>
    <row r="12" spans="1:11">
      <c r="A12" s="512" t="s">
        <v>1422</v>
      </c>
      <c r="B12" s="513"/>
      <c r="C12" s="526"/>
      <c r="D12" s="513"/>
      <c r="E12" s="513"/>
      <c r="F12" s="513"/>
      <c r="G12" s="516"/>
    </row>
    <row r="13" spans="1:11">
      <c r="A13" s="521" t="s">
        <v>1423</v>
      </c>
      <c r="C13" s="522">
        <v>0.5</v>
      </c>
      <c r="D13" s="523" t="s">
        <v>1418</v>
      </c>
      <c r="E13" s="181" t="s">
        <v>479</v>
      </c>
      <c r="F13" s="181" t="s">
        <v>1424</v>
      </c>
      <c r="G13" s="524"/>
    </row>
    <row r="14" spans="1:11">
      <c r="A14" s="521" t="s">
        <v>1425</v>
      </c>
      <c r="C14" s="522">
        <v>0.5</v>
      </c>
      <c r="D14" s="523" t="s">
        <v>1418</v>
      </c>
      <c r="E14" s="181" t="s">
        <v>479</v>
      </c>
      <c r="F14" s="181" t="s">
        <v>1424</v>
      </c>
      <c r="G14" s="524"/>
    </row>
    <row r="15" spans="1:11">
      <c r="A15" s="521" t="s">
        <v>1426</v>
      </c>
      <c r="C15" s="522">
        <v>2</v>
      </c>
      <c r="D15" s="523" t="s">
        <v>1418</v>
      </c>
      <c r="E15" s="181" t="s">
        <v>479</v>
      </c>
      <c r="F15" s="181" t="s">
        <v>1424</v>
      </c>
      <c r="G15" s="524"/>
    </row>
    <row r="16" spans="1:11">
      <c r="A16" s="521" t="s">
        <v>1427</v>
      </c>
      <c r="C16" s="522">
        <v>10</v>
      </c>
      <c r="D16" s="523" t="s">
        <v>1418</v>
      </c>
      <c r="E16" s="181" t="s">
        <v>479</v>
      </c>
      <c r="F16" s="181" t="s">
        <v>1428</v>
      </c>
      <c r="G16" s="524"/>
    </row>
    <row r="17" spans="1:11">
      <c r="A17" s="521" t="s">
        <v>1429</v>
      </c>
      <c r="C17" s="522">
        <v>0</v>
      </c>
      <c r="D17" s="523" t="s">
        <v>1418</v>
      </c>
      <c r="E17" s="181" t="s">
        <v>479</v>
      </c>
      <c r="F17" s="181" t="s">
        <v>1424</v>
      </c>
      <c r="G17" s="524"/>
    </row>
    <row r="18" spans="1:11">
      <c r="A18" s="521" t="s">
        <v>1430</v>
      </c>
      <c r="C18" s="522">
        <v>0</v>
      </c>
      <c r="D18" s="523" t="s">
        <v>1418</v>
      </c>
      <c r="E18" s="181" t="s">
        <v>479</v>
      </c>
      <c r="F18" s="181" t="s">
        <v>1424</v>
      </c>
      <c r="G18" s="524"/>
    </row>
    <row r="19" spans="1:11">
      <c r="A19" s="521" t="s">
        <v>0</v>
      </c>
      <c r="C19" s="522">
        <v>0</v>
      </c>
      <c r="D19" s="523" t="s">
        <v>1418</v>
      </c>
      <c r="E19" s="181" t="s">
        <v>479</v>
      </c>
      <c r="F19" s="181" t="s">
        <v>1424</v>
      </c>
      <c r="G19" s="524"/>
    </row>
    <row r="20" spans="1:11">
      <c r="A20" s="521" t="s">
        <v>1</v>
      </c>
      <c r="C20" s="522">
        <v>0</v>
      </c>
      <c r="D20" s="523" t="s">
        <v>1418</v>
      </c>
      <c r="E20" s="181" t="s">
        <v>479</v>
      </c>
      <c r="F20" s="181" t="s">
        <v>1428</v>
      </c>
      <c r="G20" s="524"/>
    </row>
    <row r="21" spans="1:11">
      <c r="A21" s="517"/>
      <c r="B21" s="518"/>
      <c r="C21" s="525"/>
      <c r="D21" s="527"/>
      <c r="E21" s="518"/>
      <c r="F21" s="518"/>
      <c r="G21" s="520"/>
    </row>
    <row r="22" spans="1:11">
      <c r="A22" s="512" t="s">
        <v>2</v>
      </c>
      <c r="B22" s="513"/>
      <c r="C22" s="526"/>
      <c r="D22" s="513"/>
      <c r="E22" s="513"/>
      <c r="F22" s="513"/>
      <c r="G22" s="516"/>
    </row>
    <row r="23" spans="1:11">
      <c r="A23" s="521" t="s">
        <v>3</v>
      </c>
      <c r="C23" s="528">
        <v>0</v>
      </c>
      <c r="D23" s="181" t="s">
        <v>4</v>
      </c>
      <c r="E23" s="181" t="s">
        <v>479</v>
      </c>
      <c r="F23" s="181" t="s">
        <v>5</v>
      </c>
      <c r="G23" s="524"/>
    </row>
    <row r="24" spans="1:11">
      <c r="A24" s="521" t="s">
        <v>6</v>
      </c>
      <c r="C24" s="528">
        <v>0</v>
      </c>
      <c r="D24" s="181" t="s">
        <v>4</v>
      </c>
      <c r="E24" s="181" t="s">
        <v>479</v>
      </c>
      <c r="F24" s="181" t="s">
        <v>5</v>
      </c>
      <c r="G24" s="524"/>
      <c r="I24" s="529"/>
      <c r="J24" s="529"/>
    </row>
    <row r="25" spans="1:11">
      <c r="A25" s="521"/>
      <c r="C25" s="522"/>
      <c r="G25" s="524"/>
    </row>
    <row r="26" spans="1:11" ht="6" customHeight="1">
      <c r="A26" s="530"/>
      <c r="B26" s="513"/>
      <c r="C26" s="526"/>
      <c r="D26" s="513"/>
      <c r="E26" s="513"/>
      <c r="F26" s="531"/>
      <c r="G26" s="516"/>
    </row>
    <row r="27" spans="1:11">
      <c r="A27" s="532" t="s">
        <v>7</v>
      </c>
      <c r="B27" s="518"/>
      <c r="C27" s="533">
        <f>SUM(C8:C24)</f>
        <v>20</v>
      </c>
      <c r="D27" s="534" t="s">
        <v>1415</v>
      </c>
      <c r="E27" s="518"/>
      <c r="F27" s="535"/>
      <c r="G27" s="520"/>
    </row>
    <row r="28" spans="1:11">
      <c r="A28" s="530"/>
      <c r="B28" s="513"/>
      <c r="C28" s="513"/>
      <c r="D28" s="513"/>
      <c r="E28" s="513"/>
      <c r="F28" s="513"/>
      <c r="G28" s="536"/>
      <c r="I28" s="529"/>
      <c r="J28" s="529"/>
    </row>
    <row r="29" spans="1:11">
      <c r="A29" s="537"/>
      <c r="G29" s="538"/>
      <c r="I29" s="529"/>
      <c r="J29" s="529"/>
    </row>
    <row r="30" spans="1:11">
      <c r="A30" s="539"/>
      <c r="G30" s="524"/>
      <c r="H30" s="540"/>
      <c r="J30" s="529"/>
      <c r="K30" s="529"/>
    </row>
    <row r="31" spans="1:11">
      <c r="A31" s="539"/>
      <c r="G31" s="524"/>
      <c r="H31" s="540"/>
      <c r="J31" s="529"/>
      <c r="K31" s="529"/>
    </row>
    <row r="32" spans="1:11" s="546" customFormat="1" ht="15.6">
      <c r="A32" s="541" t="s">
        <v>8</v>
      </c>
      <c r="B32" s="542"/>
      <c r="C32" s="542"/>
      <c r="D32" s="542"/>
      <c r="E32" s="542"/>
      <c r="F32" s="543">
        <v>135500</v>
      </c>
      <c r="G32" s="544"/>
      <c r="H32" s="545"/>
    </row>
    <row r="33" spans="1:8">
      <c r="A33" s="530"/>
      <c r="B33" s="513"/>
      <c r="C33" s="513"/>
      <c r="D33" s="513"/>
      <c r="E33" s="513"/>
      <c r="F33" s="513"/>
      <c r="G33" s="516"/>
      <c r="H33" s="547"/>
    </row>
    <row r="34" spans="1:8">
      <c r="A34" s="521" t="s">
        <v>9</v>
      </c>
      <c r="C34" s="181" t="s">
        <v>10</v>
      </c>
      <c r="F34" s="548">
        <f>50*20*7</f>
        <v>7000</v>
      </c>
      <c r="G34" s="524"/>
      <c r="H34" s="547"/>
    </row>
    <row r="35" spans="1:8">
      <c r="A35" s="521" t="s">
        <v>43</v>
      </c>
      <c r="C35" s="181" t="s">
        <v>11</v>
      </c>
      <c r="F35" s="548">
        <f>125*12*7</f>
        <v>10500</v>
      </c>
      <c r="G35" s="524"/>
      <c r="H35" s="547"/>
    </row>
    <row r="36" spans="1:8">
      <c r="A36" s="521"/>
      <c r="C36" s="181" t="s">
        <v>12</v>
      </c>
      <c r="F36" s="548">
        <f>450*7</f>
        <v>3150</v>
      </c>
      <c r="G36" s="524"/>
      <c r="H36" s="547"/>
    </row>
    <row r="37" spans="1:8">
      <c r="A37" s="521" t="s">
        <v>13</v>
      </c>
      <c r="F37" s="548">
        <v>0</v>
      </c>
      <c r="G37" s="524"/>
      <c r="H37" s="547"/>
    </row>
    <row r="38" spans="1:8">
      <c r="A38" s="521" t="s">
        <v>1061</v>
      </c>
      <c r="C38" s="181" t="s">
        <v>14</v>
      </c>
      <c r="F38" s="548">
        <f>(75*50)+(75*40)</f>
        <v>6750</v>
      </c>
      <c r="G38" s="524"/>
      <c r="H38" s="547"/>
    </row>
    <row r="39" spans="1:8">
      <c r="A39" s="521" t="s">
        <v>15</v>
      </c>
      <c r="C39" s="181" t="s">
        <v>16</v>
      </c>
      <c r="F39" s="548">
        <f>500*5</f>
        <v>2500</v>
      </c>
      <c r="G39" s="524"/>
      <c r="H39" s="547"/>
    </row>
    <row r="40" spans="1:8">
      <c r="A40" s="521" t="s">
        <v>17</v>
      </c>
      <c r="F40" s="548"/>
      <c r="G40" s="524"/>
      <c r="H40" s="547"/>
    </row>
    <row r="41" spans="1:8">
      <c r="A41" s="521" t="s">
        <v>18</v>
      </c>
      <c r="C41" s="181" t="s">
        <v>19</v>
      </c>
      <c r="F41" s="548">
        <v>30000</v>
      </c>
      <c r="G41" s="524"/>
      <c r="H41" s="547"/>
    </row>
    <row r="42" spans="1:8">
      <c r="A42" s="521" t="s">
        <v>20</v>
      </c>
      <c r="C42" s="181" t="s">
        <v>21</v>
      </c>
      <c r="F42" s="548">
        <v>61150</v>
      </c>
      <c r="G42" s="524"/>
      <c r="H42" s="547"/>
    </row>
    <row r="43" spans="1:8">
      <c r="A43" s="521" t="s">
        <v>22</v>
      </c>
      <c r="C43" s="181" t="s">
        <v>23</v>
      </c>
      <c r="F43" s="548">
        <v>0</v>
      </c>
      <c r="G43" s="524"/>
      <c r="H43" s="547"/>
    </row>
    <row r="44" spans="1:8">
      <c r="A44" s="521" t="s">
        <v>24</v>
      </c>
      <c r="C44" s="549" t="s">
        <v>25</v>
      </c>
      <c r="D44" s="549"/>
      <c r="F44" s="550">
        <v>0</v>
      </c>
      <c r="G44" s="524"/>
      <c r="H44" s="547"/>
    </row>
    <row r="45" spans="1:8">
      <c r="A45" s="521" t="s">
        <v>26</v>
      </c>
      <c r="C45" s="551" t="s">
        <v>27</v>
      </c>
      <c r="F45" s="550">
        <v>0</v>
      </c>
      <c r="G45" s="524"/>
      <c r="H45" s="547"/>
    </row>
    <row r="46" spans="1:8">
      <c r="A46" s="521" t="s">
        <v>28</v>
      </c>
      <c r="C46" s="181" t="s">
        <v>29</v>
      </c>
      <c r="F46" s="550">
        <v>0</v>
      </c>
      <c r="G46" s="524"/>
      <c r="H46" s="547"/>
    </row>
    <row r="47" spans="1:8">
      <c r="A47" s="521" t="s">
        <v>30</v>
      </c>
      <c r="C47" s="181" t="s">
        <v>31</v>
      </c>
      <c r="F47" s="550">
        <f>1500+(40*75)</f>
        <v>4500</v>
      </c>
      <c r="G47" s="524"/>
      <c r="H47" s="547"/>
    </row>
    <row r="48" spans="1:8">
      <c r="A48" s="521" t="s">
        <v>32</v>
      </c>
      <c r="C48" s="181" t="s">
        <v>33</v>
      </c>
      <c r="D48" s="552"/>
      <c r="F48" s="550">
        <v>0</v>
      </c>
      <c r="G48" s="524"/>
      <c r="H48" s="547"/>
    </row>
    <row r="49" spans="1:8">
      <c r="A49" s="521" t="s">
        <v>34</v>
      </c>
      <c r="C49" s="181" t="s">
        <v>35</v>
      </c>
      <c r="D49" s="552"/>
      <c r="F49" s="550">
        <f>SUM(F34:F48)*0.05</f>
        <v>6277.5</v>
      </c>
      <c r="G49" s="524"/>
      <c r="H49" s="547"/>
    </row>
    <row r="50" spans="1:8">
      <c r="A50" s="521"/>
      <c r="G50" s="524"/>
      <c r="H50" s="547"/>
    </row>
    <row r="51" spans="1:8" s="546" customFormat="1" ht="15.6">
      <c r="A51" s="541" t="s">
        <v>550</v>
      </c>
      <c r="B51" s="542"/>
      <c r="C51" s="542"/>
      <c r="D51" s="542"/>
      <c r="E51" s="542"/>
      <c r="F51" s="553">
        <f>SUM(F34:F50)</f>
        <v>131827.5</v>
      </c>
      <c r="G51" s="544"/>
      <c r="H51" s="545"/>
    </row>
    <row r="52" spans="1:8">
      <c r="B52" s="181" t="s">
        <v>606</v>
      </c>
      <c r="H52" s="547"/>
    </row>
    <row r="55" spans="1:8">
      <c r="A55" s="181" t="s">
        <v>379</v>
      </c>
    </row>
  </sheetData>
  <mergeCells count="1">
    <mergeCell ref="A2:F2"/>
  </mergeCells>
  <printOptions horizontalCentered="1"/>
  <pageMargins left="0.5" right="0.5" top="0.75" bottom="1" header="0.5" footer="0.5"/>
  <pageSetup scale="87" firstPageNumber="34" orientation="portrait" blackAndWhite="1" horizontalDpi="4294967292" verticalDpi="4294967292" r:id="rId1"/>
  <headerFooter alignWithMargins="0">
    <oddFooter>&amp;LOEC Training Plan
Gleason, TN&amp;CCost Detail&amp;RRegan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23</vt:i4>
      </vt:variant>
    </vt:vector>
  </HeadingPairs>
  <TitlesOfParts>
    <vt:vector size="44" baseType="lpstr">
      <vt:lpstr>Table of Contents</vt:lpstr>
      <vt:lpstr>Scope</vt:lpstr>
      <vt:lpstr>Assumptions</vt:lpstr>
      <vt:lpstr>Map</vt:lpstr>
      <vt:lpstr>Summary</vt:lpstr>
      <vt:lpstr>Mob_Estimate</vt:lpstr>
      <vt:lpstr>Mob_Schedule</vt:lpstr>
      <vt:lpstr>MobStaff</vt:lpstr>
      <vt:lpstr>Training</vt:lpstr>
      <vt:lpstr>Training2</vt:lpstr>
      <vt:lpstr>ScopeSplit</vt:lpstr>
      <vt:lpstr>Owner's Engineer</vt:lpstr>
      <vt:lpstr>Mob_Backup</vt:lpstr>
      <vt:lpstr>O&amp;M_Estimate</vt:lpstr>
      <vt:lpstr>Ops_Staff</vt:lpstr>
      <vt:lpstr>Contract_Staff</vt:lpstr>
      <vt:lpstr>SALARY-BENEFITS LOOKUP TABLE</vt:lpstr>
      <vt:lpstr>Local_Benefits</vt:lpstr>
      <vt:lpstr>O&amp;M_Backup</vt:lpstr>
      <vt:lpstr>Cap Spares</vt:lpstr>
      <vt:lpstr>GE7EA</vt:lpstr>
      <vt:lpstr>'O&amp;M_Backup'!CompleteFilterPrint</vt:lpstr>
      <vt:lpstr>Assumptions!Print_Area</vt:lpstr>
      <vt:lpstr>GE7EA!Print_Area</vt:lpstr>
      <vt:lpstr>Mob_Backup!Print_Area</vt:lpstr>
      <vt:lpstr>Mob_Estimate!Print_Area</vt:lpstr>
      <vt:lpstr>Mob_Schedule!Print_Area</vt:lpstr>
      <vt:lpstr>MobStaff!Print_Area</vt:lpstr>
      <vt:lpstr>'O&amp;M_Backup'!Print_Area</vt:lpstr>
      <vt:lpstr>'O&amp;M_Estimate'!Print_Area</vt:lpstr>
      <vt:lpstr>Ops_Staff!Print_Area</vt:lpstr>
      <vt:lpstr>'Owner''s Engineer'!Print_Area</vt:lpstr>
      <vt:lpstr>Scope!Print_Area</vt:lpstr>
      <vt:lpstr>ScopeSplit!Print_Area</vt:lpstr>
      <vt:lpstr>Summary!Print_Area</vt:lpstr>
      <vt:lpstr>'Table of Contents'!Print_Area</vt:lpstr>
      <vt:lpstr>Training!Print_Area</vt:lpstr>
      <vt:lpstr>Training2!Print_Area</vt:lpstr>
      <vt:lpstr>Mob_Backup!Print_Titles</vt:lpstr>
      <vt:lpstr>MobStaff!Print_Titles</vt:lpstr>
      <vt:lpstr>'O&amp;M_Backup'!Print_Titles</vt:lpstr>
      <vt:lpstr>SALARY</vt:lpstr>
      <vt:lpstr>Map!TABLE</vt:lpstr>
      <vt:lpstr>Map!TABLE_2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Richard Bickings</dc:creator>
  <cp:lastModifiedBy>Havlíček Jan</cp:lastModifiedBy>
  <cp:lastPrinted>2000-01-25T04:10:52Z</cp:lastPrinted>
  <dcterms:created xsi:type="dcterms:W3CDTF">1997-11-25T22:11:07Z</dcterms:created>
  <dcterms:modified xsi:type="dcterms:W3CDTF">2023-09-10T11:57:04Z</dcterms:modified>
</cp:coreProperties>
</file>