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<sst xmlns="http://schemas.openxmlformats.org/spreadsheetml/2006/main" count="2150" uniqueCount="587">
  <si>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</si>
  <si>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</si>
  <si>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</si>
  <si>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</si>
  <si>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</si>
  <si>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</si>
  <si>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</si>
  <si>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</si>
  <si>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</si>
  <si>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</si>
  <si>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</si>
  <si>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</si>
  <si>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</si>
  <si>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</si>
  <si>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</si>
  <si>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</si>
  <si>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</si>
  <si>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</si>
  <si>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</si>
  <si>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</si>
  <si>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</si>
  <si>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</si>
  <si>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</si>
  <si>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</si>
  <si>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</si>
  <si>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</si>
  <si>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</si>
  <si>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</si>
  <si>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</si>
  <si>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</si>
  <si>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</si>
  <si>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</si>
  <si>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</si>
  <si>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</si>
  <si>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</si>
  <si>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</si>
  <si>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</si>
  <si>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</si>
  <si>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</si>
  <si>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</si>
  <si>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</si>
  <si>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</si>
  <si>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</si>
  <si>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</si>
  <si>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</si>
  <si>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</si>
  <si>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</si>
  <si>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</si>
  <si>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</si>
  <si>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</si>
  <si>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</si>
  <si>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</si>
  <si>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</si>
  <si>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</si>
  <si>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</si>
  <si>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</si>
  <si>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</si>
  <si>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</si>
  <si>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</si>
  <si>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</si>
  <si>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</si>
  <si>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</si>
  <si>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</si>
  <si>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</si>
  <si>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</si>
  <si>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</si>
  <si>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</si>
  <si>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</si>
  <si>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</si>
  <si>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</si>
  <si>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</si>
  <si>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</si>
  <si>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</si>
  <si>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</si>
  <si>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</si>
  <si>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</si>
  <si>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</si>
  <si>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</si>
  <si>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</si>
  <si>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</si>
  <si>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</si>
  <si>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</si>
  <si>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</si>
  <si>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</si>
  <si>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</si>
  <si>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</si>
  <si>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</si>
  <si>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</si>
  <si>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</si>
  <si>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</si>
  <si>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</si>
  <si>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</si>
  <si>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</si>
  <si>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</si>
  <si>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</si>
  <si>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</si>
  <si>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</si>
  <si>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</si>
  <si>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</si>
  <si>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</si>
  <si>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</si>
  <si>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</si>
  <si>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</si>
  <si>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</si>
  <si>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</si>
  <si>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</si>
  <si>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</si>
  <si>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</si>
  <si>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</si>
  <si>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</si>
  <si>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</si>
  <si>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</si>
  <si>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</si>
  <si>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</si>
  <si>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</si>
  <si>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</si>
  <si>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</si>
  <si>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</si>
  <si>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</si>
  <si>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</si>
  <si>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</si>
  <si>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</si>
  <si>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</si>
  <si>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</si>
  <si>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</si>
  <si>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</si>
  <si>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</si>
  <si>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</si>
  <si>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</si>
  <si>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</si>
  <si>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</si>
  <si>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</si>
  <si>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</si>
  <si>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</si>
  <si>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</si>
  <si>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</si>
  <si>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</si>
  <si>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</si>
  <si>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</si>
  <si>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</si>
  <si>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</si>
  <si>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</si>
  <si>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</si>
  <si>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</si>
  <si>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</si>
  <si>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</si>
  <si>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</si>
  <si>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</si>
  <si>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</si>
  <si>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</si>
  <si>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</si>
  <si>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</si>
  <si>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</si>
  <si>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</si>
  <si>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</si>
  <si>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</si>
  <si>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</si>
  <si>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</si>
  <si>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</si>
  <si>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</si>
  <si>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</si>
  <si>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</si>
  <si>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</si>
  <si>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</si>
  <si>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</si>
  <si>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</si>
  <si>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</si>
  <si>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</si>
  <si>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</si>
  <si>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</si>
  <si>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</si>
  <si>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</si>
  <si>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</si>
  <si>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</si>
  <si>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</si>
  <si>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</si>
  <si>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</si>
  <si>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</si>
  <si>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</si>
  <si>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</si>
  <si>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</si>
  <si>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</si>
  <si>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</si>
  <si>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</si>
  <si>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</si>
  <si>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</si>
  <si>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</si>
  <si>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</si>
  <si>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</si>
  <si>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</si>
  <si>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</si>
  <si>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</si>
  <si>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</si>
  <si>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</si>
  <si>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</si>
  <si>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</si>
  <si>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</si>
  <si>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</si>
  <si>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</si>
  <si>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</si>
  <si>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</si>
  <si>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</si>
  <si>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</si>
  <si>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</si>
  <si>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</si>
  <si>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</si>
  <si>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</si>
  <si>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</si>
  <si>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</si>
  <si>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</si>
  <si>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</si>
  <si>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</si>
  <si>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</si>
  <si>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</si>
  <si>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</si>
  <si>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</si>
  <si>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</si>
  <si>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</si>
  <si>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</si>
  <si>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</si>
  <si>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</si>
  <si>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</si>
  <si>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</si>
  <si>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</si>
  <si>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</si>
  <si>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</si>
  <si>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</si>
  <si>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</si>
  <si>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</si>
  <si>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</si>
  <si>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</si>
  <si>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</si>
  <si>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</si>
  <si>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</si>
  <si>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</si>
  <si>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</si>
  <si>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</si>
  <si>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</si>
  <si>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</si>
  <si>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</si>
  <si>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</si>
  <si>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</si>
  <si>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</si>
  <si>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</si>
  <si>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</si>
  <si>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</si>
  <si>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</si>
  <si>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</si>
  <si>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</si>
  <si>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</si>
  <si>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</si>
  <si>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</si>
  <si>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</si>
  <si>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</si>
  <si>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</si>
  <si>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</si>
  <si>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</si>
  <si>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</si>
  <si>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</si>
  <si>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</si>
  <si>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</si>
  <si>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</si>
  <si>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</si>
  <si>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</si>
  <si>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</si>
  <si>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</si>
  <si>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</si>
  <si>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</si>
  <si>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</si>
  <si>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</si>
  <si>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</si>
  <si>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</si>
  <si>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</si>
  <si>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</si>
  <si>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</si>
  <si>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</si>
  <si>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</si>
  <si>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</si>
  <si>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</si>
  <si>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</si>
  <si>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</si>
  <si>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</si>
  <si>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</si>
  <si>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</si>
  <si>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</si>
  <si>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</si>
  <si>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</si>
  <si>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</si>
  <si>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</si>
  <si>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</si>
  <si>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</si>
  <si>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</si>
  <si>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</si>
  <si>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</si>
  <si>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</si>
  <si>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</si>
  <si>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</si>
  <si>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</si>
  <si>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</si>
  <si>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</si>
  <si>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</si>
  <si>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</si>
  <si>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</si>
  <si>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</si>
  <si>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</si>
  <si>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</si>
  <si>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</si>
  <si>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</si>
  <si>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</si>
  <si>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</si>
  <si>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</si>
  <si>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</si>
  <si>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</si>
  <si>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</si>
  <si>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</si>
  <si>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</si>
  <si>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</si>
  <si>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</si>
  <si>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</si>
  <si>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</si>
  <si>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</si>
  <si>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</si>
  <si>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</si>
  <si>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</si>
  <si>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</si>
  <si>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</si>
  <si>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</si>
  <si>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</si>
  <si>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</si>
  <si>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</si>
  <si>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</si>
  <si>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</si>
  <si>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</si>
  <si>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</si>
  <si>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</si>
  <si>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</si>
  <si>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</si>
  <si>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</si>
  <si>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</si>
  <si>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</si>
  <si>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</si>
  <si>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</si>
  <si>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</si>
  <si>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</si>
  <si>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</si>
  <si>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</si>
  <si>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</si>
  <si>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</si>
  <si>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</si>
  <si>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</si>
  <si>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</si>
  <si>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</si>
  <si>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</si>
  <si>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</si>
  <si>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</si>
  <si>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</si>
  <si>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</si>
  <si>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</si>
  <si>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</si>
  <si>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</si>
  <si>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</si>
  <si>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</si>
  <si>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</si>
  <si>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</si>
  <si>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</si>
  <si>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</si>
  <si>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</si>
  <si>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</si>
  <si>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</si>
  <si>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</si>
  <si>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</si>
  <si>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</si>
  <si>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</si>
  <si>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</si>
  <si>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</si>
  <si>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</si>
  <si>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</si>
  <si>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</si>
  <si>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</si>
  <si>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</si>
  <si>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</si>
  <si>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</si>
  <si>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</si>
  <si>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</si>
  <si>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</si>
  <si>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</si>
  <si>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</si>
  <si>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</si>
  <si>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</si>
  <si>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</si>
  <si>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</si>
  <si>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</si>
  <si>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</si>
  <si>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</si>
  <si>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</si>
  <si>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</si>
  <si>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</si>
  <si>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</si>
  <si>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</si>
  <si>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</si>
  <si>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</si>
  <si>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</si>
  <si>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</si>
  <si>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</si>
  <si>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</si>
  <si>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</si>
  <si>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</si>
  <si>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</si>
  <si>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</si>
  <si>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</si>
  <si>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</si>
  <si>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</si>
  <si>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</si>
  <si>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</si>
  <si>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</si>
  <si>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</si>
  <si>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</si>
  <si>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</si>
  <si>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</si>
  <si>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</si>
  <si>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</si>
  <si>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</si>
  <si>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</si>
  <si>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</si>
  <si>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</si>
  <si>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</si>
  <si>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</si>
  <si>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</si>
  <si>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</si>
  <si>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</si>
  <si>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</si>
  <si>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</si>
  <si>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</si>
  <si>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</si>
  <si>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</si>
  <si>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</si>
  <si>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</si>
  <si>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</si>
  <si>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</si>
  <si>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</si>
  <si>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</si>
  <si>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</si>
  <si>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</si>
  <si>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</si>
  <si>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</si>
  <si>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</si>
  <si>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</si>
  <si>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</si>
  <si>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</si>
  <si>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</si>
  <si>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</si>
  <si>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</si>
  <si>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</si>
  <si>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</si>
  <si>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</si>
  <si>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</si>
  <si>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</si>
  <si>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</si>
  <si>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</si>
  <si>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</si>
  <si>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</si>
  <si>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</si>
  <si>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</si>
  <si>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</si>
  <si>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</si>
  <si>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</si>
  <si>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</si>
  <si>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</si>
  <si>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</si>
  <si>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</si>
  <si>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</si>
  <si>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</si>
  <si>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</si>
  <si>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</si>
  <si>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</si>
  <si>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</si>
  <si>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</si>
  <si>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</si>
  <si>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</si>
  <si>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</si>
  <si>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</si>
  <si>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</si>
  <si>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</si>
  <si>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</si>
  <si>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</si>
  <si>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</si>
  <si>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</si>
  <si>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</si>
  <si>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</si>
  <si>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</si>
  <si>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</si>
  <si>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</si>
  <si>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</si>
  <si>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</si>
  <si>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</si>
  <si>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</si>
  <si>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</si>
  <si>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</si>
  <si>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</si>
  <si>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</si>
  <si>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</si>
  <si>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</si>
  <si>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</si>
  <si>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</si>
  <si>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</si>
  <si>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</si>
  <si>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</si>
  <si>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</si>
  <si>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</si>
  <si>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</si>
  <si>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</si>
  <si>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</si>
  <si>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</si>
  <si>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</si>
  <si>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</si>
  <si>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</si>
  <si>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</si>
  <si>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</si>
  <si>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</si>
  <si>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</si>
  <si>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</si>
  <si>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</si>
  <si>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</si>
  <si>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</si>
  <si>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</si>
  <si>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</si>
  <si>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</si>
  <si>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</si>
  <si>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</si>
  <si>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</si>
  <si>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</si>
  <si>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</si>
  <si>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</si>
  <si>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</si>
  <si>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</si>
  <si>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</si>
  <si>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</si>
  <si>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</si>
  <si>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</si>
  <si>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</si>
  <si>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</si>
  <si>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</si>
  <si>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</si>
  <si>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</si>
  <si>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</si>
  <si>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</si>
  <si>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</si>
  <si>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</si>
  <si>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</si>
  <si>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</si>
  <si>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</si>
  <si>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</si>
  <si>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</si>
  <si>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</si>
  <si>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</si>
  <si>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</si>
  <si>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</si>
  <si>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</si>
  <si>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</si>
  <si>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</si>
  <si>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</si>
  <si>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</si>
  <si>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</si>
  <si>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</si>
  <si>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</si>
  <si>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</si>
  <si>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</si>
  <si>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</si>
  <si>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</si>
  <si>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</si>
  <si>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</si>
  <si>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</si>
  <si>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</si>
  <si>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</si>
  <si>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</si>
  <si>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</si>
  <si>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</si>
  <si>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</si>
  <si>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</si>
  <si>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</si>
  <si>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</si>
  <si>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</si>
  <si>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Revision # 44</t>
  </si>
  <si>
    <t xml:space="preserve"> As of 2/4/00</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</si>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</sst>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3">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08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12251783.897457996</v>
          </cell>
        </row>
      </sheetData>
      <sheetData sheetId="4">
        <row r="40">
          <cell r="M40">
            <v>505668.93</v>
          </cell>
          <cell r="N40">
            <v>517447.92267638887</v>
          </cell>
          <cell r="O40">
            <v>557933.42322977481</v>
          </cell>
          <cell r="P40">
            <v>574337.94527365838</v>
          </cell>
          <cell r="Z40">
            <v>11109196.332165295</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9758932.4514499549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80" customWidth="1"/>
    <col min="14" max="14" width="15.33203125" style="380"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480</v>
      </c>
      <c r="Q3" s="257"/>
    </row>
    <row r="4" spans="1:17" ht="24.6">
      <c r="A4" s="259"/>
      <c r="B4" s="259" t="s">
        <v>392</v>
      </c>
      <c r="C4" s="257"/>
      <c r="D4" s="257"/>
      <c r="E4" s="257"/>
      <c r="F4" s="257"/>
      <c r="G4" s="257"/>
      <c r="H4" s="260"/>
      <c r="I4" s="260"/>
      <c r="J4" s="260"/>
      <c r="K4" s="260"/>
      <c r="L4" s="382"/>
      <c r="M4" s="382"/>
      <c r="N4" s="382"/>
      <c r="O4" s="257"/>
      <c r="P4" s="257"/>
      <c r="Q4" s="257"/>
    </row>
    <row r="5" spans="1:17" ht="21">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67" t="s">
        <v>394</v>
      </c>
      <c r="B7" s="470" t="s">
        <v>395</v>
      </c>
      <c r="C7" s="470" t="s">
        <v>396</v>
      </c>
      <c r="D7" s="470" t="s">
        <v>397</v>
      </c>
      <c r="E7" s="470" t="s">
        <v>398</v>
      </c>
      <c r="F7" s="470" t="s">
        <v>399</v>
      </c>
      <c r="G7" s="464" t="s">
        <v>400</v>
      </c>
      <c r="H7" s="464" t="s">
        <v>401</v>
      </c>
      <c r="I7" s="464" t="s">
        <v>402</v>
      </c>
      <c r="J7" s="464" t="s">
        <v>403</v>
      </c>
      <c r="K7" s="464" t="s">
        <v>404</v>
      </c>
      <c r="L7" s="383" t="s">
        <v>428</v>
      </c>
      <c r="M7" s="383"/>
      <c r="N7" s="383"/>
      <c r="O7" s="470" t="s">
        <v>405</v>
      </c>
      <c r="P7" s="461" t="s">
        <v>406</v>
      </c>
      <c r="Q7" s="262"/>
    </row>
    <row r="8" spans="1:17">
      <c r="A8" s="468"/>
      <c r="B8" s="471"/>
      <c r="C8" s="471"/>
      <c r="D8" s="471"/>
      <c r="E8" s="471"/>
      <c r="F8" s="471"/>
      <c r="G8" s="465"/>
      <c r="H8" s="465"/>
      <c r="I8" s="465"/>
      <c r="J8" s="465"/>
      <c r="K8" s="465"/>
      <c r="L8" s="384" t="s">
        <v>409</v>
      </c>
      <c r="M8" s="384" t="s">
        <v>557</v>
      </c>
      <c r="N8" s="384" t="s">
        <v>561</v>
      </c>
      <c r="O8" s="471"/>
      <c r="P8" s="462"/>
      <c r="Q8" s="263"/>
    </row>
    <row r="9" spans="1:17" ht="31.8" thickBot="1">
      <c r="A9" s="469"/>
      <c r="B9" s="472"/>
      <c r="C9" s="472"/>
      <c r="D9" s="472"/>
      <c r="E9" s="472"/>
      <c r="F9" s="472"/>
      <c r="G9" s="466"/>
      <c r="H9" s="466"/>
      <c r="I9" s="466"/>
      <c r="J9" s="466"/>
      <c r="K9" s="466"/>
      <c r="L9" s="385"/>
      <c r="M9" s="385" t="s">
        <v>560</v>
      </c>
      <c r="N9" s="385" t="s">
        <v>562</v>
      </c>
      <c r="O9" s="472"/>
      <c r="P9" s="463"/>
      <c r="Q9" s="264"/>
    </row>
    <row r="10" spans="1:17" ht="16.2"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475</v>
      </c>
      <c r="C13" s="336" t="s">
        <v>232</v>
      </c>
      <c r="D13" s="337">
        <v>36383</v>
      </c>
      <c r="E13" s="337">
        <v>36383</v>
      </c>
      <c r="F13" s="336" t="s">
        <v>490</v>
      </c>
      <c r="G13" s="338"/>
      <c r="H13" s="338">
        <v>1225177</v>
      </c>
      <c r="I13" s="339">
        <v>0</v>
      </c>
      <c r="J13" s="339">
        <v>0</v>
      </c>
      <c r="K13" s="339">
        <f>SUM(G13:J13)</f>
        <v>1225177</v>
      </c>
      <c r="L13" s="375">
        <f>-1161792+K13</f>
        <v>63385</v>
      </c>
      <c r="M13" s="375"/>
      <c r="N13" s="375"/>
      <c r="O13" s="336">
        <v>0</v>
      </c>
      <c r="P13" s="390" t="s">
        <v>515</v>
      </c>
      <c r="Q13" s="332"/>
    </row>
    <row r="14" spans="1:17" s="333" customFormat="1" ht="48" customHeight="1">
      <c r="A14" s="353" t="s">
        <v>506</v>
      </c>
      <c r="B14" s="356" t="s">
        <v>507</v>
      </c>
      <c r="C14" s="336" t="s">
        <v>232</v>
      </c>
      <c r="D14" s="337"/>
      <c r="E14" s="337"/>
      <c r="F14" s="336"/>
      <c r="G14" s="338"/>
      <c r="H14" s="338">
        <v>1865140</v>
      </c>
      <c r="I14" s="339"/>
      <c r="J14" s="339"/>
      <c r="K14" s="339">
        <f>SUM(G14:J14)</f>
        <v>1865140</v>
      </c>
      <c r="L14" s="375">
        <v>1707436</v>
      </c>
      <c r="M14" s="375">
        <v>1865140</v>
      </c>
      <c r="N14" s="375"/>
      <c r="O14" s="336"/>
      <c r="P14" s="390" t="s">
        <v>508</v>
      </c>
      <c r="Q14" s="332"/>
    </row>
    <row r="15" spans="1:17" s="333" customFormat="1" ht="91.5" customHeight="1">
      <c r="A15" s="353" t="s">
        <v>510</v>
      </c>
      <c r="B15" s="356" t="s">
        <v>511</v>
      </c>
      <c r="C15" s="336" t="s">
        <v>232</v>
      </c>
      <c r="D15" s="337"/>
      <c r="E15" s="337"/>
      <c r="F15" s="336"/>
      <c r="G15" s="338"/>
      <c r="H15" s="338">
        <v>2415377</v>
      </c>
      <c r="I15" s="339"/>
      <c r="J15" s="339"/>
      <c r="K15" s="339">
        <f>SUM(G15:J15)</f>
        <v>2415377</v>
      </c>
      <c r="L15" s="375">
        <v>0</v>
      </c>
      <c r="M15" s="375">
        <v>2169159</v>
      </c>
      <c r="N15" s="375"/>
      <c r="O15" s="336"/>
      <c r="P15" s="390" t="s">
        <v>512</v>
      </c>
      <c r="Q15" s="332"/>
    </row>
    <row r="16" spans="1:17" s="333" customFormat="1" ht="44.25" customHeight="1">
      <c r="A16" s="353" t="s">
        <v>509</v>
      </c>
      <c r="B16" s="356" t="s">
        <v>513</v>
      </c>
      <c r="C16" s="336" t="s">
        <v>232</v>
      </c>
      <c r="D16" s="337"/>
      <c r="E16" s="337"/>
      <c r="F16" s="336"/>
      <c r="G16" s="338"/>
      <c r="H16" s="338">
        <v>1992155</v>
      </c>
      <c r="I16" s="339"/>
      <c r="J16" s="339"/>
      <c r="K16" s="339">
        <f>SUM(G16:J16)</f>
        <v>1992155</v>
      </c>
      <c r="L16" s="375">
        <v>1258397</v>
      </c>
      <c r="M16" s="375">
        <v>1992155</v>
      </c>
      <c r="N16" s="375"/>
      <c r="O16" s="336"/>
      <c r="P16" s="390" t="s">
        <v>514</v>
      </c>
      <c r="Q16" s="332"/>
    </row>
    <row r="17" spans="1:17" s="333" customFormat="1" ht="44.25" customHeight="1">
      <c r="A17" s="353" t="s">
        <v>558</v>
      </c>
      <c r="B17" s="356" t="s">
        <v>559</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482</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481</v>
      </c>
      <c r="B20" s="392" t="s">
        <v>483</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473</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09.2">
      <c r="A22" s="353" t="s">
        <v>418</v>
      </c>
      <c r="B22" s="356" t="s">
        <v>474</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
      <c r="A23" s="353" t="s">
        <v>419</v>
      </c>
      <c r="B23" s="356" t="s">
        <v>488</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78">
      <c r="A25" s="353" t="s">
        <v>422</v>
      </c>
      <c r="B25" s="356" t="s">
        <v>484</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6.8">
      <c r="A26" s="353" t="s">
        <v>423</v>
      </c>
      <c r="B26" s="356" t="s">
        <v>476</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62.4">
      <c r="A27" s="353" t="s">
        <v>424</v>
      </c>
      <c r="B27" s="356" t="s">
        <v>477</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c r="A29" s="354" t="s">
        <v>425</v>
      </c>
      <c r="B29" s="356" t="s">
        <v>478</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2"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516</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6.8">
      <c r="A39" s="353" t="s">
        <v>429</v>
      </c>
      <c r="B39" s="356" t="s">
        <v>479</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3.8">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1:14" ht="13.2">
      <c r="L49"/>
      <c r="M49"/>
      <c r="N49"/>
    </row>
    <row r="50" spans="1:14">
      <c r="K50" s="367"/>
    </row>
    <row r="51" spans="1:14">
      <c r="B51" s="24" t="s">
        <v>517</v>
      </c>
      <c r="K51" s="367"/>
    </row>
    <row r="52" spans="1:14">
      <c r="K52" s="426"/>
      <c r="L52" s="425"/>
      <c r="M52" s="425"/>
      <c r="N52" s="425"/>
    </row>
    <row r="55" spans="1:14" ht="15">
      <c r="A55" s="431" t="s">
        <v>545</v>
      </c>
      <c r="B55" s="432"/>
      <c r="L55"/>
      <c r="M55"/>
      <c r="N55"/>
    </row>
    <row r="56" spans="1:14" s="18" customFormat="1" ht="15">
      <c r="A56" s="438" t="s">
        <v>570</v>
      </c>
      <c r="B56" s="437" t="s">
        <v>571</v>
      </c>
      <c r="H56" s="68">
        <v>385857</v>
      </c>
    </row>
    <row r="57" spans="1:14" s="18" customFormat="1" ht="15">
      <c r="A57" s="438" t="s">
        <v>572</v>
      </c>
      <c r="B57" s="437" t="s">
        <v>573</v>
      </c>
      <c r="H57" s="68">
        <v>-67189</v>
      </c>
    </row>
    <row r="58" spans="1:14" s="18" customFormat="1" ht="15">
      <c r="A58" s="438" t="s">
        <v>550</v>
      </c>
      <c r="B58" s="437" t="s">
        <v>574</v>
      </c>
      <c r="H58" s="68">
        <v>38441</v>
      </c>
    </row>
    <row r="59" spans="1:14" s="18" customFormat="1" ht="15">
      <c r="A59" s="438" t="s">
        <v>575</v>
      </c>
      <c r="B59" s="437" t="s">
        <v>576</v>
      </c>
      <c r="H59" s="68">
        <v>99963</v>
      </c>
    </row>
    <row r="60" spans="1:14" s="18" customFormat="1" ht="15">
      <c r="A60" s="438" t="s">
        <v>552</v>
      </c>
      <c r="B60" s="437" t="s">
        <v>577</v>
      </c>
      <c r="H60" s="68">
        <v>-64133</v>
      </c>
    </row>
    <row r="61" spans="1:14" s="18" customFormat="1" ht="15">
      <c r="A61" s="438" t="s">
        <v>578</v>
      </c>
      <c r="B61" s="437" t="s">
        <v>579</v>
      </c>
      <c r="H61" s="68">
        <v>-85517</v>
      </c>
    </row>
    <row r="62" spans="1:14" s="18" customFormat="1" ht="15">
      <c r="A62" s="438" t="s">
        <v>580</v>
      </c>
      <c r="B62" s="437" t="s">
        <v>581</v>
      </c>
      <c r="H62" s="68">
        <v>93106</v>
      </c>
    </row>
    <row r="63" spans="1:14" s="18" customFormat="1" ht="15">
      <c r="A63" s="438" t="s">
        <v>552</v>
      </c>
      <c r="B63" s="437" t="s">
        <v>577</v>
      </c>
      <c r="H63" s="68">
        <v>24659</v>
      </c>
    </row>
    <row r="64" spans="1:14" s="307" customFormat="1" ht="15">
      <c r="A64" s="435" t="s">
        <v>438</v>
      </c>
      <c r="B64" s="435"/>
      <c r="H64" s="439">
        <f>SUM(H56:H63)</f>
        <v>425187</v>
      </c>
    </row>
    <row r="65" spans="1:14" ht="13.2">
      <c r="A65" s="30"/>
      <c r="B65" s="30"/>
      <c r="L65"/>
      <c r="M65"/>
      <c r="N65"/>
    </row>
    <row r="66" spans="1:14" ht="13.2">
      <c r="A66" s="30"/>
      <c r="B66" s="30"/>
      <c r="L66"/>
      <c r="M66"/>
      <c r="N66"/>
    </row>
    <row r="67" spans="1:14" ht="18" thickBot="1">
      <c r="B67" s="443" t="s">
        <v>569</v>
      </c>
      <c r="C67" s="444"/>
      <c r="D67" s="444"/>
      <c r="E67" s="444"/>
      <c r="F67" s="444"/>
      <c r="G67" s="444"/>
      <c r="H67" s="456">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6"/>
      <c r="I1" s="256"/>
      <c r="J1" s="256"/>
      <c r="K1" s="256"/>
      <c r="L1" s="49"/>
      <c r="M1" s="49"/>
    </row>
    <row r="2" spans="1:19" ht="11.25" customHeight="1">
      <c r="N2" s="257"/>
    </row>
    <row r="3" spans="1:19" ht="40.5" customHeight="1">
      <c r="A3" s="258"/>
      <c r="B3" s="258" t="s">
        <v>391</v>
      </c>
      <c r="G3" s="351" t="s">
        <v>383</v>
      </c>
      <c r="N3" s="257"/>
    </row>
    <row r="4" spans="1:19" ht="24.6">
      <c r="A4" s="259"/>
      <c r="B4" s="259" t="s">
        <v>392</v>
      </c>
      <c r="C4" s="257"/>
      <c r="D4" s="257"/>
      <c r="E4" s="257"/>
      <c r="F4" s="257"/>
      <c r="G4" s="257"/>
      <c r="H4" s="260"/>
      <c r="I4" s="260"/>
      <c r="J4" s="260"/>
      <c r="K4" s="260"/>
      <c r="L4" s="257"/>
      <c r="M4" s="257"/>
      <c r="N4" s="257"/>
    </row>
    <row r="5" spans="1:19" ht="21">
      <c r="A5" s="261"/>
      <c r="B5" s="261" t="s">
        <v>393</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9" ht="13.8">
      <c r="A8" s="468"/>
      <c r="B8" s="471"/>
      <c r="C8" s="471"/>
      <c r="D8" s="471"/>
      <c r="E8" s="471"/>
      <c r="F8" s="471"/>
      <c r="G8" s="465"/>
      <c r="H8" s="465"/>
      <c r="I8" s="465"/>
      <c r="J8" s="465"/>
      <c r="K8" s="465"/>
      <c r="L8" s="471"/>
      <c r="M8" s="462"/>
      <c r="N8" s="263"/>
    </row>
    <row r="9" spans="1:19" ht="14.4" thickBot="1">
      <c r="A9" s="469"/>
      <c r="B9" s="472"/>
      <c r="C9" s="472"/>
      <c r="D9" s="472"/>
      <c r="E9" s="472"/>
      <c r="F9" s="472"/>
      <c r="G9" s="466"/>
      <c r="H9" s="466"/>
      <c r="I9" s="466"/>
      <c r="J9" s="466"/>
      <c r="K9" s="466"/>
      <c r="L9" s="472"/>
      <c r="M9" s="463"/>
      <c r="N9" s="264"/>
    </row>
    <row r="10" spans="1:19" ht="14.4" thickBot="1">
      <c r="A10" s="265"/>
      <c r="B10" s="266"/>
      <c r="C10" s="266"/>
      <c r="D10" s="266"/>
      <c r="E10" s="266"/>
      <c r="F10" s="266"/>
      <c r="G10" s="266"/>
      <c r="H10" s="265"/>
      <c r="I10" s="265"/>
      <c r="J10" s="265"/>
      <c r="K10" s="265"/>
      <c r="L10" s="266"/>
      <c r="M10" s="266"/>
      <c r="N10" s="267"/>
    </row>
    <row r="11" spans="1:19" s="30" customFormat="1" ht="18.75" customHeight="1" thickBot="1">
      <c r="A11" s="268" t="s">
        <v>439</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5" customFormat="1" ht="93.6">
      <c r="A13" s="352" t="s">
        <v>440</v>
      </c>
      <c r="B13" s="358" t="s">
        <v>486</v>
      </c>
      <c r="C13" s="341" t="s">
        <v>232</v>
      </c>
      <c r="D13" s="342">
        <v>36369</v>
      </c>
      <c r="E13" s="342"/>
      <c r="F13" s="341" t="s">
        <v>415</v>
      </c>
      <c r="G13" s="343"/>
      <c r="H13" s="343">
        <v>3822297</v>
      </c>
      <c r="I13" s="344">
        <v>0</v>
      </c>
      <c r="J13" s="344">
        <v>0</v>
      </c>
      <c r="K13" s="344">
        <f>SUM(G13:J13)</f>
        <v>3822297</v>
      </c>
      <c r="L13" s="341" t="s">
        <v>441</v>
      </c>
      <c r="M13" s="345"/>
      <c r="N13" s="334"/>
    </row>
    <row r="14" spans="1:19" s="335" customFormat="1" ht="140.4">
      <c r="A14" s="352" t="s">
        <v>442</v>
      </c>
      <c r="B14" s="358" t="s">
        <v>485</v>
      </c>
      <c r="C14" s="341" t="s">
        <v>232</v>
      </c>
      <c r="D14" s="342">
        <v>36464</v>
      </c>
      <c r="E14" s="342"/>
      <c r="F14" s="341" t="s">
        <v>415</v>
      </c>
      <c r="G14" s="343"/>
      <c r="H14" s="343">
        <v>2906759</v>
      </c>
      <c r="I14" s="344">
        <v>0</v>
      </c>
      <c r="J14" s="344">
        <v>0</v>
      </c>
      <c r="K14" s="344">
        <f>SUM(G14:J14)</f>
        <v>2906759</v>
      </c>
      <c r="L14" s="341" t="s">
        <v>441</v>
      </c>
      <c r="M14" s="345"/>
      <c r="N14" s="334"/>
    </row>
    <row r="15" spans="1:19" s="440" customFormat="1" ht="13.8">
      <c r="A15" s="342"/>
      <c r="B15" s="455" t="s">
        <v>564</v>
      </c>
      <c r="C15" s="342"/>
      <c r="D15" s="342"/>
      <c r="E15" s="342"/>
      <c r="F15" s="342"/>
      <c r="G15" s="342"/>
      <c r="H15" s="441">
        <v>263743</v>
      </c>
      <c r="I15" s="342"/>
      <c r="J15" s="342"/>
      <c r="K15" s="442">
        <f>SUM(C15:J15)</f>
        <v>263743</v>
      </c>
      <c r="L15" s="342"/>
      <c r="M15" s="342"/>
      <c r="N15" s="342"/>
      <c r="O15" s="342"/>
      <c r="P15" s="342"/>
      <c r="Q15" s="342"/>
      <c r="R15" s="342"/>
      <c r="S15" s="342"/>
    </row>
    <row r="16" spans="1:19" ht="15.6">
      <c r="A16" s="279" t="s">
        <v>443</v>
      </c>
      <c r="B16" s="359"/>
      <c r="C16" s="280" t="s">
        <v>428</v>
      </c>
      <c r="D16" s="281">
        <v>36350</v>
      </c>
      <c r="E16" s="281">
        <v>36350</v>
      </c>
      <c r="F16" s="280" t="s">
        <v>409</v>
      </c>
      <c r="G16" s="282">
        <v>436901</v>
      </c>
      <c r="H16" s="282">
        <v>0</v>
      </c>
      <c r="I16" s="283">
        <v>0</v>
      </c>
      <c r="J16" s="283">
        <v>0</v>
      </c>
      <c r="K16" s="283">
        <f>SUM(G16:J16)</f>
        <v>436901</v>
      </c>
      <c r="L16" s="280">
        <v>0</v>
      </c>
      <c r="M16" s="284"/>
      <c r="N16" s="285"/>
    </row>
    <row r="17" spans="1:14" ht="15.6">
      <c r="A17" s="279" t="s">
        <v>444</v>
      </c>
      <c r="B17" s="359" t="s">
        <v>445</v>
      </c>
      <c r="C17" s="280" t="s">
        <v>428</v>
      </c>
      <c r="D17" s="281">
        <v>36425</v>
      </c>
      <c r="E17" s="281">
        <v>36425</v>
      </c>
      <c r="F17" s="280" t="s">
        <v>409</v>
      </c>
      <c r="G17" s="282">
        <v>900</v>
      </c>
      <c r="H17" s="282">
        <v>0</v>
      </c>
      <c r="I17" s="283">
        <v>0</v>
      </c>
      <c r="J17" s="283">
        <v>0</v>
      </c>
      <c r="K17" s="283">
        <f>SUM(G17:J17)</f>
        <v>900</v>
      </c>
      <c r="L17" s="280">
        <v>0</v>
      </c>
      <c r="M17" s="284"/>
      <c r="N17" s="285"/>
    </row>
    <row r="18" spans="1:14" ht="15.6">
      <c r="A18" s="279"/>
      <c r="B18" s="359"/>
      <c r="C18" s="280"/>
      <c r="D18" s="281"/>
      <c r="E18" s="281"/>
      <c r="F18" s="280"/>
      <c r="G18" s="282"/>
      <c r="H18" s="282"/>
      <c r="I18" s="283"/>
      <c r="J18" s="283"/>
      <c r="K18" s="283"/>
      <c r="L18" s="280"/>
      <c r="M18" s="284"/>
      <c r="N18" s="285"/>
    </row>
    <row r="19" spans="1:14" ht="15.6">
      <c r="A19" s="279" t="s">
        <v>446</v>
      </c>
      <c r="B19" s="359" t="s">
        <v>447</v>
      </c>
      <c r="C19" s="280" t="s">
        <v>428</v>
      </c>
      <c r="D19" s="281">
        <v>36423</v>
      </c>
      <c r="E19" s="281">
        <v>36423</v>
      </c>
      <c r="F19" s="280" t="s">
        <v>409</v>
      </c>
      <c r="G19" s="282">
        <v>1099800</v>
      </c>
      <c r="H19" s="282">
        <v>0</v>
      </c>
      <c r="I19" s="282">
        <v>0</v>
      </c>
      <c r="J19" s="282">
        <v>0</v>
      </c>
      <c r="K19" s="283">
        <f>SUM(G19:J19)</f>
        <v>1099800</v>
      </c>
      <c r="L19" s="280">
        <v>0</v>
      </c>
      <c r="M19" s="284"/>
      <c r="N19" s="285"/>
    </row>
    <row r="20" spans="1:14" ht="15.6">
      <c r="A20" s="279" t="s">
        <v>448</v>
      </c>
      <c r="B20" s="359" t="s">
        <v>449</v>
      </c>
      <c r="C20" s="280" t="s">
        <v>428</v>
      </c>
      <c r="D20" s="281">
        <v>36425</v>
      </c>
      <c r="E20" s="281">
        <v>36425</v>
      </c>
      <c r="F20" s="280" t="s">
        <v>409</v>
      </c>
      <c r="G20" s="282">
        <v>16100</v>
      </c>
      <c r="H20" s="282">
        <v>0</v>
      </c>
      <c r="I20" s="282">
        <v>0</v>
      </c>
      <c r="J20" s="282">
        <v>0</v>
      </c>
      <c r="K20" s="283">
        <f>SUM(G20:J20)</f>
        <v>16100</v>
      </c>
      <c r="L20" s="280">
        <v>0</v>
      </c>
      <c r="M20" s="284"/>
      <c r="N20" s="285"/>
    </row>
    <row r="21" spans="1:14" ht="15.6">
      <c r="A21" s="279" t="s">
        <v>448</v>
      </c>
      <c r="B21" s="359" t="s">
        <v>450</v>
      </c>
      <c r="C21" s="280" t="s">
        <v>428</v>
      </c>
      <c r="D21" s="281">
        <v>36425</v>
      </c>
      <c r="E21" s="281">
        <v>36425</v>
      </c>
      <c r="F21" s="280" t="s">
        <v>409</v>
      </c>
      <c r="G21" s="282">
        <v>29800</v>
      </c>
      <c r="H21" s="282">
        <v>0</v>
      </c>
      <c r="I21" s="282">
        <v>0</v>
      </c>
      <c r="J21" s="282">
        <v>0</v>
      </c>
      <c r="K21" s="283">
        <f>SUM(G21:J21)</f>
        <v>29800</v>
      </c>
      <c r="L21" s="280">
        <v>0</v>
      </c>
      <c r="M21" s="284"/>
      <c r="N21" s="285"/>
    </row>
    <row r="22" spans="1:14" ht="15.6">
      <c r="A22" s="279" t="s">
        <v>451</v>
      </c>
      <c r="B22" s="359" t="s">
        <v>452</v>
      </c>
      <c r="C22" s="280" t="s">
        <v>428</v>
      </c>
      <c r="D22" s="281">
        <v>36425</v>
      </c>
      <c r="E22" s="281">
        <v>36425</v>
      </c>
      <c r="F22" s="280" t="s">
        <v>409</v>
      </c>
      <c r="G22" s="282">
        <v>22900</v>
      </c>
      <c r="H22" s="282">
        <v>0</v>
      </c>
      <c r="I22" s="282">
        <v>0</v>
      </c>
      <c r="J22" s="282">
        <v>0</v>
      </c>
      <c r="K22" s="283">
        <f>SUM(G22:J22)</f>
        <v>22900</v>
      </c>
      <c r="L22" s="280">
        <v>0</v>
      </c>
      <c r="M22" s="284"/>
      <c r="N22" s="285"/>
    </row>
    <row r="23" spans="1:14" ht="15.6">
      <c r="A23" s="279" t="s">
        <v>451</v>
      </c>
      <c r="B23" s="359" t="s">
        <v>453</v>
      </c>
      <c r="C23" s="280" t="s">
        <v>428</v>
      </c>
      <c r="D23" s="281">
        <v>36425</v>
      </c>
      <c r="E23" s="281">
        <v>36425</v>
      </c>
      <c r="F23" s="280" t="s">
        <v>409</v>
      </c>
      <c r="G23" s="282">
        <v>39315</v>
      </c>
      <c r="H23" s="282">
        <v>0</v>
      </c>
      <c r="I23" s="282">
        <v>0</v>
      </c>
      <c r="J23" s="282">
        <v>0</v>
      </c>
      <c r="K23" s="283">
        <f>SUM(G23:J23)</f>
        <v>39315</v>
      </c>
      <c r="L23" s="280">
        <v>0</v>
      </c>
      <c r="M23" s="284"/>
      <c r="N23" s="285"/>
    </row>
    <row r="24" spans="1:14" ht="15.6">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432</v>
      </c>
      <c r="C27" s="280"/>
      <c r="D27" s="280"/>
      <c r="E27" s="280"/>
      <c r="F27" s="280" t="s">
        <v>409</v>
      </c>
      <c r="G27" s="296">
        <f t="shared" ref="G27:K30" si="0">SUMIF($F$12:$F$25,$F27,G$12:G$25)</f>
        <v>1645716</v>
      </c>
      <c r="H27" s="296">
        <f t="shared" si="0"/>
        <v>0</v>
      </c>
      <c r="I27" s="296">
        <f t="shared" si="0"/>
        <v>0</v>
      </c>
      <c r="J27" s="296">
        <f t="shared" si="0"/>
        <v>0</v>
      </c>
      <c r="K27" s="296">
        <f>SUM(K16:K23)</f>
        <v>1645716</v>
      </c>
      <c r="L27" s="280"/>
      <c r="M27" s="284"/>
      <c r="N27" s="285"/>
    </row>
    <row r="28" spans="1:14" ht="13.8">
      <c r="A28" s="279"/>
      <c r="B28" s="295" t="s">
        <v>433</v>
      </c>
      <c r="C28" s="280"/>
      <c r="D28" s="280"/>
      <c r="E28" s="280"/>
      <c r="F28" s="280" t="s">
        <v>412</v>
      </c>
      <c r="G28" s="296">
        <f t="shared" si="0"/>
        <v>0</v>
      </c>
      <c r="H28" s="296">
        <f>SUM(H13:H15)</f>
        <v>6992799</v>
      </c>
      <c r="I28" s="296">
        <f t="shared" si="0"/>
        <v>0</v>
      </c>
      <c r="J28" s="296">
        <f t="shared" si="0"/>
        <v>0</v>
      </c>
      <c r="K28" s="296">
        <f>SUM(K13:K15)</f>
        <v>6992799</v>
      </c>
      <c r="L28" s="280"/>
      <c r="M28" s="284"/>
      <c r="N28" s="285"/>
    </row>
    <row r="29" spans="1:14" ht="13.8">
      <c r="A29" s="279"/>
      <c r="B29" s="295" t="s">
        <v>434</v>
      </c>
      <c r="C29" s="280"/>
      <c r="D29" s="280"/>
      <c r="E29" s="280"/>
      <c r="F29" s="280" t="s">
        <v>415</v>
      </c>
      <c r="G29" s="296">
        <f t="shared" si="0"/>
        <v>0</v>
      </c>
      <c r="H29" s="296">
        <v>0</v>
      </c>
      <c r="I29" s="296">
        <f t="shared" si="0"/>
        <v>0</v>
      </c>
      <c r="J29" s="296">
        <f t="shared" si="0"/>
        <v>0</v>
      </c>
      <c r="K29" s="296">
        <v>0</v>
      </c>
      <c r="L29" s="280"/>
      <c r="M29" s="284"/>
      <c r="N29" s="285"/>
    </row>
    <row r="30" spans="1:14" ht="13.8">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4.4" thickBot="1">
      <c r="A31" s="297"/>
      <c r="B31" s="298" t="s">
        <v>454</v>
      </c>
      <c r="C31" s="299"/>
      <c r="D31" s="299"/>
      <c r="E31" s="299"/>
      <c r="F31" s="300" t="s">
        <v>76</v>
      </c>
      <c r="G31" s="301">
        <f>SUM(G26:G30)</f>
        <v>1645716</v>
      </c>
      <c r="H31" s="301">
        <f>SUM(H27:H30)</f>
        <v>6992799</v>
      </c>
      <c r="I31" s="301">
        <f>SUM(I26:I30)</f>
        <v>0</v>
      </c>
      <c r="J31" s="301">
        <f>SUM(J26:J30)</f>
        <v>0</v>
      </c>
      <c r="K31" s="301">
        <f>SUM(K26:K30)</f>
        <v>8638515</v>
      </c>
      <c r="L31" s="299"/>
      <c r="M31" s="302"/>
      <c r="N31" s="303"/>
    </row>
    <row r="32" spans="1:14" ht="13.8">
      <c r="A32" s="309"/>
      <c r="B32" s="310"/>
      <c r="C32" s="311"/>
      <c r="D32" s="311"/>
      <c r="E32" s="311"/>
      <c r="F32" s="270"/>
      <c r="G32" s="312"/>
      <c r="H32" s="312"/>
      <c r="I32" s="312"/>
      <c r="J32" s="312"/>
      <c r="K32" s="312"/>
      <c r="L32" s="311"/>
      <c r="M32" s="284"/>
      <c r="N32" s="313"/>
    </row>
    <row r="33" spans="1:8" ht="15">
      <c r="A33" s="308" t="s">
        <v>455</v>
      </c>
    </row>
    <row r="34" spans="1:8" ht="15">
      <c r="A34" s="308"/>
    </row>
    <row r="35" spans="1:8" s="122" customFormat="1" ht="15.6">
      <c r="A35" s="122" t="s">
        <v>437</v>
      </c>
      <c r="H35" s="304">
        <f>H24+H25</f>
        <v>0</v>
      </c>
    </row>
    <row r="37" spans="1:8" s="305" customFormat="1" ht="15">
      <c r="A37" s="305" t="s">
        <v>456</v>
      </c>
      <c r="H37" s="306">
        <v>0</v>
      </c>
    </row>
    <row r="39" spans="1:8" ht="15">
      <c r="A39" s="431" t="s">
        <v>545</v>
      </c>
      <c r="B39" s="432"/>
    </row>
    <row r="40" spans="1:8" s="18" customFormat="1" ht="15">
      <c r="A40" s="438" t="s">
        <v>546</v>
      </c>
      <c r="B40" s="437" t="s">
        <v>549</v>
      </c>
      <c r="H40" s="68">
        <v>317897</v>
      </c>
    </row>
    <row r="41" spans="1:8" s="18" customFormat="1" ht="15">
      <c r="A41" s="438" t="s">
        <v>550</v>
      </c>
      <c r="B41" s="437" t="s">
        <v>553</v>
      </c>
      <c r="H41" s="68">
        <v>-739008</v>
      </c>
    </row>
    <row r="42" spans="1:8" s="18" customFormat="1" ht="15">
      <c r="A42" s="438" t="s">
        <v>552</v>
      </c>
      <c r="B42" s="437" t="s">
        <v>565</v>
      </c>
      <c r="H42" s="68">
        <v>421112</v>
      </c>
    </row>
    <row r="43" spans="1:8" s="307" customFormat="1" ht="15">
      <c r="A43" s="435" t="s">
        <v>438</v>
      </c>
      <c r="B43" s="435"/>
      <c r="H43" s="439">
        <f>SUM(H40:H42)</f>
        <v>1</v>
      </c>
    </row>
    <row r="44" spans="1:8">
      <c r="H44" s="256"/>
    </row>
    <row r="46" spans="1:8" ht="18" thickBot="1">
      <c r="B46" s="443" t="s">
        <v>569</v>
      </c>
      <c r="C46" s="444"/>
      <c r="D46" s="444"/>
      <c r="E46" s="444"/>
      <c r="F46" s="444"/>
      <c r="G46" s="444"/>
      <c r="H46" s="445">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4.6">
      <c r="A4" s="259"/>
      <c r="B4" s="259" t="s">
        <v>392</v>
      </c>
      <c r="C4" s="257"/>
      <c r="D4" s="257"/>
      <c r="E4" s="257"/>
      <c r="F4" s="257"/>
      <c r="G4" s="257"/>
      <c r="H4" s="260"/>
      <c r="I4" s="260"/>
      <c r="J4" s="260"/>
      <c r="K4" s="260"/>
      <c r="L4" s="257"/>
      <c r="M4" s="257"/>
      <c r="N4" s="257"/>
    </row>
    <row r="5" spans="1:14" ht="21">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4" ht="13.8">
      <c r="A8" s="468"/>
      <c r="B8" s="471"/>
      <c r="C8" s="471"/>
      <c r="D8" s="471"/>
      <c r="E8" s="471"/>
      <c r="F8" s="471"/>
      <c r="G8" s="465"/>
      <c r="H8" s="465"/>
      <c r="I8" s="465"/>
      <c r="J8" s="465"/>
      <c r="K8" s="465"/>
      <c r="L8" s="471"/>
      <c r="M8" s="462"/>
      <c r="N8" s="263"/>
    </row>
    <row r="9" spans="1:14" ht="14.4" thickBot="1">
      <c r="A9" s="469"/>
      <c r="B9" s="472"/>
      <c r="C9" s="472"/>
      <c r="D9" s="472"/>
      <c r="E9" s="472"/>
      <c r="F9" s="472"/>
      <c r="G9" s="466"/>
      <c r="H9" s="466"/>
      <c r="I9" s="466"/>
      <c r="J9" s="466"/>
      <c r="K9" s="466"/>
      <c r="L9" s="472"/>
      <c r="M9" s="463"/>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458</v>
      </c>
      <c r="B11" s="269"/>
      <c r="C11" s="270"/>
      <c r="D11" s="270"/>
      <c r="E11" s="270"/>
      <c r="F11" s="270"/>
      <c r="G11" s="270"/>
      <c r="H11" s="271"/>
      <c r="I11" s="271"/>
      <c r="J11" s="271"/>
      <c r="K11" s="271"/>
      <c r="L11" s="270"/>
      <c r="M11" s="267"/>
      <c r="N11" s="267"/>
    </row>
    <row r="12" spans="1:14" s="335" customFormat="1" ht="74.25" customHeight="1">
      <c r="A12" s="352" t="s">
        <v>459</v>
      </c>
      <c r="B12" s="358" t="s">
        <v>487</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460</v>
      </c>
      <c r="B13" s="358" t="s">
        <v>489</v>
      </c>
      <c r="C13" s="341" t="s">
        <v>232</v>
      </c>
      <c r="D13" s="342">
        <v>36464</v>
      </c>
      <c r="E13" s="342"/>
      <c r="F13" s="341" t="s">
        <v>415</v>
      </c>
      <c r="G13" s="343"/>
      <c r="H13" s="343">
        <v>2321129</v>
      </c>
      <c r="I13" s="344">
        <v>0</v>
      </c>
      <c r="J13" s="344">
        <v>0</v>
      </c>
      <c r="K13" s="344">
        <f>SUM(G13:J13)</f>
        <v>2321129</v>
      </c>
      <c r="L13" s="341" t="s">
        <v>441</v>
      </c>
      <c r="M13" s="345"/>
      <c r="N13" s="334"/>
    </row>
    <row r="14" spans="1:14" s="454" customFormat="1" ht="23.25" customHeight="1">
      <c r="A14" s="446"/>
      <c r="B14" s="447" t="s">
        <v>564</v>
      </c>
      <c r="C14" s="448"/>
      <c r="D14" s="449"/>
      <c r="E14" s="449"/>
      <c r="F14" s="448"/>
      <c r="G14" s="450"/>
      <c r="H14" s="450">
        <v>294693</v>
      </c>
      <c r="I14" s="451"/>
      <c r="J14" s="451"/>
      <c r="K14" s="451">
        <f>SUM(H14:J14)</f>
        <v>294693</v>
      </c>
      <c r="L14" s="448"/>
      <c r="M14" s="452"/>
      <c r="N14" s="453"/>
    </row>
    <row r="15" spans="1:14" ht="15.6">
      <c r="A15" s="279"/>
      <c r="B15" s="359"/>
      <c r="C15" s="280"/>
      <c r="D15" s="281"/>
      <c r="E15" s="281"/>
      <c r="F15" s="280"/>
      <c r="G15" s="282"/>
      <c r="H15" s="282"/>
      <c r="I15" s="283"/>
      <c r="J15" s="283"/>
      <c r="K15" s="283"/>
      <c r="L15" s="280"/>
      <c r="M15" s="284"/>
      <c r="N15" s="285"/>
    </row>
    <row r="16" spans="1:14" ht="15.6">
      <c r="A16" s="279" t="s">
        <v>461</v>
      </c>
      <c r="B16" s="359" t="s">
        <v>462</v>
      </c>
      <c r="C16" s="280" t="s">
        <v>428</v>
      </c>
      <c r="D16" s="281">
        <v>36342</v>
      </c>
      <c r="E16" s="281">
        <v>36342</v>
      </c>
      <c r="F16" s="280" t="s">
        <v>409</v>
      </c>
      <c r="G16" s="282">
        <v>-100000</v>
      </c>
      <c r="H16" s="282">
        <v>0</v>
      </c>
      <c r="I16" s="283">
        <v>0</v>
      </c>
      <c r="J16" s="283">
        <v>0</v>
      </c>
      <c r="K16" s="283">
        <f>SUM(G16:J16)</f>
        <v>-100000</v>
      </c>
      <c r="L16" s="280">
        <v>0</v>
      </c>
      <c r="M16" s="284"/>
      <c r="N16" s="285"/>
    </row>
    <row r="17" spans="1:14" ht="15.6">
      <c r="A17" s="279" t="s">
        <v>463</v>
      </c>
      <c r="B17" s="359" t="s">
        <v>464</v>
      </c>
      <c r="C17" s="280" t="s">
        <v>428</v>
      </c>
      <c r="D17" s="281">
        <v>36348</v>
      </c>
      <c r="E17" s="281">
        <v>36348</v>
      </c>
      <c r="F17" s="280" t="s">
        <v>409</v>
      </c>
      <c r="G17" s="282">
        <v>353801</v>
      </c>
      <c r="H17" s="282">
        <v>0</v>
      </c>
      <c r="I17" s="283">
        <v>0</v>
      </c>
      <c r="J17" s="283">
        <v>0</v>
      </c>
      <c r="K17" s="283">
        <f>SUM(G17:J17)</f>
        <v>353801</v>
      </c>
      <c r="L17" s="280">
        <v>0</v>
      </c>
      <c r="M17" s="284"/>
      <c r="N17" s="285"/>
    </row>
    <row r="18" spans="1:14" ht="15.6">
      <c r="A18" s="279" t="s">
        <v>465</v>
      </c>
      <c r="B18" s="359" t="s">
        <v>466</v>
      </c>
      <c r="C18" s="280" t="s">
        <v>428</v>
      </c>
      <c r="D18" s="281">
        <v>36398</v>
      </c>
      <c r="E18" s="281">
        <v>36398</v>
      </c>
      <c r="F18" s="280" t="s">
        <v>409</v>
      </c>
      <c r="G18" s="282">
        <v>-22200</v>
      </c>
      <c r="H18" s="282">
        <v>0</v>
      </c>
      <c r="I18" s="283">
        <v>0</v>
      </c>
      <c r="J18" s="283">
        <v>0</v>
      </c>
      <c r="K18" s="283">
        <f>SUM(G18:J18)</f>
        <v>-22200</v>
      </c>
      <c r="L18" s="280">
        <v>0</v>
      </c>
      <c r="M18" s="284"/>
      <c r="N18" s="285"/>
    </row>
    <row r="19" spans="1:14" ht="13.8">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ht="13.8">
      <c r="A22" s="279"/>
      <c r="B22" s="295" t="s">
        <v>432</v>
      </c>
      <c r="C22" s="280"/>
      <c r="D22" s="280"/>
      <c r="E22" s="280"/>
      <c r="F22" s="280" t="s">
        <v>409</v>
      </c>
      <c r="G22" s="296">
        <f t="shared" ref="G22:K25" si="0">SUMIF($F$12:$F$20,$F22,G$12:G$20)</f>
        <v>231601</v>
      </c>
      <c r="H22" s="296">
        <f t="shared" si="0"/>
        <v>0</v>
      </c>
      <c r="I22" s="296">
        <f t="shared" si="0"/>
        <v>0</v>
      </c>
      <c r="J22" s="296">
        <f t="shared" si="0"/>
        <v>0</v>
      </c>
      <c r="K22" s="296">
        <f t="shared" si="0"/>
        <v>231601</v>
      </c>
      <c r="L22" s="280"/>
      <c r="M22" s="284"/>
      <c r="N22" s="285"/>
    </row>
    <row r="23" spans="1:14" ht="13.8">
      <c r="A23" s="279"/>
      <c r="B23" s="295" t="s">
        <v>433</v>
      </c>
      <c r="C23" s="280"/>
      <c r="D23" s="280"/>
      <c r="E23" s="280"/>
      <c r="F23" s="280" t="s">
        <v>412</v>
      </c>
      <c r="G23" s="296">
        <f t="shared" si="0"/>
        <v>0</v>
      </c>
      <c r="H23" s="296">
        <f>SUM(H12:H19)</f>
        <v>6569215</v>
      </c>
      <c r="I23" s="296">
        <f t="shared" si="0"/>
        <v>0</v>
      </c>
      <c r="J23" s="296">
        <f t="shared" si="0"/>
        <v>0</v>
      </c>
      <c r="K23" s="296">
        <f t="shared" si="0"/>
        <v>0</v>
      </c>
      <c r="L23" s="280"/>
      <c r="M23" s="284"/>
      <c r="N23" s="285"/>
    </row>
    <row r="24" spans="1:14" ht="13.8">
      <c r="A24" s="279"/>
      <c r="B24" s="295" t="s">
        <v>434</v>
      </c>
      <c r="C24" s="280"/>
      <c r="D24" s="280"/>
      <c r="E24" s="280"/>
      <c r="F24" s="280" t="s">
        <v>415</v>
      </c>
      <c r="G24" s="296">
        <f t="shared" si="0"/>
        <v>0</v>
      </c>
      <c r="H24" s="296"/>
      <c r="I24" s="296">
        <f t="shared" si="0"/>
        <v>0</v>
      </c>
      <c r="J24" s="296">
        <f t="shared" si="0"/>
        <v>0</v>
      </c>
      <c r="K24" s="296">
        <f t="shared" si="0"/>
        <v>6274522</v>
      </c>
      <c r="L24" s="280"/>
      <c r="M24" s="284"/>
      <c r="N24" s="285"/>
    </row>
    <row r="25" spans="1:14" ht="13.8">
      <c r="A25" s="279"/>
      <c r="B25" s="295" t="s">
        <v>435</v>
      </c>
      <c r="C25" s="280"/>
      <c r="D25" s="280"/>
      <c r="E25" s="280"/>
      <c r="F25" s="280" t="s">
        <v>436</v>
      </c>
      <c r="G25" s="296">
        <f t="shared" si="0"/>
        <v>0</v>
      </c>
      <c r="H25" s="296">
        <f t="shared" si="0"/>
        <v>0</v>
      </c>
      <c r="I25" s="296">
        <f t="shared" si="0"/>
        <v>0</v>
      </c>
      <c r="J25" s="296">
        <f t="shared" si="0"/>
        <v>0</v>
      </c>
      <c r="K25" s="296">
        <f t="shared" si="0"/>
        <v>0</v>
      </c>
      <c r="L25" s="280"/>
      <c r="M25" s="284"/>
      <c r="N25" s="285"/>
    </row>
    <row r="26" spans="1:14" ht="14.4" thickBot="1">
      <c r="A26" s="279"/>
      <c r="B26" s="295" t="s">
        <v>467</v>
      </c>
      <c r="C26" s="299"/>
      <c r="D26" s="299"/>
      <c r="E26" s="299"/>
      <c r="F26" s="300" t="s">
        <v>76</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6" t="s">
        <v>455</v>
      </c>
      <c r="B28" s="30"/>
    </row>
    <row r="29" spans="1:14" ht="15">
      <c r="A29" s="436"/>
      <c r="B29" s="30"/>
    </row>
    <row r="30" spans="1:14" s="122" customFormat="1" ht="15.6">
      <c r="A30" s="433" t="s">
        <v>437</v>
      </c>
      <c r="B30" s="433"/>
      <c r="H30" s="304">
        <f>H19+H20</f>
        <v>0</v>
      </c>
    </row>
    <row r="31" spans="1:14">
      <c r="A31" s="30"/>
      <c r="B31" s="30"/>
    </row>
    <row r="32" spans="1:14" s="305" customFormat="1" ht="15">
      <c r="A32" s="434" t="s">
        <v>456</v>
      </c>
      <c r="B32" s="434"/>
      <c r="H32" s="306">
        <v>0</v>
      </c>
    </row>
    <row r="33" spans="1:8">
      <c r="A33" s="30"/>
      <c r="B33" s="30"/>
    </row>
    <row r="34" spans="1:8">
      <c r="A34" s="30"/>
      <c r="B34" s="30"/>
    </row>
    <row r="35" spans="1:8" ht="15">
      <c r="A35" s="431" t="s">
        <v>545</v>
      </c>
      <c r="B35" s="432"/>
    </row>
    <row r="36" spans="1:8" s="18" customFormat="1" ht="15">
      <c r="A36" s="438" t="s">
        <v>546</v>
      </c>
      <c r="B36" s="437" t="s">
        <v>547</v>
      </c>
      <c r="H36" s="68">
        <v>-124695</v>
      </c>
    </row>
    <row r="37" spans="1:8" s="18" customFormat="1" ht="15">
      <c r="A37" s="438" t="s">
        <v>548</v>
      </c>
      <c r="B37" s="437" t="s">
        <v>549</v>
      </c>
      <c r="H37" s="68">
        <v>-95805</v>
      </c>
    </row>
    <row r="38" spans="1:8" s="18" customFormat="1" ht="15">
      <c r="A38" s="438" t="s">
        <v>550</v>
      </c>
      <c r="B38" s="437" t="s">
        <v>551</v>
      </c>
      <c r="H38" s="68">
        <v>-477220</v>
      </c>
    </row>
    <row r="39" spans="1:8" s="18" customFormat="1" ht="15">
      <c r="A39" s="438" t="s">
        <v>552</v>
      </c>
      <c r="B39" s="437" t="s">
        <v>553</v>
      </c>
      <c r="H39" s="68">
        <v>745403</v>
      </c>
    </row>
    <row r="40" spans="1:8" s="307" customFormat="1" ht="15">
      <c r="A40" s="435" t="s">
        <v>438</v>
      </c>
      <c r="B40" s="435"/>
      <c r="H40" s="439">
        <f>SUM(H36:H39)</f>
        <v>47683</v>
      </c>
    </row>
    <row r="41" spans="1:8">
      <c r="A41" s="30"/>
      <c r="B41" s="30"/>
    </row>
    <row r="42" spans="1:8">
      <c r="A42" s="30"/>
      <c r="B42" s="30"/>
    </row>
    <row r="43" spans="1:8" ht="18" thickBot="1">
      <c r="B43" s="443" t="s">
        <v>569</v>
      </c>
      <c r="C43" s="444"/>
      <c r="D43" s="444"/>
      <c r="E43" s="444"/>
      <c r="F43" s="444"/>
      <c r="G43" s="444"/>
      <c r="H43" s="445">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498</v>
      </c>
      <c r="I45" s="368">
        <v>19947.871999999999</v>
      </c>
      <c r="J45" s="20">
        <f>I45+10717.074</f>
        <v>30664.946</v>
      </c>
    </row>
    <row r="46" spans="1:79" ht="16.2" thickBot="1">
      <c r="D46" t="s">
        <v>472</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topLeftCell="A38" zoomScale="90" zoomScaleNormal="90" zoomScaleSheetLayoutView="100" workbookViewId="0">
      <selection activeCell="A68" sqref="A68"/>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128</v>
      </c>
    </row>
    <row r="2" spans="1:29" ht="15.6">
      <c r="A2" s="174" t="s">
        <v>171</v>
      </c>
      <c r="G2" s="176"/>
      <c r="J2" s="177" t="s">
        <v>125</v>
      </c>
      <c r="O2" s="176">
        <f ca="1">NOW()</f>
        <v>36563.441276041667</v>
      </c>
    </row>
    <row r="3" spans="1:29" ht="15.6">
      <c r="A3" s="178" t="s">
        <v>191</v>
      </c>
      <c r="G3" s="176"/>
      <c r="J3" s="177"/>
      <c r="O3" s="176"/>
    </row>
    <row r="4" spans="1:29" ht="15.6">
      <c r="A4" s="174" t="s">
        <v>187</v>
      </c>
      <c r="J4" s="177" t="s">
        <v>126</v>
      </c>
      <c r="O4" s="98" t="s">
        <v>583</v>
      </c>
    </row>
    <row r="5" spans="1:29" ht="15.6">
      <c r="A5" s="178" t="s">
        <v>582</v>
      </c>
      <c r="I5" s="26"/>
      <c r="O5" s="179"/>
    </row>
    <row r="6" spans="1:29" ht="16.2" thickBot="1">
      <c r="A6" s="174"/>
      <c r="I6" s="26"/>
      <c r="O6" s="179"/>
    </row>
    <row r="7" spans="1:29" ht="16.2"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2/4/00</v>
      </c>
      <c r="H9" s="182"/>
      <c r="I9" s="53" t="str">
        <f>+O4</f>
        <v xml:space="preserve"> As of 2/4/00</v>
      </c>
      <c r="J9" s="182"/>
      <c r="K9" s="90" t="str">
        <f>+O4</f>
        <v xml:space="preserve"> As of 2/4/00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180373.13388448261</v>
      </c>
      <c r="H11" s="182"/>
      <c r="I11" s="188">
        <f>K11-G11</f>
        <v>74453.596072975371</v>
      </c>
      <c r="J11" s="182"/>
      <c r="K11" s="190">
        <f>Wilton!BR213/1000</f>
        <v>254826.72995745798</v>
      </c>
      <c r="M11" s="188">
        <f>+E11-K11</f>
        <v>-12084.504207457969</v>
      </c>
      <c r="O11" s="191">
        <f>+G11/K11</f>
        <v>0.7078265844191266</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114284.66755117982</v>
      </c>
      <c r="H13" s="182"/>
      <c r="I13" s="188">
        <f>K13-G13</f>
        <v>61662.839220985479</v>
      </c>
      <c r="J13" s="182"/>
      <c r="K13" s="190">
        <f>Gleason!BT255/1000</f>
        <v>175947.5067721653</v>
      </c>
      <c r="M13" s="188">
        <f>+E13-K13</f>
        <v>-2305.7967721653113</v>
      </c>
      <c r="O13" s="191">
        <f>+G13/K13</f>
        <v>0.64953843136389089</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105759.47719364868</v>
      </c>
      <c r="H15" s="182"/>
      <c r="I15" s="188">
        <f>K15-G15</f>
        <v>56501.507327801271</v>
      </c>
      <c r="J15" s="182"/>
      <c r="K15" s="190">
        <f>Wheatland!BR212/1000</f>
        <v>162260.98452144995</v>
      </c>
      <c r="M15" s="188">
        <f>+E15-K15</f>
        <v>-743.03642144997139</v>
      </c>
      <c r="O15" s="191">
        <f>+G15/K15</f>
        <v>0.65178624119384598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400417.27862931113</v>
      </c>
      <c r="H17" s="204"/>
      <c r="I17" s="203">
        <f>SUM(I11:I15)</f>
        <v>192617.94262176211</v>
      </c>
      <c r="J17" s="182"/>
      <c r="K17" s="206">
        <f>SUM(K11:K15)</f>
        <v>593035.22125107329</v>
      </c>
      <c r="L17" s="182"/>
      <c r="M17" s="203">
        <f>SUM(M10:M15)</f>
        <v>-15133.337401073251</v>
      </c>
      <c r="N17" s="182"/>
      <c r="O17" s="207">
        <f>+G17/K17</f>
        <v>0.67519982672291645</v>
      </c>
    </row>
    <row r="18" spans="1:29" ht="13.8" thickBot="1">
      <c r="A18" s="208" t="s">
        <v>51</v>
      </c>
      <c r="B18" s="201"/>
      <c r="C18" s="208"/>
      <c r="D18" s="182"/>
      <c r="E18" s="209">
        <f>E17/C17</f>
        <v>364.14737482671705</v>
      </c>
      <c r="F18" s="204"/>
      <c r="G18" s="210"/>
      <c r="H18" s="211"/>
      <c r="I18" s="212"/>
      <c r="J18" s="213"/>
      <c r="K18" s="214">
        <f>+K17/C17</f>
        <v>373.68318919412303</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2/4/00</v>
      </c>
      <c r="H22" s="182"/>
      <c r="I22" s="53" t="str">
        <f>I9</f>
        <v xml:space="preserve"> As of 2/4/00</v>
      </c>
      <c r="J22" s="182"/>
      <c r="K22" s="90" t="str">
        <f>K9</f>
        <v xml:space="preserve"> As of 2/4/00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2/4/00</v>
      </c>
      <c r="H35" s="182"/>
      <c r="I35" s="53" t="str">
        <f>O4</f>
        <v xml:space="preserve"> As of 2/4/00</v>
      </c>
      <c r="J35" s="182"/>
      <c r="K35" s="90" t="str">
        <f>O4</f>
        <v xml:space="preserve"> As of 2/4/00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59" t="s">
        <v>207</v>
      </c>
      <c r="B45" s="460"/>
      <c r="C45" s="460"/>
      <c r="D45" s="460"/>
      <c r="E45" s="460"/>
      <c r="F45" s="460"/>
      <c r="G45" s="460"/>
      <c r="H45" s="460"/>
      <c r="I45" s="460"/>
      <c r="J45" s="460"/>
      <c r="K45" s="460"/>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59" t="s">
        <v>143</v>
      </c>
      <c r="B54" s="460"/>
      <c r="C54" s="460"/>
      <c r="D54" s="460"/>
      <c r="E54" s="460"/>
      <c r="F54" s="460"/>
      <c r="G54" s="460"/>
      <c r="H54" s="460"/>
      <c r="I54" s="460"/>
      <c r="J54" s="460"/>
      <c r="K54" s="460"/>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469</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-210.81814000000014</v>
      </c>
      <c r="E62" s="175" t="s">
        <v>497</v>
      </c>
    </row>
    <row r="63" spans="1:15">
      <c r="A63" s="182"/>
      <c r="C63" s="228">
        <f>Wilton!BT176/1000</f>
        <v>-200</v>
      </c>
      <c r="E63" s="175" t="s">
        <v>568</v>
      </c>
    </row>
    <row r="64" spans="1:15">
      <c r="A64" s="182"/>
      <c r="C64" s="228">
        <f>Wilton!BT206/1000</f>
        <v>556.34010254200359</v>
      </c>
      <c r="E64" s="175" t="s">
        <v>567</v>
      </c>
    </row>
    <row r="65" spans="1:12">
      <c r="A65" s="182"/>
      <c r="C65" s="228">
        <f>(Wilton!BT197-Wilton!BT196-Wilton!BT195)/1000</f>
        <v>-322.32858999999996</v>
      </c>
      <c r="E65" s="175" t="s">
        <v>584</v>
      </c>
    </row>
    <row r="66" spans="1:12">
      <c r="A66" s="182"/>
      <c r="C66" s="228">
        <f>-Wilton!BR195/1000</f>
        <v>-191.01289000000003</v>
      </c>
      <c r="E66" s="175" t="s">
        <v>494</v>
      </c>
    </row>
    <row r="67" spans="1:12">
      <c r="A67" s="182"/>
      <c r="C67" s="228">
        <f>Wilton!BT204/1000</f>
        <v>-301.67212999999998</v>
      </c>
      <c r="E67" s="175" t="s">
        <v>503</v>
      </c>
    </row>
    <row r="68" spans="1:12">
      <c r="A68" s="182"/>
      <c r="C68" s="315">
        <v>4408.0720000000001</v>
      </c>
      <c r="E68" s="182" t="s">
        <v>378</v>
      </c>
      <c r="F68" s="182"/>
      <c r="G68" s="182"/>
      <c r="H68" s="182"/>
      <c r="I68" s="182"/>
    </row>
    <row r="69" spans="1:12">
      <c r="A69" s="182"/>
      <c r="C69" s="315">
        <f>Wilton!BT186/1000</f>
        <v>-116.24850000000001</v>
      </c>
      <c r="E69" s="182" t="s">
        <v>491</v>
      </c>
      <c r="F69" s="182"/>
      <c r="G69" s="182"/>
      <c r="H69" s="182"/>
      <c r="I69" s="182"/>
    </row>
    <row r="70" spans="1:12">
      <c r="A70" s="182"/>
      <c r="C70" s="247">
        <f>Wilton!BT156/1000</f>
        <v>-218.55581000000004</v>
      </c>
      <c r="D70" s="248"/>
      <c r="E70" s="248" t="s">
        <v>496</v>
      </c>
      <c r="F70" s="248"/>
      <c r="G70" s="248"/>
      <c r="H70" s="248"/>
      <c r="I70" s="248"/>
      <c r="J70" s="248"/>
      <c r="K70" s="248"/>
    </row>
    <row r="71" spans="1:12">
      <c r="A71" s="182"/>
      <c r="C71" s="457">
        <f>SUM(C57:C70)</f>
        <v>-12084.063957457995</v>
      </c>
      <c r="D71" s="182"/>
      <c r="E71" s="428" t="s">
        <v>471</v>
      </c>
      <c r="F71" s="182"/>
      <c r="G71" s="182"/>
      <c r="H71" s="182"/>
      <c r="I71" s="182"/>
      <c r="J71" s="182"/>
      <c r="K71" s="182"/>
      <c r="L71" s="182"/>
    </row>
    <row r="72" spans="1:12">
      <c r="A72" s="182"/>
      <c r="C72" s="458"/>
    </row>
    <row r="73" spans="1:12">
      <c r="A73" s="182"/>
      <c r="C73" s="458">
        <f>-'Wilton - Nepco Scope Changes'!M15/1000</f>
        <v>-2169.1590000000001</v>
      </c>
      <c r="E73" s="175" t="s">
        <v>585</v>
      </c>
    </row>
    <row r="74" spans="1:12" ht="13.8" thickBot="1">
      <c r="A74" s="182"/>
      <c r="C74" s="322">
        <f>SUM(C71:C73)</f>
        <v>-14253.222957457994</v>
      </c>
      <c r="D74" s="316"/>
      <c r="E74" s="317" t="s">
        <v>471</v>
      </c>
      <c r="F74" s="316"/>
      <c r="G74" s="316"/>
      <c r="H74" s="316"/>
      <c r="I74" s="316"/>
      <c r="J74" s="316"/>
      <c r="K74" s="316"/>
    </row>
    <row r="75" spans="1:12" ht="13.8" thickTop="1">
      <c r="A75" s="182"/>
      <c r="C75" s="228"/>
    </row>
    <row r="76" spans="1:12">
      <c r="A76" s="227" t="s">
        <v>298</v>
      </c>
      <c r="C76" s="228">
        <f>Gleason!BV238/1000</f>
        <v>-32.203279999999999</v>
      </c>
      <c r="E76" s="219" t="s">
        <v>282</v>
      </c>
      <c r="F76" s="219"/>
      <c r="G76" s="219"/>
      <c r="H76" s="219"/>
      <c r="I76" s="219"/>
    </row>
    <row r="77" spans="1:12">
      <c r="A77" s="227"/>
      <c r="C77" s="315">
        <f>Gleason!BV133/1000</f>
        <v>-3860.0135599999994</v>
      </c>
      <c r="D77" s="182"/>
      <c r="E77" s="175" t="s">
        <v>469</v>
      </c>
      <c r="F77" s="217"/>
      <c r="G77" s="217"/>
      <c r="H77" s="217"/>
      <c r="I77" s="217"/>
      <c r="J77" s="182"/>
      <c r="K77" s="182"/>
    </row>
    <row r="78" spans="1:12">
      <c r="A78" s="227"/>
      <c r="C78" s="315">
        <f>Gleason!BV16/1000</f>
        <v>-1981.0440000000001</v>
      </c>
      <c r="E78" s="175" t="s">
        <v>376</v>
      </c>
      <c r="F78" s="217"/>
      <c r="G78" s="217"/>
      <c r="H78" s="217"/>
      <c r="I78" s="217"/>
      <c r="J78" s="182"/>
      <c r="K78" s="182"/>
    </row>
    <row r="79" spans="1:12">
      <c r="A79" s="227"/>
      <c r="C79" s="315">
        <f>Gleason!BV33/1000</f>
        <v>-138.80000000000001</v>
      </c>
      <c r="E79" s="175" t="s">
        <v>536</v>
      </c>
      <c r="F79" s="217"/>
      <c r="G79" s="217"/>
      <c r="H79" s="217"/>
      <c r="I79" s="217"/>
      <c r="J79" s="182"/>
      <c r="K79" s="182"/>
    </row>
    <row r="80" spans="1:12">
      <c r="A80" s="227"/>
      <c r="C80" s="315">
        <f>Gleason!BV218/1000</f>
        <v>-1690.117</v>
      </c>
      <c r="E80" s="175" t="s">
        <v>499</v>
      </c>
      <c r="F80" s="217"/>
      <c r="G80" s="217"/>
      <c r="H80" s="217"/>
      <c r="I80" s="217"/>
      <c r="J80" s="182"/>
      <c r="K80" s="182"/>
    </row>
    <row r="81" spans="1:15">
      <c r="A81" s="227"/>
      <c r="C81" s="315">
        <f>Gleason!BV237/1000</f>
        <v>-191.01290000000003</v>
      </c>
      <c r="E81" s="175" t="s">
        <v>494</v>
      </c>
      <c r="F81" s="217"/>
      <c r="G81" s="217"/>
      <c r="H81" s="217"/>
      <c r="I81" s="217"/>
      <c r="J81" s="182"/>
      <c r="K81" s="182"/>
    </row>
    <row r="82" spans="1:15">
      <c r="A82" s="227"/>
      <c r="C82" s="315">
        <f>Gleason!BV247/1000</f>
        <v>230.84766783470474</v>
      </c>
      <c r="E82" s="175" t="s">
        <v>567</v>
      </c>
      <c r="F82" s="217"/>
      <c r="G82" s="217"/>
      <c r="H82" s="217"/>
      <c r="I82" s="217"/>
      <c r="J82" s="182"/>
      <c r="K82" s="182"/>
    </row>
    <row r="83" spans="1:15">
      <c r="A83" s="227"/>
      <c r="C83" s="315">
        <f>Gleason!BV245/1000</f>
        <v>-252.20846000000003</v>
      </c>
      <c r="E83" s="175" t="s">
        <v>504</v>
      </c>
      <c r="F83" s="217"/>
      <c r="G83" s="217"/>
      <c r="H83" s="217"/>
      <c r="I83" s="217"/>
      <c r="J83" s="182"/>
      <c r="K83" s="182"/>
    </row>
    <row r="84" spans="1:15">
      <c r="A84" s="227"/>
      <c r="C84" s="315">
        <f>Gleason!BV185/1000</f>
        <v>-14.5</v>
      </c>
      <c r="E84" s="175" t="s">
        <v>537</v>
      </c>
      <c r="F84" s="217"/>
      <c r="G84" s="217"/>
      <c r="H84" s="217"/>
      <c r="I84" s="217"/>
      <c r="J84" s="182"/>
      <c r="K84" s="182"/>
    </row>
    <row r="85" spans="1:15">
      <c r="A85" s="227"/>
      <c r="C85" s="315">
        <f>Gleason!BV195/1000</f>
        <v>-23.038399999999964</v>
      </c>
      <c r="E85" s="175" t="s">
        <v>538</v>
      </c>
      <c r="F85" s="217"/>
      <c r="G85" s="217"/>
      <c r="H85" s="217"/>
      <c r="I85" s="217"/>
      <c r="J85" s="182"/>
      <c r="K85" s="182"/>
    </row>
    <row r="86" spans="1:15">
      <c r="A86" s="227"/>
      <c r="C86" s="315">
        <f>Gleason!BV236/1000</f>
        <v>-26.269589999999997</v>
      </c>
      <c r="E86" s="175" t="s">
        <v>584</v>
      </c>
      <c r="F86" s="217"/>
      <c r="G86" s="217"/>
      <c r="H86" s="217"/>
      <c r="I86" s="217"/>
      <c r="J86" s="182"/>
      <c r="K86" s="182"/>
    </row>
    <row r="87" spans="1:15">
      <c r="A87" s="227"/>
      <c r="C87" s="315">
        <f>Gleason!BV251/1000</f>
        <v>5423.4979999999996</v>
      </c>
      <c r="D87" s="182"/>
      <c r="E87" s="182" t="s">
        <v>378</v>
      </c>
      <c r="F87" s="217"/>
      <c r="G87" s="217"/>
      <c r="H87" s="217"/>
      <c r="I87" s="217"/>
      <c r="J87" s="182"/>
      <c r="K87" s="182"/>
    </row>
    <row r="88" spans="1:15" s="30" customFormat="1">
      <c r="A88" s="227"/>
      <c r="B88" s="182"/>
      <c r="C88" s="247">
        <f>Gleason!BV141/1000</f>
        <v>250</v>
      </c>
      <c r="D88" s="248"/>
      <c r="E88" s="370" t="s">
        <v>500</v>
      </c>
      <c r="F88" s="314"/>
      <c r="G88" s="314"/>
      <c r="H88" s="314"/>
      <c r="I88" s="314"/>
      <c r="J88" s="248"/>
      <c r="K88" s="248"/>
      <c r="L88" s="182"/>
      <c r="M88" s="182"/>
      <c r="N88" s="182"/>
      <c r="O88" s="182"/>
    </row>
    <row r="89" spans="1:15">
      <c r="A89" s="227"/>
      <c r="C89" s="323">
        <f>SUM(C76:C88)</f>
        <v>-2304.8615221652954</v>
      </c>
      <c r="D89" s="182"/>
      <c r="E89" s="324" t="s">
        <v>468</v>
      </c>
      <c r="F89" s="217"/>
      <c r="G89" s="217"/>
      <c r="H89" s="217"/>
      <c r="I89" s="217"/>
      <c r="J89" s="182"/>
      <c r="K89" s="182"/>
    </row>
    <row r="90" spans="1:15">
      <c r="A90" s="182"/>
      <c r="C90" s="228"/>
      <c r="E90" s="219"/>
      <c r="F90" s="219"/>
      <c r="G90" s="219"/>
      <c r="H90" s="219"/>
      <c r="I90" s="219"/>
    </row>
    <row r="91" spans="1:15">
      <c r="A91" s="182"/>
      <c r="C91" s="228">
        <f>Gleason!BT129/1000</f>
        <v>-3387.761</v>
      </c>
      <c r="E91" s="175" t="s">
        <v>586</v>
      </c>
    </row>
    <row r="92" spans="1:15" ht="13.8" thickBot="1">
      <c r="A92" s="182"/>
      <c r="C92" s="321">
        <f>SUM(C89:C91)</f>
        <v>-5692.6225221652949</v>
      </c>
      <c r="D92" s="316"/>
      <c r="E92" s="317" t="s">
        <v>471</v>
      </c>
      <c r="F92" s="316"/>
      <c r="G92" s="318"/>
      <c r="H92" s="319"/>
      <c r="I92" s="320"/>
      <c r="J92" s="316"/>
      <c r="K92" s="316"/>
    </row>
    <row r="93" spans="1:15" ht="13.8" thickTop="1">
      <c r="A93" s="182"/>
      <c r="C93" s="228"/>
      <c r="E93" s="219"/>
      <c r="F93" s="219"/>
      <c r="G93" s="219"/>
      <c r="H93" s="219"/>
      <c r="I93" s="219"/>
    </row>
    <row r="94" spans="1:15">
      <c r="A94" s="227" t="s">
        <v>196</v>
      </c>
      <c r="C94" s="228">
        <f>Wheatland!BT195/1000</f>
        <v>-159.23316999999997</v>
      </c>
      <c r="E94" s="219" t="s">
        <v>282</v>
      </c>
    </row>
    <row r="95" spans="1:15">
      <c r="C95" s="228">
        <f>Wheatland!BT127/1000</f>
        <v>-2702.085</v>
      </c>
      <c r="E95" s="175" t="s">
        <v>470</v>
      </c>
    </row>
    <row r="96" spans="1:15">
      <c r="A96" s="231"/>
      <c r="B96" s="232"/>
      <c r="C96" s="228">
        <f>Wheatland!BT12/1000</f>
        <v>-297.80099999999999</v>
      </c>
      <c r="D96" s="232"/>
      <c r="E96" s="175" t="s">
        <v>376</v>
      </c>
      <c r="F96" s="232"/>
      <c r="G96" s="232"/>
      <c r="H96" s="232"/>
      <c r="I96" s="232"/>
      <c r="J96" s="232"/>
      <c r="K96" s="232"/>
      <c r="L96" s="232"/>
      <c r="M96" s="232"/>
      <c r="N96" s="232"/>
    </row>
    <row r="97" spans="1:15">
      <c r="C97" s="228">
        <f>Wheatland!BT32/1000</f>
        <v>-78.48</v>
      </c>
      <c r="E97" s="175" t="s">
        <v>379</v>
      </c>
    </row>
    <row r="98" spans="1:15">
      <c r="C98" s="228">
        <f>Wheatland!BT166/1000</f>
        <v>-606.26886000000013</v>
      </c>
      <c r="E98" s="175" t="s">
        <v>457</v>
      </c>
    </row>
    <row r="99" spans="1:15">
      <c r="C99" s="228">
        <f>Wheatland!BT194/1000</f>
        <v>-195.04080999999999</v>
      </c>
      <c r="E99" s="175" t="s">
        <v>505</v>
      </c>
    </row>
    <row r="100" spans="1:15">
      <c r="C100" s="228">
        <f>Wheatland!BT203/1000</f>
        <v>-301.67212999999998</v>
      </c>
      <c r="E100" s="175" t="s">
        <v>504</v>
      </c>
    </row>
    <row r="101" spans="1:15">
      <c r="C101" s="228">
        <f>Wheatland!BT205/1000</f>
        <v>273.39254855004509</v>
      </c>
      <c r="E101" s="175" t="s">
        <v>543</v>
      </c>
    </row>
    <row r="102" spans="1:15">
      <c r="A102" s="231"/>
      <c r="B102" s="232"/>
      <c r="C102" s="247">
        <v>3324.1521000000002</v>
      </c>
      <c r="D102" s="429"/>
      <c r="E102" s="248" t="s">
        <v>378</v>
      </c>
      <c r="F102" s="429"/>
      <c r="G102" s="429"/>
      <c r="H102" s="429"/>
      <c r="I102" s="429"/>
      <c r="J102" s="428"/>
      <c r="K102" s="428"/>
      <c r="L102" s="232"/>
      <c r="M102" s="232"/>
    </row>
    <row r="103" spans="1:15" ht="14.25" customHeight="1">
      <c r="C103" s="430">
        <f>SUM(C94:C102)</f>
        <v>-743.03632144995481</v>
      </c>
      <c r="D103" s="182"/>
      <c r="E103" s="428" t="s">
        <v>471</v>
      </c>
      <c r="F103" s="182"/>
      <c r="G103" s="182"/>
      <c r="H103" s="182"/>
      <c r="I103" s="182"/>
      <c r="J103" s="182"/>
      <c r="K103" s="182"/>
    </row>
    <row r="105" spans="1:15">
      <c r="C105" s="228">
        <f>Wheatland!BR123/1000</f>
        <v>-3953.393</v>
      </c>
      <c r="E105" s="175" t="s">
        <v>586</v>
      </c>
    </row>
    <row r="106" spans="1:15" ht="13.8" thickBot="1">
      <c r="A106"/>
      <c r="B106"/>
      <c r="C106" s="321">
        <f>C103+C105</f>
        <v>-4696.4293214499548</v>
      </c>
      <c r="D106" s="316"/>
      <c r="E106" s="317" t="s">
        <v>471</v>
      </c>
      <c r="F106" s="316"/>
      <c r="G106" s="318"/>
      <c r="H106" s="319"/>
      <c r="I106" s="320"/>
      <c r="J106" s="316"/>
      <c r="K106" s="316"/>
      <c r="L106"/>
      <c r="M106"/>
      <c r="N106"/>
      <c r="O106"/>
    </row>
    <row r="107" spans="1:15" ht="13.8" thickTop="1">
      <c r="A107"/>
      <c r="B107"/>
      <c r="C107"/>
      <c r="D107"/>
      <c r="E107"/>
      <c r="F107"/>
      <c r="G107"/>
      <c r="H107"/>
      <c r="I107"/>
      <c r="J107"/>
      <c r="K107"/>
      <c r="L107"/>
      <c r="M107"/>
      <c r="N107"/>
      <c r="O107"/>
    </row>
    <row r="108" spans="1:15">
      <c r="B108" s="26"/>
      <c r="C108" s="177"/>
    </row>
    <row r="109" spans="1:15">
      <c r="A109" s="220" t="str">
        <f ca="1">CELL("FILENAME")</f>
        <v>O:\Fin_Ops\Engysvc\PowerPlants\2000 Plants\JE's\[CapInt.xls]ECT_Form</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T202" activePane="bottomRight" state="frozen"/>
      <selection activeCell="C35" sqref="C35"/>
      <selection pane="topRight" activeCell="C35" sqref="C35"/>
      <selection pane="bottomLeft" activeCell="C35" sqref="C35"/>
      <selection pane="bottomRight" activeCell="S2" sqref="S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Plants\JE's\[CapInt.xls]ECT_Form</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36563.441276041667</v>
      </c>
      <c r="BR3" s="23"/>
      <c r="BT3" s="78" t="str">
        <f>Summary!A5</f>
        <v>Revision # 44</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c r="AJ7" s="82" t="str">
        <f>+Summary!$O$4</f>
        <v xml:space="preserve"> As of 2/4/00</v>
      </c>
      <c r="AK7"/>
      <c r="AL7" s="82" t="str">
        <f>+Summary!$O$4</f>
        <v xml:space="preserve"> As of 2/4/00</v>
      </c>
      <c r="AM7"/>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82"/>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L7" s="71" t="str">
        <f>+Summary!$O$4</f>
        <v xml:space="preserve"> As of 2/4/00</v>
      </c>
      <c r="BN7" s="64" t="str">
        <f>+Summary!$O$4</f>
        <v xml:space="preserve"> As of 2/4/00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V15" s="6">
        <v>0</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539</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540</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554</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555</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556</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0</v>
      </c>
      <c r="AX165" s="6">
        <v>0</v>
      </c>
      <c r="AZ165" s="6">
        <v>0</v>
      </c>
      <c r="BB165" s="6">
        <v>0</v>
      </c>
      <c r="BD165" s="6">
        <v>0</v>
      </c>
      <c r="BF165" s="6">
        <v>0</v>
      </c>
      <c r="BH165" s="6">
        <v>0</v>
      </c>
      <c r="BJ165" s="6">
        <v>0</v>
      </c>
      <c r="BK165" s="6"/>
      <c r="BL165" s="6">
        <f>SUM(T165:BK165)</f>
        <v>2457318.14</v>
      </c>
      <c r="BM165" s="6"/>
      <c r="BN165" s="6">
        <v>25818</v>
      </c>
      <c r="BO165" s="6"/>
      <c r="BP165" s="6">
        <f>IF(+R165-BL165+BN165&gt;0,R165-BL165+BN165,0)</f>
        <v>0</v>
      </c>
      <c r="BR165" s="6">
        <f>+BL165+BP165</f>
        <v>2457318.14</v>
      </c>
      <c r="BT165" s="6">
        <f>+R165-BR165</f>
        <v>-205818.14000000013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2485818.14</v>
      </c>
      <c r="BM167" s="9"/>
      <c r="BN167" s="102">
        <f>SUM(BN163:BN166)</f>
        <v>25818</v>
      </c>
      <c r="BO167" s="9"/>
      <c r="BP167" s="102">
        <f>SUM(BP163:BP166)</f>
        <v>0</v>
      </c>
      <c r="BQ167" s="9"/>
      <c r="BR167" s="102">
        <f>SUM(BR163:BR166)</f>
        <v>2485818.14</v>
      </c>
      <c r="BS167" s="9"/>
      <c r="BT167" s="102">
        <f>SUM(BT163:BT166)</f>
        <v>-205818.14000000013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566</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3424.5</v>
      </c>
      <c r="AW176" s="9"/>
      <c r="AX176" s="9">
        <v>0</v>
      </c>
      <c r="AY176" s="9"/>
      <c r="AZ176" s="9">
        <v>0</v>
      </c>
      <c r="BA176" s="9"/>
      <c r="BB176" s="9">
        <v>0</v>
      </c>
      <c r="BC176" s="9"/>
      <c r="BD176" s="9">
        <v>0</v>
      </c>
      <c r="BE176" s="9"/>
      <c r="BF176" s="9">
        <v>0</v>
      </c>
      <c r="BG176" s="9"/>
      <c r="BH176" s="9">
        <v>0</v>
      </c>
      <c r="BI176" s="9"/>
      <c r="BJ176" s="9">
        <v>0</v>
      </c>
      <c r="BK176" s="9"/>
      <c r="BL176" s="9">
        <f>SUM(T176:BK176)</f>
        <v>337817.86</v>
      </c>
      <c r="BM176" s="9"/>
      <c r="BN176" s="9">
        <v>200000</v>
      </c>
      <c r="BO176" s="9"/>
      <c r="BP176" s="6">
        <f>IF(+R176-BL176+BN176&gt;0,R176-BL176+BN176,0)</f>
        <v>862182.14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30"/>
        <v>68727.53</v>
      </c>
      <c r="BM192" s="12"/>
      <c r="BN192" s="12">
        <v>6683</v>
      </c>
      <c r="BO192" s="12"/>
      <c r="BP192" s="6">
        <f t="shared" si="31"/>
        <v>0</v>
      </c>
      <c r="BQ192" s="12"/>
      <c r="BR192" s="6">
        <f t="shared" si="32"/>
        <v>68727.53</v>
      </c>
      <c r="BS192" s="12"/>
      <c r="BT192" s="6">
        <f t="shared" si="33"/>
        <v>-23727.53</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f t="shared" si="30"/>
        <v>215866.47999999998</v>
      </c>
      <c r="BM194" s="12"/>
      <c r="BN194" s="12">
        <v>106842</v>
      </c>
      <c r="BO194" s="12"/>
      <c r="BP194" s="6">
        <f t="shared" si="31"/>
        <v>25568.520000000019</v>
      </c>
      <c r="BQ194" s="12"/>
      <c r="BR194" s="6">
        <f t="shared" si="32"/>
        <v>241435</v>
      </c>
      <c r="BS194" s="12"/>
      <c r="BT194" s="6">
        <f t="shared" si="33"/>
        <v>-106842</v>
      </c>
      <c r="BU194" s="12"/>
    </row>
    <row r="195" spans="1:122" s="11" customFormat="1">
      <c r="A195" s="17"/>
      <c r="B195" s="11" t="s">
        <v>493</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38258.9</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909424.98</v>
      </c>
      <c r="BM197" s="102">
        <f t="shared" ref="BM197:BT197" si="36">SUM(BM191:BM196)</f>
        <v>0</v>
      </c>
      <c r="BN197" s="102">
        <f t="shared" si="36"/>
        <v>402684</v>
      </c>
      <c r="BO197" s="102">
        <f t="shared" si="36"/>
        <v>0</v>
      </c>
      <c r="BP197" s="102">
        <f t="shared" si="36"/>
        <v>25569.5</v>
      </c>
      <c r="BQ197" s="102">
        <f t="shared" si="36"/>
        <v>0</v>
      </c>
      <c r="BR197" s="102">
        <f t="shared" si="36"/>
        <v>934994.48</v>
      </c>
      <c r="BS197" s="102">
        <f t="shared" si="36"/>
        <v>0</v>
      </c>
      <c r="BT197" s="102">
        <f t="shared" si="36"/>
        <v>-720401.48</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6077216.5663086809</v>
      </c>
      <c r="BQ206" s="10"/>
      <c r="BR206" s="9">
        <f>+BL206+BP206</f>
        <v>12251783.897457996</v>
      </c>
      <c r="BS206" s="10"/>
      <c r="BT206" s="9">
        <f>+R206-BR206</f>
        <v>556340.10254200362</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41683.4</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11069808.851149317</v>
      </c>
      <c r="BM208" s="120">
        <f t="shared" si="37"/>
        <v>0</v>
      </c>
      <c r="BN208" s="120">
        <f t="shared" si="37"/>
        <v>3628502</v>
      </c>
      <c r="BO208" s="120">
        <f t="shared" si="37"/>
        <v>0</v>
      </c>
      <c r="BP208" s="120">
        <f t="shared" si="37"/>
        <v>18108682.10630868</v>
      </c>
      <c r="BQ208" s="120">
        <f t="shared" si="37"/>
        <v>0</v>
      </c>
      <c r="BR208" s="120">
        <f t="shared" si="37"/>
        <v>29178490.957457997</v>
      </c>
      <c r="BS208" s="120">
        <f t="shared" si="37"/>
        <v>0</v>
      </c>
      <c r="BT208" s="120">
        <f>BT206+BT197+BT188+BT186+BT184+BT178+BT174+BT167+BT160+BT158+BT156+BT154+BT152+BT204</f>
        <v>-4006355.9574579964</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14551189.65</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180373133.88448262</v>
      </c>
      <c r="BM213" s="168">
        <f t="shared" si="39"/>
        <v>2030320</v>
      </c>
      <c r="BN213" s="168">
        <f t="shared" si="39"/>
        <v>9056102</v>
      </c>
      <c r="BO213" s="168">
        <f t="shared" si="39"/>
        <v>2030320</v>
      </c>
      <c r="BP213" s="168">
        <f t="shared" si="39"/>
        <v>74453596.072975338</v>
      </c>
      <c r="BQ213" s="168">
        <f t="shared" si="39"/>
        <v>2030320</v>
      </c>
      <c r="BR213" s="168">
        <f t="shared" si="39"/>
        <v>254826729.95745799</v>
      </c>
      <c r="BS213" s="168">
        <f t="shared" si="39"/>
        <v>2030320</v>
      </c>
      <c r="BT213" s="168">
        <f t="shared" si="39"/>
        <v>-11884504.207457997</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419122.91111424012</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14551189.65</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180218504.39448261</v>
      </c>
      <c r="BM222" s="10">
        <f>BM213+BM216+BM218</f>
        <v>2030320</v>
      </c>
      <c r="BN222" s="10">
        <f>BN213+BN216+BN218</f>
        <v>9056102</v>
      </c>
      <c r="BO222" s="10">
        <f>BO213+BO216+BO218</f>
        <v>2030320</v>
      </c>
      <c r="BP222" s="6">
        <f>IF(+R222-BL222+BN222&gt;0,R222-BL222+BN222,0)</f>
        <v>71517246.355517387</v>
      </c>
      <c r="BQ222" s="10">
        <f>BQ213+BQ216+BQ218</f>
        <v>2030320</v>
      </c>
      <c r="BR222" s="10">
        <f>BR213+BR216+BR218+BR220</f>
        <v>254672100.46745798</v>
      </c>
      <c r="BS222" s="10">
        <f>BS213+BS216+BS218</f>
        <v>2030320</v>
      </c>
      <c r="BT222" s="10">
        <f>BT213+BT216+BT218</f>
        <v>-11884504.207457997</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14551189.65</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180518028.66448262</v>
      </c>
      <c r="BM236" s="121">
        <f t="shared" si="44"/>
        <v>2030320</v>
      </c>
      <c r="BN236" s="121">
        <f t="shared" si="44"/>
        <v>9056102</v>
      </c>
      <c r="BO236" s="121">
        <f t="shared" si="44"/>
        <v>2030320</v>
      </c>
      <c r="BP236" s="121">
        <f t="shared" si="44"/>
        <v>71517246.355517387</v>
      </c>
      <c r="BQ236" s="121">
        <f t="shared" si="44"/>
        <v>2030320</v>
      </c>
      <c r="BR236" s="121">
        <f t="shared" si="44"/>
        <v>254971624.73745799</v>
      </c>
      <c r="BS236" s="121">
        <f t="shared" si="44"/>
        <v>2030320</v>
      </c>
      <c r="BT236" s="121">
        <f t="shared" si="44"/>
        <v>-11884504.207457997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T9" activePane="bottomRight" state="frozen"/>
      <selection activeCell="BN244" sqref="BN244"/>
      <selection pane="topRight" activeCell="BN244" sqref="BN244"/>
      <selection pane="bottomLeft" activeCell="BN244" sqref="BN244"/>
      <selection pane="bottomRight" activeCell="R1" sqref="R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Plants\JE's\[CapInt.xls]ECT_Form</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36563.441276041667</v>
      </c>
      <c r="BT3" s="23"/>
      <c r="BV3" s="78" t="str">
        <f>Summary!A5</f>
        <v>Revision # 44</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69"/>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K7" s="82"/>
      <c r="BL7" s="82" t="str">
        <f>+Summary!$O$4</f>
        <v xml:space="preserve"> As of 2/4/00</v>
      </c>
      <c r="BN7" s="71" t="str">
        <f>+Summary!$O$4</f>
        <v xml:space="preserve"> As of 2/4/00</v>
      </c>
      <c r="BP7" s="64" t="str">
        <f>+Summary!$O$4</f>
        <v xml:space="preserve"> As of 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500</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492</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BU232" activePane="bottomRight" state="frozen"/>
      <selection activeCell="K244" sqref="K244"/>
      <selection pane="topRight" activeCell="K244" sqref="K244"/>
      <selection pane="bottomLeft" activeCell="K244" sqref="K244"/>
      <selection pane="bottomRight" activeCell="BU232" sqref="BU23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501</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Plants\JE's\[CapInt.xls]ECT_Form</v>
      </c>
    </row>
    <row r="3" spans="1:76" s="18" customFormat="1" ht="15.6">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36563.441276041667</v>
      </c>
      <c r="BT3" s="23"/>
      <c r="BV3" s="78" t="str">
        <f>Summary!A5</f>
        <v>Revision # 44</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69"/>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K7" s="82"/>
      <c r="BL7" s="82" t="str">
        <f>+Summary!$O$4</f>
        <v xml:space="preserve"> As of 2/4/00</v>
      </c>
      <c r="BN7" s="71" t="str">
        <f>+Summary!$O$4</f>
        <v xml:space="preserve"> As of 2/4/00</v>
      </c>
      <c r="BP7" s="64" t="str">
        <f>+Summary!$O$4</f>
        <v xml:space="preserve"> As of 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539</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540</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542</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563</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544</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500</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T181" s="6">
        <v>0</v>
      </c>
      <c r="AV181" s="6">
        <v>0</v>
      </c>
      <c r="AX181" s="6">
        <v>0</v>
      </c>
      <c r="AZ181" s="6">
        <v>0</v>
      </c>
      <c r="BB181" s="6">
        <v>0</v>
      </c>
      <c r="BD181" s="6">
        <v>0</v>
      </c>
      <c r="BF181" s="6">
        <v>0</v>
      </c>
      <c r="BH181" s="6">
        <v>0</v>
      </c>
      <c r="BJ181" s="6">
        <v>0</v>
      </c>
      <c r="BL181" s="6">
        <v>0</v>
      </c>
      <c r="BM181" s="6"/>
      <c r="BN181" s="6">
        <f>SUM(T181:BM181)</f>
        <v>0</v>
      </c>
      <c r="BO181" s="6"/>
      <c r="BP181" s="6">
        <v>0</v>
      </c>
      <c r="BQ181" s="6"/>
      <c r="BR181" s="6">
        <f>IF(+R181-BN181+BP181&gt;0,R181-BN181+BP181,0)</f>
        <v>0</v>
      </c>
      <c r="BT181" s="6">
        <f>+BN181+BR181</f>
        <v>0</v>
      </c>
      <c r="BV181" s="6">
        <f>+R181-BT181</f>
        <v>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383541</v>
      </c>
      <c r="BO185" s="9"/>
      <c r="BP185" s="102">
        <f>SUM(BP181:BP184)</f>
        <v>0</v>
      </c>
      <c r="BQ185" s="9"/>
      <c r="BR185" s="102">
        <f>SUM(BR181:BR184)</f>
        <v>0</v>
      </c>
      <c r="BS185" s="9"/>
      <c r="BT185" s="102">
        <f>SUM(BT181:BT184)</f>
        <v>383541</v>
      </c>
      <c r="BU185" s="9"/>
      <c r="BV185" s="102">
        <f>SUM(BV181:BV184)</f>
        <v>-14500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518</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519</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520</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521</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522</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523</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524</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525</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526</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527</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528</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529</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530</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531</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532</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533</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534</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535</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100276.48</v>
      </c>
      <c r="BO234" s="12"/>
      <c r="BP234" s="12">
        <v>0</v>
      </c>
      <c r="BQ234" s="12"/>
      <c r="BR234" s="6">
        <f t="shared" si="47"/>
        <v>49723.520000000004</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f>
        <v>78296.37</v>
      </c>
      <c r="AW236" s="12"/>
      <c r="AX236" s="12">
        <v>0</v>
      </c>
      <c r="AY236" s="12"/>
      <c r="AZ236" s="12">
        <v>0</v>
      </c>
      <c r="BA236" s="12"/>
      <c r="BB236" s="12">
        <v>0</v>
      </c>
      <c r="BC236" s="12"/>
      <c r="BD236" s="12">
        <v>0</v>
      </c>
      <c r="BE236" s="12"/>
      <c r="BF236" s="12">
        <v>0</v>
      </c>
      <c r="BG236" s="12"/>
      <c r="BH236" s="12">
        <v>0</v>
      </c>
      <c r="BI236" s="12"/>
      <c r="BJ236" s="12">
        <v>0</v>
      </c>
      <c r="BK236" s="12"/>
      <c r="BL236" s="12">
        <v>0</v>
      </c>
      <c r="BM236" s="12"/>
      <c r="BN236" s="12">
        <f t="shared" si="46"/>
        <v>152034.59</v>
      </c>
      <c r="BO236" s="12"/>
      <c r="BP236" s="12">
        <v>0</v>
      </c>
      <c r="BQ236" s="12"/>
      <c r="BR236" s="6">
        <f t="shared" si="47"/>
        <v>0</v>
      </c>
      <c r="BS236" s="12"/>
      <c r="BT236" s="6">
        <f t="shared" si="48"/>
        <v>152034.59</v>
      </c>
      <c r="BU236" s="12"/>
      <c r="BV236" s="6">
        <f t="shared" si="49"/>
        <v>-26269.589999999997</v>
      </c>
      <c r="BW236" s="12"/>
    </row>
    <row r="237" spans="1:124" s="11" customFormat="1">
      <c r="A237" s="17"/>
      <c r="B237" s="11" t="s">
        <v>495</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80147.48</v>
      </c>
      <c r="AW239" s="102">
        <f t="shared" si="50"/>
        <v>0</v>
      </c>
      <c r="AX239" s="102">
        <f t="shared" ref="AX239:BW239" si="51">SUM(AX233:AX238)</f>
        <v>0</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505750.58999999997</v>
      </c>
      <c r="BO239" s="102">
        <f t="shared" si="51"/>
        <v>0</v>
      </c>
      <c r="BP239" s="102">
        <f t="shared" si="51"/>
        <v>0</v>
      </c>
      <c r="BQ239" s="102">
        <f t="shared" si="51"/>
        <v>0</v>
      </c>
      <c r="BR239" s="102">
        <f t="shared" si="51"/>
        <v>143735.18000000002</v>
      </c>
      <c r="BS239" s="102">
        <f t="shared" si="51"/>
        <v>0</v>
      </c>
      <c r="BT239" s="102">
        <f t="shared" si="51"/>
        <v>649485.77</v>
      </c>
      <c r="BU239" s="102">
        <f t="shared" si="51"/>
        <v>0</v>
      </c>
      <c r="BV239" s="102">
        <f t="shared" si="51"/>
        <v>-249485.77000000002</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504</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v>0</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6488328.2211798215</v>
      </c>
      <c r="BO247" s="10"/>
      <c r="BP247" s="10">
        <v>0</v>
      </c>
      <c r="BQ247" s="10"/>
      <c r="BR247" s="6">
        <f>IF(+R247-BN247+BP247&gt;0,R247-BN247+BP247,0)-R247+[1]Gleason!$Z$40</f>
        <v>4620868.1109854737</v>
      </c>
      <c r="BS247" s="10"/>
      <c r="BT247" s="9">
        <f>+BN247+BR247</f>
        <v>11109196.332165295</v>
      </c>
      <c r="BU247" s="10"/>
      <c r="BV247" s="9">
        <f>+R247-BT247</f>
        <v>230847.66783470474</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134594.56</v>
      </c>
      <c r="AW249" s="120">
        <f t="shared" si="52"/>
        <v>0</v>
      </c>
      <c r="AX249" s="120">
        <f t="shared" si="52"/>
        <v>0</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8531266.2711798213</v>
      </c>
      <c r="BO249" s="120">
        <f t="shared" si="52"/>
        <v>0</v>
      </c>
      <c r="BP249" s="120">
        <f t="shared" si="52"/>
        <v>0</v>
      </c>
      <c r="BQ249" s="120">
        <f t="shared" si="52"/>
        <v>0</v>
      </c>
      <c r="BR249" s="120">
        <f t="shared" si="52"/>
        <v>9757931.9409854729</v>
      </c>
      <c r="BS249" s="120">
        <f t="shared" si="52"/>
        <v>0</v>
      </c>
      <c r="BT249" s="120">
        <f>BT247+BT239+BT230+BT228+BT226+BT220+BT195+BT185+BT178+BT176+BT174+BT172+BT170+BT245</f>
        <v>18289198.212165296</v>
      </c>
      <c r="BU249" s="120">
        <f>BU247+BU239+BU230+BU228+BU226+BU220+BU195+BU185+BU178+BU176+BU174+BU172+BU170+BU245</f>
        <v>0</v>
      </c>
      <c r="BV249" s="120">
        <f>BV247+BV239+BV230+BV228+BV226+BV220+BV195+BV185+BV178+BV176+BV174+BV172+BV170+BV245</f>
        <v>-309320.21216529526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7661035.4500000002</v>
      </c>
      <c r="AW255" s="168">
        <f t="shared" si="54"/>
        <v>0</v>
      </c>
      <c r="AX255" s="168">
        <f t="shared" si="54"/>
        <v>0</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114284667.55117983</v>
      </c>
      <c r="BO255" s="168">
        <f t="shared" si="54"/>
        <v>0</v>
      </c>
      <c r="BP255" s="168">
        <f t="shared" si="54"/>
        <v>4808902</v>
      </c>
      <c r="BQ255" s="168">
        <f t="shared" si="54"/>
        <v>2030320</v>
      </c>
      <c r="BR255" s="168">
        <f t="shared" si="54"/>
        <v>62797059.220985472</v>
      </c>
      <c r="BS255" s="168">
        <f t="shared" si="54"/>
        <v>2030320</v>
      </c>
      <c r="BT255" s="168">
        <f t="shared" si="54"/>
        <v>175947506.7721653</v>
      </c>
      <c r="BU255" s="168">
        <f t="shared" si="54"/>
        <v>2030320</v>
      </c>
      <c r="BV255" s="168">
        <f>R255-BT255</f>
        <v>-2305796.7721652985</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7661035.4500000002</v>
      </c>
      <c r="AW261" s="121">
        <f t="shared" si="55"/>
        <v>0</v>
      </c>
      <c r="AX261" s="121">
        <f t="shared" si="55"/>
        <v>0</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114282532.55117983</v>
      </c>
      <c r="BO261" s="121">
        <f t="shared" si="55"/>
        <v>0</v>
      </c>
      <c r="BP261" s="121">
        <f t="shared" si="55"/>
        <v>4808902</v>
      </c>
      <c r="BQ261" s="121">
        <f t="shared" si="55"/>
        <v>2030320</v>
      </c>
      <c r="BR261" s="121">
        <f t="shared" si="55"/>
        <v>62797059.220985472</v>
      </c>
      <c r="BS261" s="121">
        <f t="shared" si="55"/>
        <v>2030320</v>
      </c>
      <c r="BT261" s="121">
        <f t="shared" si="55"/>
        <v>175945371.7721653</v>
      </c>
      <c r="BU261" s="121">
        <f t="shared" si="55"/>
        <v>2030320</v>
      </c>
      <c r="BV261" s="121">
        <f t="shared" si="55"/>
        <v>-2303661.7721652985</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218" activePane="bottomRight" state="frozen"/>
      <selection activeCell="C35" sqref="C35"/>
      <selection pane="topRight" activeCell="C35" sqref="C35"/>
      <selection pane="bottomLeft" activeCell="C35" sqref="C35"/>
      <selection pane="bottomRight" activeCell="S1" sqref="S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Plants\JE's\[CapInt.xls]ECT_Form</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36563.441276041667</v>
      </c>
      <c r="BR3" s="23"/>
      <c r="BT3" s="78" t="str">
        <f>Summary!A5</f>
        <v>Revision # 44</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82"/>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L7" s="71" t="str">
        <f>+Summary!$O$4</f>
        <v xml:space="preserve"> As of 2/4/00</v>
      </c>
      <c r="BN7" s="64" t="str">
        <f>+Summary!$O$4</f>
        <v xml:space="preserve"> As of 2/4/00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1077741.26</v>
      </c>
      <c r="AX9" s="6">
        <v>0</v>
      </c>
      <c r="AZ9" s="6">
        <v>0</v>
      </c>
      <c r="BB9" s="6">
        <v>0</v>
      </c>
      <c r="BD9" s="6">
        <v>0</v>
      </c>
      <c r="BF9" s="6">
        <v>0</v>
      </c>
      <c r="BH9" s="6">
        <v>0</v>
      </c>
      <c r="BJ9" s="6">
        <v>0</v>
      </c>
      <c r="BK9" s="6"/>
      <c r="BL9" s="6">
        <f>SUM(T9:BK9)</f>
        <v>80866111.680000022</v>
      </c>
      <c r="BM9" s="6"/>
      <c r="BN9" s="6">
        <f>-100000+353801-22200+66200</f>
        <v>297801</v>
      </c>
      <c r="BO9" s="6"/>
      <c r="BP9" s="6">
        <f>IF(+R9-BL9+BN9&gt;0,R9-BL9+BN9,0)</f>
        <v>5253189.3199999779</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1077741.26</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80866111.680000022</v>
      </c>
      <c r="BM12" s="6"/>
      <c r="BN12" s="101">
        <f>SUM(BN9:BN11)</f>
        <v>297801</v>
      </c>
      <c r="BO12" s="6"/>
      <c r="BP12" s="101">
        <f>SUM(BP9:BP11)</f>
        <v>5353189.3199999779</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1077741.26</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84512974.880000025</v>
      </c>
      <c r="BM34" s="115"/>
      <c r="BN34" s="115">
        <f>+BN32+BN12</f>
        <v>376281</v>
      </c>
      <c r="BO34" s="115"/>
      <c r="BP34" s="115">
        <f>+BP32+BP12</f>
        <v>6146860.1199999778</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539</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540</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541</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542</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544</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0</v>
      </c>
      <c r="AX162" s="6">
        <v>0</v>
      </c>
      <c r="AZ162" s="6">
        <v>0</v>
      </c>
      <c r="BB162" s="6">
        <v>0</v>
      </c>
      <c r="BD162" s="6">
        <v>0</v>
      </c>
      <c r="BF162" s="6">
        <v>0</v>
      </c>
      <c r="BH162" s="6">
        <v>0</v>
      </c>
      <c r="BJ162" s="6">
        <v>0</v>
      </c>
      <c r="BK162" s="6"/>
      <c r="BL162" s="6">
        <f>SUM(T162:BK162)</f>
        <v>44000</v>
      </c>
      <c r="BM162" s="6"/>
      <c r="BN162" s="6">
        <v>1000</v>
      </c>
      <c r="BO162" s="6"/>
      <c r="BP162" s="6">
        <f>IF(+R162-BL162+BN162&gt;0,R162-BL162+BN162,0)</f>
        <v>0</v>
      </c>
      <c r="BR162" s="6">
        <f>+BL162+BP162</f>
        <v>44000</v>
      </c>
      <c r="BT162" s="6">
        <f>+R162-BR162</f>
        <v>-1500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1376268.86</v>
      </c>
      <c r="BM166" s="9"/>
      <c r="BN166" s="102">
        <f>SUM(BN162:BN165)</f>
        <v>342944</v>
      </c>
      <c r="BO166" s="9"/>
      <c r="BP166" s="102">
        <f>SUM(BP162:BP165)</f>
        <v>0</v>
      </c>
      <c r="BQ166" s="9"/>
      <c r="BR166" s="102">
        <f>SUM(BR162:BR165)</f>
        <v>1376268.86</v>
      </c>
      <c r="BS166" s="9"/>
      <c r="BT166" s="102">
        <f>SUM(BT162:BT165)</f>
        <v>-606268.8600000001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705.16</v>
      </c>
      <c r="AW191" s="12"/>
      <c r="AX191" s="12">
        <v>0</v>
      </c>
      <c r="AY191" s="12"/>
      <c r="AZ191" s="12">
        <v>0</v>
      </c>
      <c r="BA191" s="12"/>
      <c r="BB191" s="12">
        <v>0</v>
      </c>
      <c r="BC191" s="12"/>
      <c r="BD191" s="12">
        <v>0</v>
      </c>
      <c r="BE191" s="12"/>
      <c r="BF191" s="12">
        <v>0</v>
      </c>
      <c r="BG191" s="12"/>
      <c r="BH191" s="12">
        <v>0</v>
      </c>
      <c r="BI191" s="12"/>
      <c r="BJ191" s="12">
        <v>0</v>
      </c>
      <c r="BK191" s="12"/>
      <c r="BL191" s="12">
        <f t="shared" si="28"/>
        <v>69573.41</v>
      </c>
      <c r="BM191" s="12"/>
      <c r="BN191" s="12">
        <v>0</v>
      </c>
      <c r="BO191" s="12"/>
      <c r="BP191" s="6">
        <f t="shared" si="29"/>
        <v>80426.59</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29190.240000000002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178310.02999999997</v>
      </c>
      <c r="BM193" s="12"/>
      <c r="BN193" s="12">
        <v>0</v>
      </c>
      <c r="BO193" s="12"/>
      <c r="BP193" s="6">
        <f t="shared" si="29"/>
        <v>41689.97000000003</v>
      </c>
      <c r="BQ193" s="12"/>
      <c r="BR193" s="6">
        <f t="shared" si="30"/>
        <v>220000</v>
      </c>
      <c r="BS193" s="12"/>
      <c r="BT193" s="6">
        <f t="shared" si="31"/>
        <v>0</v>
      </c>
      <c r="BU193" s="12"/>
    </row>
    <row r="194" spans="1:122" s="11" customFormat="1">
      <c r="A194" s="17"/>
      <c r="B194" s="11" t="s">
        <v>495</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29895.4</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616654.6</v>
      </c>
      <c r="BM196" s="102">
        <f t="shared" si="32"/>
        <v>0</v>
      </c>
      <c r="BN196" s="102">
        <f t="shared" si="32"/>
        <v>159233</v>
      </c>
      <c r="BO196" s="102">
        <f t="shared" si="32"/>
        <v>0</v>
      </c>
      <c r="BP196" s="102">
        <f t="shared" si="32"/>
        <v>137619.38000000003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504</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250698.36</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450973.77</v>
      </c>
      <c r="BM203" s="9"/>
      <c r="BN203" s="102">
        <f>SUM(BN199:BN202)</f>
        <v>0</v>
      </c>
      <c r="BO203" s="9"/>
      <c r="BP203" s="102">
        <f>SUM(BP199:BP202)</f>
        <v>250698.36</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v>0</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5497078.2336486531</v>
      </c>
      <c r="BM205" s="10"/>
      <c r="BN205" s="10">
        <f>-R205+[1]Wheatland!$Y$39</f>
        <v>-273392.54855004512</v>
      </c>
      <c r="BO205" s="10"/>
      <c r="BP205" s="6">
        <f>IF(+R205-BL205+BN205&gt;0,R205-BL205+BN205,0)</f>
        <v>4261854.2178013017</v>
      </c>
      <c r="BQ205" s="10"/>
      <c r="BR205" s="9">
        <f>+BL205+BP205</f>
        <v>9758932.4514499549</v>
      </c>
      <c r="BS205" s="10"/>
      <c r="BT205" s="9">
        <f>+R205-BR205</f>
        <v>273392.54855004512</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404483.62</v>
      </c>
      <c r="AU207" s="120">
        <f t="shared" si="33"/>
        <v>0</v>
      </c>
      <c r="AV207" s="120">
        <f t="shared" si="33"/>
        <v>29895.4</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9619062.5236486513</v>
      </c>
      <c r="BM207" s="120">
        <f t="shared" si="33"/>
        <v>0</v>
      </c>
      <c r="BN207" s="120">
        <f t="shared" si="33"/>
        <v>228784.45144995488</v>
      </c>
      <c r="BO207" s="120">
        <f t="shared" si="33"/>
        <v>0</v>
      </c>
      <c r="BP207" s="120">
        <f t="shared" si="33"/>
        <v>14953601.897801302</v>
      </c>
      <c r="BQ207" s="120">
        <f t="shared" si="33"/>
        <v>0</v>
      </c>
      <c r="BR207" s="120">
        <f t="shared" si="33"/>
        <v>24572664.421449956</v>
      </c>
      <c r="BS207" s="120">
        <f t="shared" si="33"/>
        <v>0</v>
      </c>
      <c r="BT207" s="120">
        <f t="shared" si="33"/>
        <v>-988822.42144995497</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8186543.9800000004</v>
      </c>
      <c r="AU212" s="168">
        <f t="shared" si="34"/>
        <v>0</v>
      </c>
      <c r="AV212" s="168">
        <f t="shared" si="34"/>
        <v>1107636.6599999999</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105759477.19364868</v>
      </c>
      <c r="BM212" s="168">
        <f t="shared" si="34"/>
        <v>2589412</v>
      </c>
      <c r="BN212" s="168">
        <f t="shared" si="34"/>
        <v>3895276.4514499549</v>
      </c>
      <c r="BO212" s="168">
        <f t="shared" si="34"/>
        <v>3445639</v>
      </c>
      <c r="BP212" s="168">
        <f t="shared" si="34"/>
        <v>55557642.327801287</v>
      </c>
      <c r="BQ212" s="168">
        <f t="shared" si="34"/>
        <v>5467108</v>
      </c>
      <c r="BR212" s="168">
        <f t="shared" si="34"/>
        <v>162260984.52144995</v>
      </c>
      <c r="BS212" s="168">
        <f t="shared" si="34"/>
        <v>9789592</v>
      </c>
      <c r="BT212" s="168">
        <f t="shared" si="34"/>
        <v>-743036.42144995509</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345236.13727968076</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8186543.9800000004</v>
      </c>
      <c r="AU221" s="10">
        <f t="shared" si="35"/>
        <v>0</v>
      </c>
      <c r="AV221" s="10">
        <f t="shared" si="35"/>
        <v>1107636.6599999999</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105648155.70364869</v>
      </c>
      <c r="BM221" s="10">
        <f t="shared" si="35"/>
        <v>2589412</v>
      </c>
      <c r="BN221" s="10">
        <f>BN212+BN215+BN217+BN219</f>
        <v>3895276.4514499549</v>
      </c>
      <c r="BO221" s="10">
        <f t="shared" si="35"/>
        <v>3445639</v>
      </c>
      <c r="BP221" s="10">
        <f t="shared" si="35"/>
        <v>55557641.817801289</v>
      </c>
      <c r="BQ221" s="10">
        <f t="shared" si="35"/>
        <v>5467108</v>
      </c>
      <c r="BR221" s="10">
        <f t="shared" si="35"/>
        <v>162149662.52144995</v>
      </c>
      <c r="BS221" s="10">
        <f t="shared" si="35"/>
        <v>9789592</v>
      </c>
      <c r="BT221" s="10">
        <f t="shared" si="35"/>
        <v>-743036.42144995509</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8186543.9800000004</v>
      </c>
      <c r="AU234" s="121">
        <f t="shared" si="36"/>
        <v>0</v>
      </c>
      <c r="AV234" s="121">
        <f t="shared" si="36"/>
        <v>1107636.6599999999</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105774577.19364868</v>
      </c>
      <c r="BM234" s="121">
        <f t="shared" si="37"/>
        <v>2589412</v>
      </c>
      <c r="BN234" s="121">
        <f t="shared" si="37"/>
        <v>3895276.4514499549</v>
      </c>
      <c r="BO234" s="121">
        <f t="shared" si="37"/>
        <v>3445639</v>
      </c>
      <c r="BP234" s="121">
        <f t="shared" si="37"/>
        <v>55557642.327801287</v>
      </c>
      <c r="BQ234" s="121">
        <f t="shared" si="37"/>
        <v>5467108</v>
      </c>
      <c r="BR234" s="121">
        <f t="shared" si="37"/>
        <v>162276084.52144995</v>
      </c>
      <c r="BS234" s="121">
        <f t="shared" si="37"/>
        <v>9789592</v>
      </c>
      <c r="BT234" s="121">
        <f t="shared" si="37"/>
        <v>-743036.42144995509</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8186543.9800000004</v>
      </c>
      <c r="AU236" s="121">
        <f t="shared" si="38"/>
        <v>0</v>
      </c>
      <c r="AV236" s="121">
        <f t="shared" si="38"/>
        <v>1107636.6599999999</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105663255.70364869</v>
      </c>
      <c r="BM236" s="121">
        <f t="shared" si="38"/>
        <v>2589412</v>
      </c>
      <c r="BN236" s="121">
        <f t="shared" si="38"/>
        <v>3895276.4514499549</v>
      </c>
      <c r="BO236" s="121">
        <f t="shared" si="38"/>
        <v>3445639</v>
      </c>
      <c r="BP236" s="121">
        <f t="shared" si="38"/>
        <v>55557641.817801289</v>
      </c>
      <c r="BQ236" s="121">
        <f t="shared" si="38"/>
        <v>5467108</v>
      </c>
      <c r="BR236" s="121">
        <f t="shared" si="38"/>
        <v>162164762.52144995</v>
      </c>
      <c r="BS236" s="121">
        <f t="shared" si="38"/>
        <v>9789592</v>
      </c>
      <c r="BT236" s="121">
        <f t="shared" si="38"/>
        <v>-743036.42144995509</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2000-02-07T16:31:04Z</cp:lastPrinted>
  <dcterms:created xsi:type="dcterms:W3CDTF">1998-11-04T14:40:39Z</dcterms:created>
  <dcterms:modified xsi:type="dcterms:W3CDTF">2023-09-10T11:57:05Z</dcterms:modified>
</cp:coreProperties>
</file>