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140" windowWidth="12120" windowHeight="4608" tabRatio="369" firstSheet="1" activeTab="3"/>
  </bookViews>
  <sheets>
    <sheet name="6.5% - Swap" sheetId="4" state="hidden" r:id="rId1"/>
    <sheet name="Summary" sheetId="8" r:id="rId2"/>
    <sheet name="Calvert City" sheetId="6" state="hidden" r:id="rId3"/>
    <sheet name="Wilton" sheetId="5" r:id="rId4"/>
    <sheet name="Gleason" sheetId="9" r:id="rId5"/>
    <sheet name="Wheatland" sheetId="7" r:id="rId6"/>
  </sheets>
  <externalReferences>
    <externalReference r:id="rId7"/>
  </externalReferences>
  <definedNames>
    <definedName name="_xlnm.Print_Area" localSheetId="2">'Calvert City'!$A$1:$Y$69</definedName>
    <definedName name="_xlnm.Print_Area" localSheetId="4">Gleason!$A$1:$AA$73</definedName>
    <definedName name="_xlnm.Print_Area" localSheetId="5">Wheatland!$A$1:$Z$79</definedName>
    <definedName name="_xlnm.Print_Area" localSheetId="3">Wilton!$A$1:$Z$78</definedName>
  </definedNames>
  <calcPr calcId="0"/>
</workbook>
</file>

<file path=xl/calcChain.xml><?xml version="1.0" encoding="utf-8"?>
<calcChain xmlns="http://schemas.openxmlformats.org/spreadsheetml/2006/main">
  <c r="V2" i="4" l="1"/>
  <c r="V3" i="4"/>
  <c r="F9" i="4"/>
  <c r="O9" i="4"/>
  <c r="V9" i="4"/>
  <c r="V10" i="4"/>
  <c r="W10" i="4"/>
  <c r="V11" i="4"/>
  <c r="W11" i="4"/>
  <c r="V12" i="4"/>
  <c r="W12" i="4"/>
  <c r="V13" i="4"/>
  <c r="V14" i="4"/>
  <c r="W14" i="4"/>
  <c r="V15" i="4"/>
  <c r="V16" i="4"/>
  <c r="W16" i="4"/>
  <c r="V17" i="4"/>
  <c r="V18" i="4"/>
  <c r="W18" i="4"/>
  <c r="V19" i="4"/>
  <c r="W19" i="4"/>
  <c r="V20" i="4"/>
  <c r="W20" i="4"/>
  <c r="V21" i="4"/>
  <c r="W21" i="4"/>
  <c r="V22" i="4"/>
  <c r="W22" i="4"/>
  <c r="V23" i="4"/>
  <c r="W23" i="4"/>
  <c r="V24" i="4"/>
  <c r="W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7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V30" i="4"/>
  <c r="U31" i="4"/>
  <c r="V31" i="4"/>
  <c r="W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7" i="4"/>
  <c r="V40" i="4"/>
  <c r="W40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V46" i="4"/>
  <c r="V47" i="4"/>
  <c r="V48" i="4"/>
  <c r="P49" i="4"/>
  <c r="Q49" i="4"/>
  <c r="R49" i="4"/>
  <c r="V49" i="4"/>
  <c r="V50" i="4"/>
  <c r="V51" i="4"/>
  <c r="V52" i="4"/>
  <c r="V53" i="4"/>
  <c r="W53" i="4"/>
  <c r="V54" i="4"/>
  <c r="W54" i="4"/>
  <c r="V55" i="4"/>
  <c r="V56" i="4"/>
  <c r="W56" i="4"/>
  <c r="V57" i="4"/>
  <c r="W57" i="4"/>
  <c r="V58" i="4"/>
  <c r="V59" i="4"/>
  <c r="W59" i="4"/>
  <c r="V60" i="4"/>
  <c r="W60" i="4"/>
  <c r="V61" i="4"/>
  <c r="W61" i="4"/>
  <c r="V62" i="4"/>
  <c r="W62" i="4"/>
  <c r="V63" i="4"/>
  <c r="W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6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V69" i="4"/>
  <c r="U70" i="4"/>
  <c r="V70" i="4"/>
  <c r="W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6" i="4"/>
  <c r="V79" i="4"/>
  <c r="W79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V85" i="4"/>
  <c r="V86" i="4"/>
  <c r="L87" i="4"/>
  <c r="M87" i="4"/>
  <c r="N87" i="4"/>
  <c r="O87" i="4"/>
  <c r="P87" i="4"/>
  <c r="Q87" i="4"/>
  <c r="R87" i="4"/>
  <c r="S87" i="4"/>
  <c r="V87" i="4"/>
  <c r="V88" i="4"/>
  <c r="V89" i="4"/>
  <c r="W89" i="4"/>
  <c r="V90" i="4"/>
  <c r="V91" i="4"/>
  <c r="W91" i="4"/>
  <c r="V92" i="4"/>
  <c r="V93" i="4"/>
  <c r="W93" i="4"/>
  <c r="V94" i="4"/>
  <c r="W94" i="4"/>
  <c r="V95" i="4"/>
  <c r="V96" i="4"/>
  <c r="W96" i="4"/>
  <c r="V97" i="4"/>
  <c r="W97" i="4"/>
  <c r="V98" i="4"/>
  <c r="W98" i="4"/>
  <c r="V99" i="4"/>
  <c r="W99" i="4"/>
  <c r="O100" i="4"/>
  <c r="V100" i="4"/>
  <c r="W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3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V106" i="4"/>
  <c r="U107" i="4"/>
  <c r="V107" i="4"/>
  <c r="W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3" i="4"/>
  <c r="V116" i="4"/>
  <c r="W116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D2" i="6"/>
  <c r="X2" i="6"/>
  <c r="X3" i="6"/>
  <c r="C10" i="6"/>
  <c r="M10" i="6"/>
  <c r="X10" i="6"/>
  <c r="M11" i="6"/>
  <c r="X11" i="6"/>
  <c r="Z11" i="6"/>
  <c r="X12" i="6"/>
  <c r="J13" i="6"/>
  <c r="K13" i="6"/>
  <c r="L13" i="6"/>
  <c r="X13" i="6"/>
  <c r="J14" i="6"/>
  <c r="K14" i="6"/>
  <c r="L14" i="6"/>
  <c r="M14" i="6"/>
  <c r="X14" i="6"/>
  <c r="X15" i="6"/>
  <c r="X16" i="6"/>
  <c r="Z16" i="6"/>
  <c r="X17" i="6"/>
  <c r="X18" i="6"/>
  <c r="X19" i="6"/>
  <c r="X20" i="6"/>
  <c r="X21" i="6"/>
  <c r="J22" i="6"/>
  <c r="M22" i="6"/>
  <c r="N22" i="6"/>
  <c r="X22" i="6"/>
  <c r="Y22" i="6"/>
  <c r="X23" i="6"/>
  <c r="X24" i="6"/>
  <c r="X25" i="6"/>
  <c r="X26" i="6"/>
  <c r="Y26" i="6"/>
  <c r="X27" i="6"/>
  <c r="X28" i="6"/>
  <c r="Y28" i="6"/>
  <c r="X29" i="6"/>
  <c r="Y29" i="6"/>
  <c r="X30" i="6"/>
  <c r="Y30" i="6"/>
  <c r="J31" i="6"/>
  <c r="K31" i="6"/>
  <c r="X31" i="6"/>
  <c r="Y31" i="6"/>
  <c r="H32" i="6"/>
  <c r="J32" i="6"/>
  <c r="N32" i="6"/>
  <c r="X32" i="6"/>
  <c r="Y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5" i="6"/>
  <c r="G37" i="6"/>
  <c r="X37" i="6"/>
  <c r="F38" i="6"/>
  <c r="I38" i="6"/>
  <c r="J38" i="6"/>
  <c r="K38" i="6"/>
  <c r="M38" i="6"/>
  <c r="X38" i="6"/>
  <c r="Y38" i="6"/>
  <c r="X39" i="6"/>
  <c r="Y39" i="6"/>
  <c r="X40" i="6"/>
  <c r="X41" i="6"/>
  <c r="Y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9" i="6"/>
  <c r="X53" i="6"/>
  <c r="Y53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F60" i="6"/>
  <c r="N60" i="6"/>
  <c r="X60" i="6"/>
  <c r="Y60" i="6"/>
  <c r="Z60" i="6"/>
  <c r="AA60" i="6"/>
  <c r="E61" i="6"/>
  <c r="F61" i="6"/>
  <c r="G61" i="6"/>
  <c r="J61" i="6"/>
  <c r="N61" i="6"/>
  <c r="X61" i="6"/>
  <c r="Y61" i="6"/>
  <c r="Z61" i="6"/>
  <c r="AA61" i="6"/>
  <c r="N62" i="6"/>
  <c r="X62" i="6"/>
  <c r="Y62" i="6"/>
  <c r="Z62" i="6"/>
  <c r="AA62" i="6"/>
  <c r="J63" i="6"/>
  <c r="N63" i="6"/>
  <c r="X63" i="6"/>
  <c r="Y63" i="6"/>
  <c r="Z63" i="6"/>
  <c r="AA63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X66" i="6"/>
  <c r="C67" i="6"/>
  <c r="D67" i="6"/>
  <c r="E67" i="6"/>
  <c r="F67" i="6"/>
  <c r="G67" i="6"/>
  <c r="H67" i="6"/>
  <c r="I67" i="6"/>
  <c r="J67" i="6"/>
  <c r="K67" i="6"/>
  <c r="L67" i="6"/>
  <c r="O67" i="6"/>
  <c r="P67" i="6"/>
  <c r="Q67" i="6"/>
  <c r="R67" i="6"/>
  <c r="S67" i="6"/>
  <c r="T67" i="6"/>
  <c r="U67" i="6"/>
  <c r="V67" i="6"/>
  <c r="W67" i="6"/>
  <c r="X67" i="6"/>
  <c r="X68" i="6"/>
  <c r="D2" i="9"/>
  <c r="Z2" i="9"/>
  <c r="Z3" i="9"/>
  <c r="V10" i="9"/>
  <c r="Z10" i="9"/>
  <c r="T11" i="9"/>
  <c r="V11" i="9"/>
  <c r="Z11" i="9"/>
  <c r="AB11" i="9"/>
  <c r="AC11" i="9"/>
  <c r="P12" i="9"/>
  <c r="Q12" i="9"/>
  <c r="S12" i="9"/>
  <c r="Z12" i="9"/>
  <c r="AB12" i="9"/>
  <c r="AC12" i="9"/>
  <c r="N13" i="9"/>
  <c r="O13" i="9"/>
  <c r="P13" i="9"/>
  <c r="Q13" i="9"/>
  <c r="R13" i="9"/>
  <c r="S13" i="9"/>
  <c r="T13" i="9"/>
  <c r="U13" i="9"/>
  <c r="V13" i="9"/>
  <c r="Z13" i="9"/>
  <c r="AB13" i="9"/>
  <c r="AC13" i="9"/>
  <c r="P14" i="9"/>
  <c r="R14" i="9"/>
  <c r="S14" i="9"/>
  <c r="T14" i="9"/>
  <c r="U14" i="9"/>
  <c r="V14" i="9"/>
  <c r="Z14" i="9"/>
  <c r="AB14" i="9"/>
  <c r="AC14" i="9"/>
  <c r="Z15" i="9"/>
  <c r="AB15" i="9"/>
  <c r="AC15" i="9"/>
  <c r="R16" i="9"/>
  <c r="S16" i="9"/>
  <c r="T16" i="9"/>
  <c r="U16" i="9"/>
  <c r="V16" i="9"/>
  <c r="W16" i="9"/>
  <c r="Z16" i="9"/>
  <c r="AB16" i="9"/>
  <c r="AC16" i="9"/>
  <c r="R17" i="9"/>
  <c r="S17" i="9"/>
  <c r="T17" i="9"/>
  <c r="U17" i="9"/>
  <c r="V17" i="9"/>
  <c r="W17" i="9"/>
  <c r="Z17" i="9"/>
  <c r="AB17" i="9"/>
  <c r="AC17" i="9"/>
  <c r="R18" i="9"/>
  <c r="S18" i="9"/>
  <c r="T18" i="9"/>
  <c r="U18" i="9"/>
  <c r="V18" i="9"/>
  <c r="W18" i="9"/>
  <c r="Z18" i="9"/>
  <c r="AB18" i="9"/>
  <c r="AC18" i="9"/>
  <c r="R19" i="9"/>
  <c r="S19" i="9"/>
  <c r="T19" i="9"/>
  <c r="U19" i="9"/>
  <c r="V19" i="9"/>
  <c r="W19" i="9"/>
  <c r="Z19" i="9"/>
  <c r="AB19" i="9"/>
  <c r="AC19" i="9"/>
  <c r="Z20" i="9"/>
  <c r="AB20" i="9"/>
  <c r="AC20" i="9"/>
  <c r="Q21" i="9"/>
  <c r="V21" i="9"/>
  <c r="W21" i="9"/>
  <c r="Z21" i="9"/>
  <c r="AC21" i="9"/>
  <c r="R22" i="9"/>
  <c r="S22" i="9"/>
  <c r="V22" i="9"/>
  <c r="Z22" i="9"/>
  <c r="AB22" i="9"/>
  <c r="AC22" i="9"/>
  <c r="Z23" i="9"/>
  <c r="AB23" i="9"/>
  <c r="AC23" i="9"/>
  <c r="Z24" i="9"/>
  <c r="Z25" i="9"/>
  <c r="AB25" i="9"/>
  <c r="AC25" i="9"/>
  <c r="Z26" i="9"/>
  <c r="AA26" i="9"/>
  <c r="Z27" i="9"/>
  <c r="AB27" i="9"/>
  <c r="AC27" i="9"/>
  <c r="V28" i="9"/>
  <c r="Z28" i="9"/>
  <c r="AB28" i="9"/>
  <c r="AC28" i="9"/>
  <c r="Z29" i="9"/>
  <c r="AA29" i="9"/>
  <c r="AB29" i="9"/>
  <c r="AC29" i="9"/>
  <c r="Z30" i="9"/>
  <c r="AC30" i="9"/>
  <c r="Z31" i="9"/>
  <c r="AB31" i="9"/>
  <c r="AC31" i="9"/>
  <c r="R32" i="9"/>
  <c r="W32" i="9"/>
  <c r="Z32" i="9"/>
  <c r="O33" i="9"/>
  <c r="P33" i="9"/>
  <c r="R33" i="9"/>
  <c r="Z33" i="9"/>
  <c r="P34" i="9"/>
  <c r="R34" i="9"/>
  <c r="V34" i="9"/>
  <c r="Z34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7" i="9"/>
  <c r="Z39" i="9"/>
  <c r="L40" i="9"/>
  <c r="Q40" i="9"/>
  <c r="R40" i="9"/>
  <c r="S40" i="9"/>
  <c r="T40" i="9"/>
  <c r="U40" i="9"/>
  <c r="V40" i="9"/>
  <c r="Z40" i="9"/>
  <c r="AA40" i="9"/>
  <c r="Z41" i="9"/>
  <c r="AA41" i="9"/>
  <c r="Z42" i="9"/>
  <c r="Z43" i="9"/>
  <c r="AA43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Z44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Z51" i="9"/>
  <c r="Z55" i="9"/>
  <c r="AA55" i="9"/>
  <c r="C57" i="9"/>
  <c r="D57" i="9"/>
  <c r="E57" i="9"/>
  <c r="F57" i="9"/>
  <c r="G57" i="9"/>
  <c r="H57" i="9"/>
  <c r="I57" i="9"/>
  <c r="J57" i="9"/>
  <c r="K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Z57" i="9"/>
  <c r="H62" i="9"/>
  <c r="L62" i="9"/>
  <c r="Z62" i="9"/>
  <c r="AC62" i="9"/>
  <c r="AD62" i="9"/>
  <c r="AE62" i="9"/>
  <c r="L63" i="9"/>
  <c r="Z63" i="9"/>
  <c r="AC63" i="9"/>
  <c r="AD63" i="9"/>
  <c r="AE63" i="9"/>
  <c r="L64" i="9"/>
  <c r="Z64" i="9"/>
  <c r="AC64" i="9"/>
  <c r="AE64" i="9"/>
  <c r="F65" i="9"/>
  <c r="L65" i="9"/>
  <c r="Z65" i="9"/>
  <c r="AC65" i="9"/>
  <c r="AD65" i="9"/>
  <c r="AE65" i="9"/>
  <c r="H66" i="9"/>
  <c r="L66" i="9"/>
  <c r="Z66" i="9"/>
  <c r="AC66" i="9"/>
  <c r="AD66" i="9"/>
  <c r="AE66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Z67" i="9"/>
  <c r="Z69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Z70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Z73" i="9"/>
  <c r="Z74" i="9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D2" i="7"/>
  <c r="Y2" i="7"/>
  <c r="Y3" i="7"/>
  <c r="U10" i="7"/>
  <c r="Y10" i="7"/>
  <c r="AA10" i="7"/>
  <c r="AB10" i="7"/>
  <c r="M11" i="7"/>
  <c r="Y11" i="7"/>
  <c r="AA11" i="7"/>
  <c r="AB11" i="7"/>
  <c r="Q12" i="7"/>
  <c r="R12" i="7"/>
  <c r="S12" i="7"/>
  <c r="T12" i="7"/>
  <c r="U12" i="7"/>
  <c r="V12" i="7"/>
  <c r="W12" i="7"/>
  <c r="Y12" i="7"/>
  <c r="AA12" i="7"/>
  <c r="AB12" i="7"/>
  <c r="Q13" i="7"/>
  <c r="R13" i="7"/>
  <c r="S13" i="7"/>
  <c r="T13" i="7"/>
  <c r="U13" i="7"/>
  <c r="V13" i="7"/>
  <c r="W13" i="7"/>
  <c r="Y13" i="7"/>
  <c r="AA13" i="7"/>
  <c r="AB13" i="7"/>
  <c r="Q14" i="7"/>
  <c r="R14" i="7"/>
  <c r="S14" i="7"/>
  <c r="T14" i="7"/>
  <c r="U14" i="7"/>
  <c r="V14" i="7"/>
  <c r="W14" i="7"/>
  <c r="Y14" i="7"/>
  <c r="AA14" i="7"/>
  <c r="AB14" i="7"/>
  <c r="Q15" i="7"/>
  <c r="R15" i="7"/>
  <c r="S15" i="7"/>
  <c r="T15" i="7"/>
  <c r="U15" i="7"/>
  <c r="V15" i="7"/>
  <c r="W15" i="7"/>
  <c r="Y15" i="7"/>
  <c r="AA15" i="7"/>
  <c r="AB15" i="7"/>
  <c r="Y16" i="7"/>
  <c r="AA16" i="7"/>
  <c r="AB16" i="7"/>
  <c r="P17" i="7"/>
  <c r="Y17" i="7"/>
  <c r="AB17" i="7"/>
  <c r="J18" i="7"/>
  <c r="K18" i="7"/>
  <c r="L18" i="7"/>
  <c r="M18" i="7"/>
  <c r="N18" i="7"/>
  <c r="P18" i="7"/>
  <c r="Q18" i="7"/>
  <c r="R18" i="7"/>
  <c r="S18" i="7"/>
  <c r="T18" i="7"/>
  <c r="U18" i="7"/>
  <c r="Y18" i="7"/>
  <c r="AA18" i="7"/>
  <c r="AB18" i="7"/>
  <c r="J19" i="7"/>
  <c r="K19" i="7"/>
  <c r="L19" i="7"/>
  <c r="N19" i="7"/>
  <c r="Q19" i="7"/>
  <c r="R19" i="7"/>
  <c r="S19" i="7"/>
  <c r="T19" i="7"/>
  <c r="U19" i="7"/>
  <c r="Y19" i="7"/>
  <c r="AA19" i="7"/>
  <c r="AB19" i="7"/>
  <c r="Y20" i="7"/>
  <c r="AA20" i="7"/>
  <c r="AB20" i="7"/>
  <c r="U21" i="7"/>
  <c r="Y21" i="7"/>
  <c r="AB21" i="7"/>
  <c r="U22" i="7"/>
  <c r="Y22" i="7"/>
  <c r="AA22" i="7"/>
  <c r="AB22" i="7"/>
  <c r="Y23" i="7"/>
  <c r="Z23" i="7"/>
  <c r="AA23" i="7"/>
  <c r="AB23" i="7"/>
  <c r="L24" i="7"/>
  <c r="Y24" i="7"/>
  <c r="AA24" i="7"/>
  <c r="AB24" i="7"/>
  <c r="Y25" i="7"/>
  <c r="Z25" i="7"/>
  <c r="S26" i="7"/>
  <c r="U26" i="7"/>
  <c r="Y26" i="7"/>
  <c r="AA26" i="7"/>
  <c r="AB26" i="7"/>
  <c r="Y27" i="7"/>
  <c r="AA27" i="7"/>
  <c r="AB27" i="7"/>
  <c r="Y28" i="7"/>
  <c r="Z28" i="7"/>
  <c r="AA28" i="7"/>
  <c r="AB28" i="7"/>
  <c r="Y29" i="7"/>
  <c r="AB29" i="7"/>
  <c r="Y30" i="7"/>
  <c r="AA30" i="7"/>
  <c r="AB30" i="7"/>
  <c r="T31" i="7"/>
  <c r="U31" i="7"/>
  <c r="Y31" i="7"/>
  <c r="I32" i="7"/>
  <c r="J32" i="7"/>
  <c r="L32" i="7"/>
  <c r="M32" i="7"/>
  <c r="T32" i="7"/>
  <c r="Y32" i="7"/>
  <c r="Z32" i="7"/>
  <c r="O33" i="7"/>
  <c r="Q33" i="7"/>
  <c r="U33" i="7"/>
  <c r="V33" i="7"/>
  <c r="Y33" i="7"/>
  <c r="Z33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6" i="7"/>
  <c r="G38" i="7"/>
  <c r="Y38" i="7"/>
  <c r="F39" i="7"/>
  <c r="I39" i="7"/>
  <c r="J39" i="7"/>
  <c r="K39" i="7"/>
  <c r="P39" i="7"/>
  <c r="Q39" i="7"/>
  <c r="R39" i="7"/>
  <c r="S39" i="7"/>
  <c r="T39" i="7"/>
  <c r="U39" i="7"/>
  <c r="Y39" i="7"/>
  <c r="Z39" i="7"/>
  <c r="AA39" i="7"/>
  <c r="Y40" i="7"/>
  <c r="Z40" i="7"/>
  <c r="Y41" i="7"/>
  <c r="Y42" i="7"/>
  <c r="Z42" i="7"/>
  <c r="AA42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8" i="7"/>
  <c r="Y52" i="7"/>
  <c r="Z52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Y59" i="7"/>
  <c r="Z59" i="7"/>
  <c r="AA59" i="7"/>
  <c r="AB59" i="7"/>
  <c r="AC59" i="7"/>
  <c r="Y60" i="7"/>
  <c r="Z60" i="7"/>
  <c r="AA60" i="7"/>
  <c r="AB60" i="7"/>
  <c r="AC60" i="7"/>
  <c r="Y61" i="7"/>
  <c r="AA61" i="7"/>
  <c r="AB61" i="7"/>
  <c r="AC61" i="7"/>
  <c r="Y62" i="7"/>
  <c r="Z62" i="7"/>
  <c r="AA62" i="7"/>
  <c r="AB62" i="7"/>
  <c r="AC62" i="7"/>
  <c r="Y63" i="7"/>
  <c r="Z63" i="7"/>
  <c r="AA63" i="7"/>
  <c r="AB63" i="7"/>
  <c r="AC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M66" i="7"/>
  <c r="N66" i="7"/>
  <c r="Y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Y70" i="7"/>
  <c r="Z70" i="7"/>
  <c r="Y71" i="7"/>
  <c r="Z71" i="7"/>
  <c r="Y72" i="7"/>
  <c r="Z72" i="7"/>
  <c r="Y73" i="7"/>
  <c r="Z73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Y79" i="7"/>
  <c r="Y2" i="5"/>
  <c r="Y3" i="5"/>
  <c r="N10" i="5"/>
  <c r="O10" i="5"/>
  <c r="Y10" i="5"/>
  <c r="AA10" i="5"/>
  <c r="AB10" i="5"/>
  <c r="J11" i="5"/>
  <c r="Y11" i="5"/>
  <c r="Z11" i="5"/>
  <c r="AA11" i="5"/>
  <c r="AB11" i="5"/>
  <c r="U12" i="5"/>
  <c r="Y12" i="5"/>
  <c r="Z12" i="5"/>
  <c r="AA12" i="5"/>
  <c r="AB12" i="5"/>
  <c r="J13" i="5"/>
  <c r="K13" i="5"/>
  <c r="L13" i="5"/>
  <c r="M13" i="5"/>
  <c r="N13" i="5"/>
  <c r="O13" i="5"/>
  <c r="P13" i="5"/>
  <c r="Q13" i="5"/>
  <c r="R13" i="5"/>
  <c r="S13" i="5"/>
  <c r="T13" i="5"/>
  <c r="U13" i="5"/>
  <c r="Y13" i="5"/>
  <c r="Z13" i="5"/>
  <c r="AA13" i="5"/>
  <c r="AB13" i="5"/>
  <c r="J14" i="5"/>
  <c r="K14" i="5"/>
  <c r="L14" i="5"/>
  <c r="N14" i="5"/>
  <c r="Q14" i="5"/>
  <c r="R14" i="5"/>
  <c r="S14" i="5"/>
  <c r="T14" i="5"/>
  <c r="U14" i="5"/>
  <c r="Y14" i="5"/>
  <c r="Z14" i="5"/>
  <c r="AA14" i="5"/>
  <c r="AB14" i="5"/>
  <c r="Y15" i="5"/>
  <c r="Z15" i="5"/>
  <c r="AA15" i="5"/>
  <c r="AB15" i="5"/>
  <c r="U16" i="5"/>
  <c r="Y16" i="5"/>
  <c r="Z16" i="5"/>
  <c r="AA16" i="5"/>
  <c r="AB16" i="5"/>
  <c r="U17" i="5"/>
  <c r="Y17" i="5"/>
  <c r="Z17" i="5"/>
  <c r="AA17" i="5"/>
  <c r="AB17" i="5"/>
  <c r="Q18" i="5"/>
  <c r="R18" i="5"/>
  <c r="S18" i="5"/>
  <c r="U18" i="5"/>
  <c r="Y18" i="5"/>
  <c r="Z18" i="5"/>
  <c r="AA18" i="5"/>
  <c r="AB18" i="5"/>
  <c r="T19" i="5"/>
  <c r="Y19" i="5"/>
  <c r="Z19" i="5"/>
  <c r="AA19" i="5"/>
  <c r="AB19" i="5"/>
  <c r="Y20" i="5"/>
  <c r="Z20" i="5"/>
  <c r="AA20" i="5"/>
  <c r="AB20" i="5"/>
  <c r="O21" i="5"/>
  <c r="S21" i="5"/>
  <c r="Y21" i="5"/>
  <c r="AB21" i="5"/>
  <c r="Y22" i="5"/>
  <c r="Z22" i="5"/>
  <c r="AB22" i="5"/>
  <c r="Q23" i="5"/>
  <c r="U23" i="5"/>
  <c r="Y23" i="5"/>
  <c r="AA23" i="5"/>
  <c r="AB23" i="5"/>
  <c r="U24" i="5"/>
  <c r="Y24" i="5"/>
  <c r="Z24" i="5"/>
  <c r="AA24" i="5"/>
  <c r="AB24" i="5"/>
  <c r="G25" i="5"/>
  <c r="Y25" i="5"/>
  <c r="AA25" i="5"/>
  <c r="AB25" i="5"/>
  <c r="Y26" i="5"/>
  <c r="Z26" i="5"/>
  <c r="Y27" i="5"/>
  <c r="AA27" i="5"/>
  <c r="AB27" i="5"/>
  <c r="Y28" i="5"/>
  <c r="AA28" i="5"/>
  <c r="AB28" i="5"/>
  <c r="Q29" i="5"/>
  <c r="R29" i="5"/>
  <c r="T29" i="5"/>
  <c r="Y29" i="5"/>
  <c r="AA29" i="5"/>
  <c r="AB29" i="5"/>
  <c r="Y30" i="5"/>
  <c r="Z30" i="5"/>
  <c r="AA30" i="5"/>
  <c r="AB30" i="5"/>
  <c r="Y31" i="5"/>
  <c r="AA31" i="5"/>
  <c r="AB31" i="5"/>
  <c r="Q32" i="5"/>
  <c r="R32" i="5"/>
  <c r="S32" i="5"/>
  <c r="U32" i="5"/>
  <c r="Y32" i="5"/>
  <c r="I33" i="5"/>
  <c r="J33" i="5"/>
  <c r="L33" i="5"/>
  <c r="U33" i="5"/>
  <c r="Y33" i="5"/>
  <c r="O34" i="5"/>
  <c r="R34" i="5"/>
  <c r="S34" i="5"/>
  <c r="T34" i="5"/>
  <c r="Y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7" i="5"/>
  <c r="G39" i="5"/>
  <c r="Y39" i="5"/>
  <c r="F40" i="5"/>
  <c r="P40" i="5"/>
  <c r="Q40" i="5"/>
  <c r="R40" i="5"/>
  <c r="S40" i="5"/>
  <c r="T40" i="5"/>
  <c r="U40" i="5"/>
  <c r="Y40" i="5"/>
  <c r="Z40" i="5"/>
  <c r="Y41" i="5"/>
  <c r="Z41" i="5"/>
  <c r="K42" i="5"/>
  <c r="Y42" i="5"/>
  <c r="Y43" i="5"/>
  <c r="Z43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9" i="5"/>
  <c r="Y53" i="5"/>
  <c r="Z53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Y60" i="5"/>
  <c r="AA60" i="5"/>
  <c r="AB60" i="5"/>
  <c r="AC60" i="5"/>
  <c r="E61" i="5"/>
  <c r="F61" i="5"/>
  <c r="G61" i="5"/>
  <c r="I61" i="5"/>
  <c r="J61" i="5"/>
  <c r="Y61" i="5"/>
  <c r="Z61" i="5"/>
  <c r="AA61" i="5"/>
  <c r="AB61" i="5"/>
  <c r="AC61" i="5"/>
  <c r="Y62" i="5"/>
  <c r="Z62" i="5"/>
  <c r="AA62" i="5"/>
  <c r="AB62" i="5"/>
  <c r="AC62" i="5"/>
  <c r="Y63" i="5"/>
  <c r="Z63" i="5"/>
  <c r="AA63" i="5"/>
  <c r="AB63" i="5"/>
  <c r="AC63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H66" i="5"/>
  <c r="K66" i="5"/>
  <c r="L66" i="5"/>
  <c r="M66" i="5"/>
  <c r="N66" i="5"/>
  <c r="Y66" i="5"/>
  <c r="C67" i="5"/>
  <c r="D67" i="5"/>
  <c r="E67" i="5"/>
  <c r="F67" i="5"/>
  <c r="G67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Y70" i="5"/>
  <c r="Z70" i="5"/>
  <c r="E71" i="5"/>
  <c r="F71" i="5"/>
  <c r="Y71" i="5"/>
  <c r="Z71" i="5"/>
  <c r="Y72" i="5"/>
  <c r="Z72" i="5"/>
  <c r="Y73" i="5"/>
  <c r="C74" i="5"/>
  <c r="D74" i="5"/>
  <c r="E74" i="5"/>
  <c r="F74" i="5"/>
  <c r="G74" i="5"/>
  <c r="H74" i="5"/>
  <c r="I74" i="5"/>
  <c r="J74" i="5"/>
  <c r="K74" i="5"/>
  <c r="L74" i="5"/>
  <c r="M74" i="5"/>
  <c r="N74" i="5"/>
  <c r="O74" i="5"/>
  <c r="P74" i="5"/>
  <c r="Q74" i="5"/>
  <c r="R74" i="5"/>
  <c r="S74" i="5"/>
  <c r="T74" i="5"/>
  <c r="U74" i="5"/>
  <c r="V74" i="5"/>
  <c r="W74" i="5"/>
  <c r="X74" i="5"/>
  <c r="Y74" i="5"/>
  <c r="C77" i="5"/>
  <c r="D77" i="5"/>
  <c r="E77" i="5"/>
  <c r="F77" i="5"/>
  <c r="G77" i="5"/>
  <c r="H77" i="5"/>
  <c r="I77" i="5"/>
  <c r="J77" i="5"/>
  <c r="K77" i="5"/>
  <c r="L77" i="5"/>
  <c r="M77" i="5"/>
  <c r="N77" i="5"/>
  <c r="O77" i="5"/>
  <c r="P77" i="5"/>
  <c r="Q77" i="5"/>
  <c r="R77" i="5"/>
  <c r="S77" i="5"/>
  <c r="T77" i="5"/>
  <c r="U77" i="5"/>
  <c r="V77" i="5"/>
  <c r="W77" i="5"/>
  <c r="X77" i="5"/>
  <c r="Y77" i="5"/>
  <c r="Y78" i="5"/>
</calcChain>
</file>

<file path=xl/comments1.xml><?xml version="1.0" encoding="utf-8"?>
<comments xmlns="http://schemas.openxmlformats.org/spreadsheetml/2006/main">
  <authors>
    <author>Shelly May</author>
  </authors>
  <commentList>
    <comment ref="Y10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Contract still not final; $136,000,000 is the contract price per draft on 3/16/99
Amy - 05/21 Contract executed, contract price has changed to $140,040,940
</t>
        </r>
      </text>
    </comment>
  </commentList>
</comments>
</file>

<file path=xl/comments2.xml><?xml version="1.0" encoding="utf-8"?>
<comments xmlns="http://schemas.openxmlformats.org/spreadsheetml/2006/main">
  <authors>
    <author>Shelly May</author>
    <author>acopela</author>
  </authors>
  <commentList>
    <comment ref="K11" authorId="0" shapeId="0">
      <text>
        <r>
          <rPr>
            <b/>
            <sz val="8"/>
            <color indexed="81"/>
            <rFont val="Tahoma"/>
          </rPr>
          <t>Shelly May:</t>
        </r>
        <r>
          <rPr>
            <sz val="8"/>
            <color indexed="81"/>
            <rFont val="Tahoma"/>
          </rPr>
          <t xml:space="preserve">
agreement with ABB today (3/19/99) is to hold payments until Aug, Sep, Oct</t>
        </r>
      </text>
    </comment>
    <comment ref="D50" authorId="1" shapeId="0">
      <text>
        <r>
          <rPr>
            <b/>
            <sz val="8"/>
            <color indexed="81"/>
            <rFont val="Tahoma"/>
          </rPr>
          <t>acopela:</t>
        </r>
        <r>
          <rPr>
            <sz val="8"/>
            <color indexed="81"/>
            <rFont val="Tahoma"/>
          </rPr>
          <t xml:space="preserve">
Rounded the Cumulative total down to the nearest thousands
</t>
        </r>
      </text>
    </comment>
  </commentList>
</comments>
</file>

<file path=xl/sharedStrings.xml><?xml version="1.0" encoding="utf-8"?>
<sst xmlns="http://schemas.openxmlformats.org/spreadsheetml/2006/main" count="598" uniqueCount="129">
  <si>
    <t>Enron Capital &amp; Trade Services</t>
  </si>
  <si>
    <t>Business Analysis &amp; Reporting</t>
  </si>
  <si>
    <t>Power Plants - 2000</t>
  </si>
  <si>
    <t>1999</t>
  </si>
  <si>
    <t>2000</t>
  </si>
  <si>
    <t>Total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</si>
  <si>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</si>
  <si>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</si>
  <si>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</si>
  <si>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</si>
  <si>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</si>
  <si>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</si>
  <si>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</si>
  <si>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</si>
  <si>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</si>
  <si>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</si>
  <si>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</si>
  <si>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</si>
  <si>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GE 7EA's (8ea)</t>
  </si>
  <si>
    <t>ABB</t>
  </si>
  <si>
    <t>EECC</t>
  </si>
  <si>
    <t>NEPCO</t>
  </si>
  <si>
    <t>PARTS</t>
  </si>
  <si>
    <t>LAND</t>
  </si>
  <si>
    <t>ENVIR PERMITTING</t>
  </si>
  <si>
    <t>GAS INTERCONNECT</t>
  </si>
  <si>
    <t>ELECT INTERCONNECT</t>
  </si>
  <si>
    <t>START UP FUEL</t>
  </si>
  <si>
    <t>SALES TAX</t>
  </si>
  <si>
    <t>INSURANCE</t>
  </si>
  <si>
    <t>SALARIES</t>
  </si>
  <si>
    <t>FINANCING FEE</t>
  </si>
  <si>
    <t>DEVELOPMENT</t>
  </si>
  <si>
    <t>LEGAL</t>
  </si>
  <si>
    <t>CALVERT CITY, KY</t>
  </si>
  <si>
    <t>WH501FD (2 ea)</t>
  </si>
  <si>
    <t>WH 501F (1 ea)</t>
  </si>
  <si>
    <t>WHEATLAND, INDIANA</t>
  </si>
  <si>
    <t>WH 501D5A (4)</t>
  </si>
  <si>
    <t>DEBT RESERVE</t>
  </si>
  <si>
    <t>CONTINGENCY (5%)</t>
  </si>
  <si>
    <t>WATER LINE</t>
  </si>
  <si>
    <t>EI (Mobilization of O&amp;M)</t>
  </si>
  <si>
    <t xml:space="preserve"> Wilton Center IL</t>
  </si>
  <si>
    <t>IDC</t>
  </si>
  <si>
    <t>Cumulative Total</t>
  </si>
  <si>
    <t>Total Wilton Center</t>
  </si>
  <si>
    <t>RESALE AND HANDLING FEE</t>
  </si>
  <si>
    <t>RESALE HANDLING FEE</t>
  </si>
  <si>
    <t>Total Calvert City</t>
  </si>
  <si>
    <t>Mike Miller</t>
  </si>
  <si>
    <t>Kevin Presto</t>
  </si>
  <si>
    <t>Scott Healy</t>
  </si>
  <si>
    <t>Chris Meyer</t>
  </si>
  <si>
    <t>Rodney Malcolm</t>
  </si>
  <si>
    <t>Ben Jacoby</t>
  </si>
  <si>
    <t>Patrick Maloy</t>
  </si>
  <si>
    <t>Steve Dowd</t>
  </si>
  <si>
    <t>Person Responsible</t>
  </si>
  <si>
    <t>Last updated:  February 23, 1999</t>
  </si>
  <si>
    <t>( Dev Owner:  Scott Healy)</t>
  </si>
  <si>
    <t>( Dev Owner:  Ben Jacoby)</t>
  </si>
  <si>
    <t>( Dev Owner:  Steve Dowd)</t>
  </si>
  <si>
    <t>Total Plant</t>
  </si>
  <si>
    <t>$$/Kw</t>
  </si>
  <si>
    <t>Subtotal</t>
  </si>
  <si>
    <t>MW</t>
  </si>
  <si>
    <t>Cumulative Total Plant</t>
  </si>
  <si>
    <t>Cumulative subtotal</t>
  </si>
  <si>
    <t>Total Current month less IDC</t>
  </si>
  <si>
    <t>Cumulative total w/o Debt reserve</t>
  </si>
  <si>
    <t>Cumulative total with Debt reserve</t>
  </si>
  <si>
    <t>IDC 6.5% - Swap</t>
  </si>
  <si>
    <t>Plano, IL</t>
  </si>
  <si>
    <t>Gleason/Weakly County, TN</t>
  </si>
  <si>
    <t>Total Wheatland</t>
  </si>
  <si>
    <t>Petersburg, IN</t>
  </si>
  <si>
    <t>Total Wilton Center Capital</t>
  </si>
  <si>
    <t>Subtotal Wilton Center Expense</t>
  </si>
  <si>
    <t>Subtotal Plano Expense</t>
  </si>
  <si>
    <t>Capital</t>
  </si>
  <si>
    <t>Expense</t>
  </si>
  <si>
    <t>Subtotal Gleason Expense</t>
  </si>
  <si>
    <t>Subtotal Calvert City Expense</t>
  </si>
  <si>
    <t>Subtotal Wheatland Expense</t>
  </si>
  <si>
    <t>Subtotal Petersburg Expense</t>
  </si>
  <si>
    <t>CONTINGENCY (5% NEPCO; 3% Ttl Plant)</t>
  </si>
  <si>
    <t>Total Project Cost (w/o Debt Reserve)</t>
  </si>
  <si>
    <t>Commitment Fee</t>
  </si>
  <si>
    <t>+ 35 Bps Com Fee</t>
  </si>
  <si>
    <t>ENVIRONMENTAL PERMITTING</t>
  </si>
  <si>
    <t>LEGAL EXPENSES</t>
  </si>
  <si>
    <t>SYSTEM IMPACT STUDY</t>
  </si>
  <si>
    <t>DEVELOPMENT EXPENSES</t>
  </si>
  <si>
    <t>Interest SWAP</t>
  </si>
  <si>
    <t>WATER INTERCONNECT</t>
  </si>
  <si>
    <t xml:space="preserve">IDC 6.5% </t>
  </si>
  <si>
    <t>Current FIT</t>
  </si>
  <si>
    <t>Total Income Statement</t>
  </si>
  <si>
    <t>WILTON CENTER, IL</t>
  </si>
  <si>
    <t>WHEATLAND, IN</t>
  </si>
  <si>
    <t xml:space="preserve">     TOTAL 2000 PLANTS</t>
  </si>
  <si>
    <t xml:space="preserve">    Cumulative Total</t>
  </si>
  <si>
    <t>Capital Expenditures</t>
  </si>
  <si>
    <t>POWER INTERCONNECT</t>
  </si>
  <si>
    <t>Overheads and Fees -EECC</t>
  </si>
  <si>
    <t>Overheads and Fees -NEPCO</t>
  </si>
  <si>
    <t>BASE FEE</t>
  </si>
  <si>
    <t>SWITCHYARD</t>
  </si>
  <si>
    <t>NEPCO-Reimbursables</t>
  </si>
  <si>
    <t>Union Adders/Others</t>
  </si>
  <si>
    <t>Power INTERCONNECT</t>
  </si>
  <si>
    <t>total project</t>
  </si>
  <si>
    <t>weekly Report</t>
  </si>
  <si>
    <t>SOUND - Braden</t>
  </si>
  <si>
    <t xml:space="preserve">Transfer </t>
  </si>
  <si>
    <t>Gleason</t>
  </si>
  <si>
    <t>Transfer</t>
  </si>
  <si>
    <t xml:space="preserve">Total Project Cost </t>
  </si>
  <si>
    <t>NEPCO- General Provisions</t>
  </si>
  <si>
    <t>NEPCO - BOP Procurement</t>
  </si>
  <si>
    <t>NEPCO - Construction</t>
  </si>
  <si>
    <t>NEPCO - Switchyard</t>
  </si>
  <si>
    <t>NEPCO - Reimburse Tax</t>
  </si>
  <si>
    <t>NEPCO % Complete</t>
  </si>
  <si>
    <t>Franchise Tax</t>
  </si>
  <si>
    <t>Last updated:  Actuals through December 24, 1999</t>
  </si>
  <si>
    <t>NEPCO - MISC</t>
  </si>
  <si>
    <t>1/2 of Redesign costs to change projects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</si>
</sst>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m/d/yy\ h:mm\ AM/PM"/>
    <numFmt numFmtId="166" formatCode="0_);\(0\)"/>
  </numFmts>
  <fonts count="16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sz val="12"/>
      <color indexed="12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u val="singleAccounting"/>
      <sz val="12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164" fontId="2" fillId="0" borderId="0" xfId="1" applyNumberFormat="1" applyFont="1"/>
    <xf numFmtId="164" fontId="3" fillId="0" borderId="0" xfId="1" applyNumberFormat="1" applyFont="1"/>
    <xf numFmtId="165" fontId="4" fillId="0" borderId="0" xfId="1" applyNumberFormat="1" applyFont="1" applyAlignment="1">
      <alignment horizontal="right"/>
    </xf>
    <xf numFmtId="164" fontId="5" fillId="0" borderId="0" xfId="1" applyNumberFormat="1" applyFont="1" applyFill="1"/>
    <xf numFmtId="164" fontId="5" fillId="0" borderId="0" xfId="1" applyNumberFormat="1" applyFont="1" applyFill="1" applyAlignment="1">
      <alignment horizontal="left"/>
    </xf>
    <xf numFmtId="164" fontId="5" fillId="0" borderId="0" xfId="1" applyNumberFormat="1" applyFont="1" applyFill="1" applyAlignment="1">
      <alignment horizontal="center"/>
    </xf>
    <xf numFmtId="166" fontId="5" fillId="0" borderId="0" xfId="1" applyNumberFormat="1" applyFont="1" applyFill="1" applyAlignment="1">
      <alignment horizontal="center"/>
    </xf>
    <xf numFmtId="164" fontId="6" fillId="0" borderId="0" xfId="1" applyNumberFormat="1" applyFont="1" applyFill="1"/>
    <xf numFmtId="164" fontId="5" fillId="0" borderId="0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5" fillId="0" borderId="1" xfId="1" applyNumberFormat="1" applyFont="1" applyFill="1" applyBorder="1"/>
    <xf numFmtId="10" fontId="5" fillId="0" borderId="0" xfId="2" applyNumberFormat="1" applyFont="1" applyFill="1"/>
    <xf numFmtId="164" fontId="5" fillId="0" borderId="2" xfId="1" applyNumberFormat="1" applyFont="1" applyFill="1" applyBorder="1"/>
    <xf numFmtId="164" fontId="5" fillId="0" borderId="3" xfId="1" applyNumberFormat="1" applyFont="1" applyFill="1" applyBorder="1" applyAlignment="1">
      <alignment horizontal="center"/>
    </xf>
    <xf numFmtId="164" fontId="6" fillId="0" borderId="3" xfId="1" applyNumberFormat="1" applyFont="1" applyFill="1" applyBorder="1" applyAlignment="1">
      <alignment horizontal="left"/>
    </xf>
    <xf numFmtId="43" fontId="5" fillId="0" borderId="1" xfId="1" applyNumberFormat="1" applyFont="1" applyFill="1" applyBorder="1"/>
    <xf numFmtId="164" fontId="1" fillId="0" borderId="0" xfId="1" applyNumberFormat="1" applyFont="1" applyFill="1"/>
    <xf numFmtId="164" fontId="1" fillId="0" borderId="0" xfId="1" applyNumberFormat="1" applyFill="1"/>
    <xf numFmtId="164" fontId="1" fillId="0" borderId="3" xfId="1" applyNumberFormat="1" applyFill="1" applyBorder="1"/>
    <xf numFmtId="164" fontId="1" fillId="0" borderId="0" xfId="1" applyNumberFormat="1" applyFill="1" applyBorder="1"/>
    <xf numFmtId="164" fontId="5" fillId="0" borderId="4" xfId="1" applyNumberFormat="1" applyFont="1" applyFill="1" applyBorder="1"/>
    <xf numFmtId="164" fontId="5" fillId="0" borderId="3" xfId="1" applyNumberFormat="1" applyFont="1" applyFill="1" applyBorder="1"/>
    <xf numFmtId="164" fontId="5" fillId="0" borderId="5" xfId="1" applyNumberFormat="1" applyFont="1" applyFill="1" applyBorder="1"/>
    <xf numFmtId="165" fontId="7" fillId="0" borderId="0" xfId="1" applyNumberFormat="1" applyFont="1"/>
    <xf numFmtId="164" fontId="7" fillId="0" borderId="0" xfId="1" applyNumberFormat="1" applyFont="1" applyAlignment="1">
      <alignment horizontal="right"/>
    </xf>
    <xf numFmtId="164" fontId="8" fillId="0" borderId="0" xfId="1" applyNumberFormat="1" applyFont="1" applyFill="1"/>
    <xf numFmtId="164" fontId="9" fillId="0" borderId="0" xfId="1" applyNumberFormat="1" applyFont="1" applyFill="1"/>
    <xf numFmtId="164" fontId="10" fillId="0" borderId="0" xfId="1" applyNumberFormat="1" applyFont="1" applyFill="1"/>
    <xf numFmtId="164" fontId="11" fillId="0" borderId="0" xfId="1" applyNumberFormat="1" applyFont="1" applyFill="1"/>
    <xf numFmtId="164" fontId="6" fillId="0" borderId="0" xfId="1" applyNumberFormat="1" applyFont="1" applyFill="1" applyBorder="1"/>
    <xf numFmtId="164" fontId="5" fillId="0" borderId="0" xfId="1" applyNumberFormat="1" applyFont="1" applyFill="1" applyBorder="1" applyAlignment="1">
      <alignment horizontal="center"/>
    </xf>
    <xf numFmtId="164" fontId="14" fillId="0" borderId="0" xfId="1" applyNumberFormat="1" applyFont="1" applyFill="1" applyAlignment="1">
      <alignment horizontal="center"/>
    </xf>
    <xf numFmtId="164" fontId="5" fillId="0" borderId="6" xfId="1" applyNumberFormat="1" applyFont="1" applyFill="1" applyBorder="1"/>
    <xf numFmtId="164" fontId="5" fillId="0" borderId="7" xfId="1" applyNumberFormat="1" applyFont="1" applyFill="1" applyBorder="1"/>
    <xf numFmtId="164" fontId="15" fillId="0" borderId="0" xfId="1" applyNumberFormat="1" applyFont="1" applyFill="1"/>
    <xf numFmtId="9" fontId="5" fillId="0" borderId="0" xfId="2" applyFont="1" applyFill="1" applyAlignment="1">
      <alignment horizontal="center"/>
    </xf>
    <xf numFmtId="10" fontId="5" fillId="0" borderId="0" xfId="2" applyNumberFormat="1" applyFont="1" applyFill="1" applyAlignment="1">
      <alignment horizontal="center"/>
    </xf>
    <xf numFmtId="0" fontId="6" fillId="0" borderId="0" xfId="0" applyFont="1"/>
    <xf numFmtId="0" fontId="6" fillId="0" borderId="8" xfId="0" applyFont="1" applyFill="1" applyBorder="1" applyAlignment="1">
      <alignment vertical="center"/>
    </xf>
    <xf numFmtId="164" fontId="6" fillId="0" borderId="0" xfId="1" applyNumberFormat="1" applyFont="1"/>
    <xf numFmtId="164" fontId="6" fillId="0" borderId="0" xfId="1" applyNumberFormat="1" applyFont="1" applyBorder="1"/>
    <xf numFmtId="164" fontId="5" fillId="0" borderId="9" xfId="1" quotePrefix="1" applyNumberFormat="1" applyFont="1" applyFill="1" applyBorder="1" applyAlignment="1">
      <alignment horizontal="center"/>
    </xf>
    <xf numFmtId="164" fontId="1" fillId="0" borderId="4" xfId="1" applyNumberFormat="1" applyFill="1" applyBorder="1"/>
    <xf numFmtId="164" fontId="0" fillId="0" borderId="0" xfId="1" applyNumberFormat="1" applyFont="1"/>
    <xf numFmtId="0" fontId="5" fillId="0" borderId="0" xfId="0" applyFont="1"/>
    <xf numFmtId="164" fontId="0" fillId="0" borderId="9" xfId="1" applyNumberFormat="1" applyFont="1" applyBorder="1"/>
    <xf numFmtId="164" fontId="0" fillId="0" borderId="10" xfId="0" applyNumberFormat="1" applyBorder="1"/>
    <xf numFmtId="164" fontId="0" fillId="0" borderId="0" xfId="0" applyNumberFormat="1" applyBorder="1"/>
    <xf numFmtId="164" fontId="0" fillId="0" borderId="0" xfId="0" applyNumberFormat="1"/>
    <xf numFmtId="164" fontId="0" fillId="0" borderId="0" xfId="2" applyNumberFormat="1" applyFont="1"/>
    <xf numFmtId="164" fontId="3" fillId="0" borderId="0" xfId="1" applyNumberFormat="1" applyFont="1" applyAlignment="1"/>
    <xf numFmtId="164" fontId="1" fillId="0" borderId="0" xfId="1" applyNumberFormat="1" applyFill="1" applyAlignment="1"/>
    <xf numFmtId="164" fontId="1" fillId="0" borderId="0" xfId="1" applyNumberFormat="1" applyFont="1" applyFill="1" applyAlignment="1"/>
    <xf numFmtId="164" fontId="5" fillId="0" borderId="4" xfId="1" applyNumberFormat="1" applyFont="1" applyFill="1" applyBorder="1" applyAlignment="1"/>
    <xf numFmtId="164" fontId="6" fillId="0" borderId="0" xfId="1" applyNumberFormat="1" applyFont="1" applyFill="1" applyBorder="1" applyAlignment="1"/>
    <xf numFmtId="164" fontId="1" fillId="0" borderId="0" xfId="1" applyNumberFormat="1" applyFill="1" applyBorder="1" applyAlignment="1"/>
    <xf numFmtId="164" fontId="5" fillId="0" borderId="0" xfId="1" applyNumberFormat="1" applyFont="1" applyFill="1" applyAlignment="1"/>
    <xf numFmtId="164" fontId="5" fillId="0" borderId="0" xfId="1" applyNumberFormat="1" applyFont="1" applyFill="1" applyBorder="1" applyAlignment="1"/>
    <xf numFmtId="164" fontId="5" fillId="0" borderId="9" xfId="1" applyNumberFormat="1" applyFont="1" applyFill="1" applyBorder="1" applyAlignment="1">
      <alignment horizontal="center"/>
    </xf>
    <xf numFmtId="164" fontId="5" fillId="0" borderId="9" xfId="1" quotePrefix="1" applyNumberFormat="1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ersonal/2000%20Weekly%20Report%20-%200131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NA Mquip"/>
      <sheetName val="EECC"/>
      <sheetName val="To Update"/>
      <sheetName val="Summary"/>
      <sheetName val="Wilton"/>
      <sheetName val="Calvert City"/>
      <sheetName val="Gleason"/>
      <sheetName val="Wheatland"/>
      <sheetName val="Wilton - Nepco Scope Changes"/>
      <sheetName val="Gleason-Nepco Scope Changes"/>
      <sheetName val="Wheatland -Nepco Scope Changes"/>
      <sheetName val="Nepco Summary"/>
    </sheetNames>
    <sheetDataSet>
      <sheetData sheetId="0"/>
      <sheetData sheetId="1"/>
      <sheetData sheetId="2"/>
      <sheetData sheetId="3"/>
      <sheetData sheetId="4"/>
      <sheetData sheetId="5">
        <row r="12">
          <cell r="BR12">
            <v>142064940</v>
          </cell>
        </row>
        <row r="31">
          <cell r="BR31">
            <v>5916048</v>
          </cell>
        </row>
        <row r="55">
          <cell r="BR55">
            <v>14346909</v>
          </cell>
        </row>
        <row r="81">
          <cell r="BR81">
            <v>7349178</v>
          </cell>
        </row>
        <row r="115">
          <cell r="BR115">
            <v>34323186</v>
          </cell>
        </row>
        <row r="120">
          <cell r="BR120">
            <v>5336759</v>
          </cell>
        </row>
        <row r="127">
          <cell r="BR127">
            <v>940200</v>
          </cell>
        </row>
        <row r="128">
          <cell r="BR128">
            <v>2824800</v>
          </cell>
        </row>
        <row r="129">
          <cell r="BR129">
            <v>3066700</v>
          </cell>
        </row>
        <row r="143">
          <cell r="BR143">
            <v>9479519</v>
          </cell>
        </row>
        <row r="152">
          <cell r="BR152">
            <v>908786</v>
          </cell>
        </row>
        <row r="156">
          <cell r="BR156">
            <v>218555.81000000003</v>
          </cell>
        </row>
        <row r="158">
          <cell r="BR158">
            <v>500000</v>
          </cell>
        </row>
        <row r="160">
          <cell r="BR160">
            <v>1253881</v>
          </cell>
        </row>
        <row r="167">
          <cell r="BR167">
            <v>2485818.14</v>
          </cell>
        </row>
        <row r="174">
          <cell r="BR174">
            <v>400000</v>
          </cell>
        </row>
        <row r="176">
          <cell r="BR176">
            <v>1200000</v>
          </cell>
        </row>
        <row r="178">
          <cell r="BR178">
            <v>6500000</v>
          </cell>
        </row>
        <row r="184">
          <cell r="BR184">
            <v>1500000</v>
          </cell>
        </row>
        <row r="186">
          <cell r="BR186">
            <v>266248.5</v>
          </cell>
        </row>
        <row r="188">
          <cell r="BR188">
            <v>200000</v>
          </cell>
        </row>
        <row r="197">
          <cell r="BR197">
            <v>896735.58000000007</v>
          </cell>
        </row>
        <row r="204">
          <cell r="BR204">
            <v>508959.45999999996</v>
          </cell>
        </row>
        <row r="220">
          <cell r="AN220">
            <v>52217</v>
          </cell>
        </row>
        <row r="236">
          <cell r="BR236">
            <v>254881225.19276717</v>
          </cell>
        </row>
      </sheetData>
      <sheetData sheetId="6">
        <row r="216">
          <cell r="BT216">
            <v>912871.06333333324</v>
          </cell>
        </row>
      </sheetData>
      <sheetData sheetId="7">
        <row r="16">
          <cell r="BT16">
            <v>95561044</v>
          </cell>
        </row>
        <row r="35">
          <cell r="BT35">
            <v>6024611</v>
          </cell>
        </row>
        <row r="61">
          <cell r="BT61">
            <v>17147711</v>
          </cell>
        </row>
        <row r="89">
          <cell r="BT89">
            <v>4260931</v>
          </cell>
        </row>
        <row r="122">
          <cell r="BT122">
            <v>15443748</v>
          </cell>
        </row>
        <row r="127">
          <cell r="BT127">
            <v>12136785</v>
          </cell>
        </row>
        <row r="136">
          <cell r="BT136">
            <v>929800</v>
          </cell>
        </row>
        <row r="137">
          <cell r="BT137">
            <v>2840700</v>
          </cell>
        </row>
        <row r="138">
          <cell r="BT138">
            <v>3066700</v>
          </cell>
        </row>
        <row r="170">
          <cell r="BT170">
            <v>908786</v>
          </cell>
        </row>
        <row r="176">
          <cell r="BT176">
            <v>675000</v>
          </cell>
        </row>
        <row r="178">
          <cell r="BT178">
            <v>1247007</v>
          </cell>
        </row>
        <row r="185">
          <cell r="BT185">
            <v>383541</v>
          </cell>
        </row>
        <row r="195">
          <cell r="BT195">
            <v>563038.39999999991</v>
          </cell>
        </row>
        <row r="218">
          <cell r="BT218">
            <v>3890117</v>
          </cell>
        </row>
        <row r="220">
          <cell r="BT220">
            <v>1100000</v>
          </cell>
        </row>
        <row r="223">
          <cell r="AT223">
            <v>0</v>
          </cell>
        </row>
        <row r="226">
          <cell r="BT226">
            <v>500000</v>
          </cell>
        </row>
        <row r="228">
          <cell r="BT228">
            <v>200935.25</v>
          </cell>
        </row>
        <row r="230">
          <cell r="BT230">
            <v>200000</v>
          </cell>
        </row>
        <row r="239">
          <cell r="BT239">
            <v>623216.18000000005</v>
          </cell>
        </row>
        <row r="245">
          <cell r="BT245">
            <v>752208.46</v>
          </cell>
        </row>
        <row r="261">
          <cell r="BT261">
            <v>175917862.59232131</v>
          </cell>
        </row>
      </sheetData>
      <sheetData sheetId="8">
        <row r="12">
          <cell r="BR12">
            <v>86219301</v>
          </cell>
        </row>
        <row r="32">
          <cell r="BR32">
            <v>4440534</v>
          </cell>
        </row>
        <row r="56">
          <cell r="BR56">
            <v>13748351</v>
          </cell>
        </row>
        <row r="82">
          <cell r="BR82">
            <v>4749674</v>
          </cell>
        </row>
        <row r="116">
          <cell r="BR116">
            <v>15954724</v>
          </cell>
        </row>
        <row r="119">
          <cell r="BR119">
            <v>10145929</v>
          </cell>
        </row>
        <row r="131">
          <cell r="BR131">
            <v>929800</v>
          </cell>
        </row>
        <row r="132">
          <cell r="BR132">
            <v>2386700</v>
          </cell>
        </row>
        <row r="133">
          <cell r="BR133">
            <v>3066700</v>
          </cell>
        </row>
        <row r="155">
          <cell r="BR155">
            <v>1500000</v>
          </cell>
        </row>
        <row r="157">
          <cell r="BR157">
            <v>50000</v>
          </cell>
        </row>
        <row r="159">
          <cell r="BR159">
            <v>1172731</v>
          </cell>
        </row>
        <row r="166">
          <cell r="BR166">
            <v>1376268.86</v>
          </cell>
        </row>
        <row r="171">
          <cell r="BR171">
            <v>450000</v>
          </cell>
        </row>
        <row r="175">
          <cell r="BR175">
            <v>5000000</v>
          </cell>
        </row>
        <row r="177">
          <cell r="BR177">
            <v>1500000</v>
          </cell>
        </row>
        <row r="183">
          <cell r="BR183">
            <v>1000000</v>
          </cell>
        </row>
        <row r="185">
          <cell r="BR185">
            <v>200000</v>
          </cell>
        </row>
        <row r="196">
          <cell r="BR196">
            <v>754273.98</v>
          </cell>
        </row>
        <row r="201">
          <cell r="AR201">
            <v>68346.510000000009</v>
          </cell>
        </row>
        <row r="203">
          <cell r="BR203">
            <v>452208.46</v>
          </cell>
        </row>
        <row r="236">
          <cell r="BR236">
            <v>161905559.06032231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122"/>
  <sheetViews>
    <sheetView zoomScale="75" workbookViewId="0">
      <pane xSplit="2" ySplit="6" topLeftCell="C7" activePane="bottomRight" state="frozen"/>
      <selection activeCell="C7" sqref="C7"/>
      <selection pane="topRight" activeCell="C7" sqref="C7"/>
      <selection pane="bottomLeft" activeCell="C7" sqref="C7"/>
      <selection pane="bottomRight" activeCell="C38" sqref="C38"/>
    </sheetView>
  </sheetViews>
  <sheetFormatPr defaultColWidth="9.109375" defaultRowHeight="13.2" x14ac:dyDescent="0.25"/>
  <cols>
    <col min="1" max="1" width="32.5546875" style="18" customWidth="1"/>
    <col min="2" max="2" width="1.6640625" style="18" customWidth="1"/>
    <col min="3" max="3" width="13.88671875" style="4" customWidth="1"/>
    <col min="4" max="4" width="14" style="18" customWidth="1"/>
    <col min="5" max="5" width="13.88671875" style="18" customWidth="1"/>
    <col min="6" max="6" width="12.88671875" style="18" customWidth="1"/>
    <col min="7" max="10" width="13.5546875" style="18" customWidth="1"/>
    <col min="11" max="11" width="14.33203125" style="18" bestFit="1" customWidth="1"/>
    <col min="12" max="12" width="13.5546875" style="18" customWidth="1"/>
    <col min="13" max="13" width="15.44140625" style="18" customWidth="1"/>
    <col min="14" max="14" width="14.33203125" style="18" bestFit="1" customWidth="1"/>
    <col min="15" max="16" width="13.88671875" style="18" customWidth="1"/>
    <col min="17" max="17" width="13.5546875" style="18" customWidth="1"/>
    <col min="18" max="18" width="14.5546875" style="18" customWidth="1"/>
    <col min="19" max="19" width="13.6640625" style="18" customWidth="1"/>
    <col min="20" max="20" width="14.33203125" style="18" bestFit="1" customWidth="1"/>
    <col min="21" max="21" width="14.5546875" style="18" bestFit="1" customWidth="1"/>
    <col min="22" max="22" width="18.5546875" style="4" customWidth="1"/>
    <col min="23" max="23" width="32.6640625" style="18" customWidth="1"/>
    <col min="24" max="16384" width="9.109375" style="18"/>
  </cols>
  <sheetData>
    <row r="1" spans="1:23" s="2" customFormat="1" ht="15.6" x14ac:dyDescent="0.3">
      <c r="A1" s="1" t="s">
        <v>0</v>
      </c>
    </row>
    <row r="2" spans="1:23" s="2" customFormat="1" ht="15.6" x14ac:dyDescent="0.3">
      <c r="A2" s="1" t="s">
        <v>1</v>
      </c>
      <c r="D2" s="1" t="s">
        <v>59</v>
      </c>
      <c r="V2" s="25" t="str">
        <f ca="1">CELL("filename")</f>
        <v>C:\TEMP\[~0026593.xls]Sheet1</v>
      </c>
    </row>
    <row r="3" spans="1:23" s="2" customFormat="1" ht="15.6" x14ac:dyDescent="0.3">
      <c r="A3" s="1" t="s">
        <v>2</v>
      </c>
      <c r="F3" s="3"/>
      <c r="V3" s="24">
        <f ca="1">NOW()</f>
        <v>36556.653485763891</v>
      </c>
    </row>
    <row r="4" spans="1:23" x14ac:dyDescent="0.25">
      <c r="C4" s="12"/>
    </row>
    <row r="5" spans="1:23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 t="s">
        <v>4</v>
      </c>
      <c r="Q5" s="60"/>
      <c r="R5" s="60"/>
      <c r="S5" s="60"/>
      <c r="T5" s="60"/>
      <c r="U5" s="60"/>
      <c r="V5" s="60"/>
    </row>
    <row r="6" spans="1:23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14" t="s">
        <v>5</v>
      </c>
      <c r="W6" s="14" t="s">
        <v>58</v>
      </c>
    </row>
    <row r="7" spans="1:23" s="6" customFormat="1" x14ac:dyDescent="0.25">
      <c r="A7" s="5" t="s">
        <v>43</v>
      </c>
      <c r="V7" s="10"/>
      <c r="W7"/>
    </row>
    <row r="8" spans="1:23" s="6" customFormat="1" x14ac:dyDescent="0.25">
      <c r="A8" s="5" t="s">
        <v>60</v>
      </c>
      <c r="V8" s="10"/>
      <c r="W8"/>
    </row>
    <row r="9" spans="1:23" x14ac:dyDescent="0.25">
      <c r="A9" s="17" t="s">
        <v>18</v>
      </c>
      <c r="C9" s="4">
        <v>6800000</v>
      </c>
      <c r="D9" s="8">
        <v>0</v>
      </c>
      <c r="E9" s="8">
        <v>32884800</v>
      </c>
      <c r="F9" s="8">
        <f>6825139*2</f>
        <v>13650278</v>
      </c>
      <c r="G9" s="8">
        <v>6825139</v>
      </c>
      <c r="H9" s="8">
        <v>6825139</v>
      </c>
      <c r="I9" s="8">
        <v>6825139</v>
      </c>
      <c r="J9" s="8">
        <v>6825139</v>
      </c>
      <c r="K9" s="8">
        <v>6825139</v>
      </c>
      <c r="L9" s="8">
        <v>6825139</v>
      </c>
      <c r="M9" s="8">
        <v>8531424</v>
      </c>
      <c r="N9" s="8">
        <v>12790310</v>
      </c>
      <c r="O9" s="8">
        <f>12803961+4066034</f>
        <v>16869995</v>
      </c>
      <c r="P9" s="18">
        <v>0</v>
      </c>
      <c r="U9" s="18">
        <v>6825139</v>
      </c>
      <c r="V9" s="11">
        <f t="shared" ref="V9:V25" si="0">SUM(C9:U9)</f>
        <v>139302780</v>
      </c>
      <c r="W9" s="19" t="s">
        <v>50</v>
      </c>
    </row>
    <row r="10" spans="1:23" x14ac:dyDescent="0.25">
      <c r="A10" s="17" t="s">
        <v>19</v>
      </c>
      <c r="C10" s="4">
        <v>0</v>
      </c>
      <c r="G10" s="18">
        <v>670000</v>
      </c>
      <c r="I10" s="18">
        <v>5360000</v>
      </c>
      <c r="J10" s="18">
        <v>2680000</v>
      </c>
      <c r="K10" s="18">
        <v>670000</v>
      </c>
      <c r="L10" s="18">
        <v>670000</v>
      </c>
      <c r="M10" s="18">
        <v>670000</v>
      </c>
      <c r="N10" s="18">
        <v>670000</v>
      </c>
      <c r="O10" s="18">
        <v>670000</v>
      </c>
      <c r="P10" s="18">
        <v>670000</v>
      </c>
      <c r="Q10" s="18">
        <v>670000</v>
      </c>
      <c r="V10" s="11">
        <f t="shared" si="0"/>
        <v>13400000</v>
      </c>
      <c r="W10" s="19" t="str">
        <f>W9</f>
        <v>Mike Miller</v>
      </c>
    </row>
    <row r="11" spans="1:23" x14ac:dyDescent="0.25">
      <c r="A11" s="17" t="s">
        <v>20</v>
      </c>
      <c r="C11" s="4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1">
        <f t="shared" si="0"/>
        <v>0</v>
      </c>
      <c r="W11" s="19" t="str">
        <f>W10</f>
        <v>Mike Miller</v>
      </c>
    </row>
    <row r="12" spans="1:23" x14ac:dyDescent="0.25">
      <c r="A12" s="17" t="s">
        <v>21</v>
      </c>
      <c r="C12" s="4">
        <v>0</v>
      </c>
      <c r="K12" s="18">
        <v>1642664</v>
      </c>
      <c r="L12" s="18">
        <v>1558726</v>
      </c>
      <c r="M12" s="18">
        <v>1558726</v>
      </c>
      <c r="N12" s="18">
        <v>1558996</v>
      </c>
      <c r="O12" s="18">
        <v>2620773</v>
      </c>
      <c r="P12" s="18">
        <v>4676732</v>
      </c>
      <c r="Q12" s="18">
        <v>4676732</v>
      </c>
      <c r="R12" s="18">
        <v>4676732</v>
      </c>
      <c r="S12" s="18">
        <v>4676732</v>
      </c>
      <c r="T12" s="18">
        <v>3176732</v>
      </c>
      <c r="U12" s="18">
        <v>3176455</v>
      </c>
      <c r="V12" s="11">
        <f t="shared" si="0"/>
        <v>34000000</v>
      </c>
      <c r="W12" s="19" t="str">
        <f>W11</f>
        <v>Mike Miller</v>
      </c>
    </row>
    <row r="13" spans="1:23" x14ac:dyDescent="0.25">
      <c r="A13" s="17" t="s">
        <v>42</v>
      </c>
      <c r="C13" s="4">
        <v>0</v>
      </c>
      <c r="P13" s="18">
        <v>125000</v>
      </c>
      <c r="Q13" s="18">
        <v>125000</v>
      </c>
      <c r="R13" s="18">
        <v>125000</v>
      </c>
      <c r="S13" s="18">
        <v>125000</v>
      </c>
      <c r="T13" s="18">
        <v>125000</v>
      </c>
      <c r="U13" s="18">
        <v>125000</v>
      </c>
      <c r="V13" s="11">
        <f t="shared" si="0"/>
        <v>750000</v>
      </c>
      <c r="W13" s="19" t="s">
        <v>51</v>
      </c>
    </row>
    <row r="14" spans="1:23" x14ac:dyDescent="0.25">
      <c r="A14" s="17" t="s">
        <v>22</v>
      </c>
      <c r="C14" s="4">
        <v>0</v>
      </c>
      <c r="S14" s="18">
        <v>500000</v>
      </c>
      <c r="T14" s="18">
        <v>500000</v>
      </c>
      <c r="U14" s="18">
        <v>204000</v>
      </c>
      <c r="V14" s="11">
        <f t="shared" si="0"/>
        <v>1204000</v>
      </c>
      <c r="W14" s="19" t="str">
        <f>W12</f>
        <v>Mike Miller</v>
      </c>
    </row>
    <row r="15" spans="1:23" x14ac:dyDescent="0.25">
      <c r="A15" s="17" t="s">
        <v>23</v>
      </c>
      <c r="C15" s="4">
        <v>0</v>
      </c>
      <c r="G15" s="18">
        <v>1668400</v>
      </c>
      <c r="H15" s="18">
        <v>0</v>
      </c>
      <c r="L15" s="18">
        <v>350000</v>
      </c>
      <c r="V15" s="11">
        <f t="shared" si="0"/>
        <v>2018400</v>
      </c>
      <c r="W15" s="19" t="s">
        <v>52</v>
      </c>
    </row>
    <row r="16" spans="1:23" x14ac:dyDescent="0.25">
      <c r="A16" s="17" t="s">
        <v>24</v>
      </c>
      <c r="C16" s="4">
        <v>0</v>
      </c>
      <c r="F16" s="18">
        <v>100000</v>
      </c>
      <c r="G16" s="18">
        <v>100000</v>
      </c>
      <c r="H16" s="18">
        <v>100000</v>
      </c>
      <c r="I16" s="17">
        <v>100000</v>
      </c>
      <c r="J16" s="17"/>
      <c r="K16" s="17"/>
      <c r="L16" s="17"/>
      <c r="V16" s="11">
        <f t="shared" si="0"/>
        <v>400000</v>
      </c>
      <c r="W16" s="19" t="str">
        <f>W15</f>
        <v>Scott Healy</v>
      </c>
    </row>
    <row r="17" spans="1:23" x14ac:dyDescent="0.25">
      <c r="A17" s="17" t="s">
        <v>25</v>
      </c>
      <c r="C17" s="4">
        <v>0</v>
      </c>
      <c r="P17" s="18">
        <v>1750000</v>
      </c>
      <c r="Q17" s="18">
        <v>500000</v>
      </c>
      <c r="R17" s="18">
        <v>500000</v>
      </c>
      <c r="S17" s="18">
        <v>500000</v>
      </c>
      <c r="T17" s="18">
        <v>250000</v>
      </c>
      <c r="V17" s="11">
        <f t="shared" si="0"/>
        <v>3500000</v>
      </c>
      <c r="W17" s="19" t="s">
        <v>53</v>
      </c>
    </row>
    <row r="18" spans="1:23" x14ac:dyDescent="0.25">
      <c r="A18" s="17" t="s">
        <v>26</v>
      </c>
      <c r="C18" s="4">
        <v>0</v>
      </c>
      <c r="F18" s="18">
        <v>100000</v>
      </c>
      <c r="G18" s="18">
        <v>100000</v>
      </c>
      <c r="O18" s="18">
        <v>1000000</v>
      </c>
      <c r="P18" s="18">
        <v>850000</v>
      </c>
      <c r="Q18" s="18">
        <v>750000</v>
      </c>
      <c r="R18" s="18">
        <v>600000</v>
      </c>
      <c r="V18" s="11">
        <f t="shared" si="0"/>
        <v>3400000</v>
      </c>
      <c r="W18" s="19" t="str">
        <f>W16</f>
        <v>Scott Healy</v>
      </c>
    </row>
    <row r="19" spans="1:23" x14ac:dyDescent="0.25">
      <c r="A19" s="17" t="s">
        <v>27</v>
      </c>
      <c r="C19" s="4">
        <v>0</v>
      </c>
      <c r="S19" s="18">
        <v>500000</v>
      </c>
      <c r="T19" s="18">
        <v>500000</v>
      </c>
      <c r="U19" s="18">
        <v>0</v>
      </c>
      <c r="V19" s="11">
        <f t="shared" si="0"/>
        <v>1000000</v>
      </c>
      <c r="W19" s="19" t="str">
        <f>W13</f>
        <v>Kevin Presto</v>
      </c>
    </row>
    <row r="20" spans="1:23" x14ac:dyDescent="0.25">
      <c r="A20" s="17" t="s">
        <v>28</v>
      </c>
      <c r="C20" s="4">
        <v>0</v>
      </c>
      <c r="P20" s="18">
        <v>0</v>
      </c>
      <c r="Q20" s="18">
        <v>0</v>
      </c>
      <c r="R20" s="18">
        <v>4500000</v>
      </c>
      <c r="S20" s="18">
        <v>1500000</v>
      </c>
      <c r="T20" s="18">
        <v>1500000</v>
      </c>
      <c r="U20" s="18">
        <v>1500000</v>
      </c>
      <c r="V20" s="11">
        <f t="shared" si="0"/>
        <v>9000000</v>
      </c>
      <c r="W20" s="19" t="str">
        <f>W18</f>
        <v>Scott Healy</v>
      </c>
    </row>
    <row r="21" spans="1:23" x14ac:dyDescent="0.25">
      <c r="A21" s="17" t="s">
        <v>29</v>
      </c>
      <c r="C21" s="4">
        <v>0</v>
      </c>
      <c r="L21" s="18">
        <v>150000</v>
      </c>
      <c r="V21" s="11">
        <f t="shared" si="0"/>
        <v>150000</v>
      </c>
      <c r="W21" s="19" t="str">
        <f>W20</f>
        <v>Scott Healy</v>
      </c>
    </row>
    <row r="22" spans="1:23" x14ac:dyDescent="0.25">
      <c r="A22" s="17" t="s">
        <v>30</v>
      </c>
      <c r="C22" s="4">
        <v>0</v>
      </c>
      <c r="D22" s="18">
        <v>11111.111111111111</v>
      </c>
      <c r="E22" s="18">
        <v>11111.111111111111</v>
      </c>
      <c r="F22" s="18">
        <v>11111.111111111111</v>
      </c>
      <c r="G22" s="18">
        <v>11111.111111111111</v>
      </c>
      <c r="H22" s="18">
        <v>11111.111111111111</v>
      </c>
      <c r="I22" s="18">
        <v>11111.111111111111</v>
      </c>
      <c r="J22" s="18">
        <v>11111.111111111111</v>
      </c>
      <c r="K22" s="18">
        <v>11111.111111111111</v>
      </c>
      <c r="L22" s="18">
        <v>11111.111111111111</v>
      </c>
      <c r="M22" s="18">
        <v>11111.111111111111</v>
      </c>
      <c r="N22" s="18">
        <v>11111.111111111111</v>
      </c>
      <c r="O22" s="18">
        <v>11111.111111111111</v>
      </c>
      <c r="P22" s="18">
        <v>11111.111111111111</v>
      </c>
      <c r="Q22" s="18">
        <v>11111.111111111111</v>
      </c>
      <c r="R22" s="18">
        <v>11111.111111111111</v>
      </c>
      <c r="S22" s="18">
        <v>11111.111111111111</v>
      </c>
      <c r="T22" s="18">
        <v>11111.111111111111</v>
      </c>
      <c r="U22" s="18">
        <v>11111.111111111111</v>
      </c>
      <c r="V22" s="11">
        <f t="shared" si="0"/>
        <v>200000.00000000009</v>
      </c>
      <c r="W22" s="19" t="str">
        <f>W21</f>
        <v>Scott Healy</v>
      </c>
    </row>
    <row r="23" spans="1:23" x14ac:dyDescent="0.25">
      <c r="A23" s="17" t="s">
        <v>32</v>
      </c>
      <c r="C23" s="4">
        <v>0</v>
      </c>
      <c r="D23" s="18">
        <v>15000</v>
      </c>
      <c r="E23" s="18">
        <v>15000</v>
      </c>
      <c r="F23" s="18">
        <v>15000</v>
      </c>
      <c r="G23" s="18">
        <v>15000</v>
      </c>
      <c r="H23" s="18">
        <v>15000</v>
      </c>
      <c r="I23" s="18">
        <v>15000</v>
      </c>
      <c r="J23" s="18">
        <v>15000</v>
      </c>
      <c r="K23" s="18">
        <v>15000</v>
      </c>
      <c r="L23" s="18">
        <v>15000</v>
      </c>
      <c r="M23" s="18">
        <v>15000</v>
      </c>
      <c r="N23" s="18">
        <v>15000</v>
      </c>
      <c r="O23" s="18">
        <v>15000</v>
      </c>
      <c r="P23" s="18">
        <v>15000</v>
      </c>
      <c r="Q23" s="18">
        <v>15000</v>
      </c>
      <c r="R23" s="18">
        <v>15000</v>
      </c>
      <c r="S23" s="18">
        <v>15000</v>
      </c>
      <c r="T23" s="18">
        <v>15000</v>
      </c>
      <c r="U23" s="18">
        <v>45000</v>
      </c>
      <c r="V23" s="11">
        <f t="shared" si="0"/>
        <v>300000</v>
      </c>
      <c r="W23" s="19" t="str">
        <f>W22</f>
        <v>Scott Healy</v>
      </c>
    </row>
    <row r="24" spans="1:23" x14ac:dyDescent="0.25">
      <c r="A24" s="17" t="s">
        <v>33</v>
      </c>
      <c r="C24" s="4">
        <v>0</v>
      </c>
      <c r="I24" s="18">
        <v>12500</v>
      </c>
      <c r="J24" s="18">
        <v>5000</v>
      </c>
      <c r="K24" s="18">
        <v>5000</v>
      </c>
      <c r="L24" s="18">
        <v>5000</v>
      </c>
      <c r="M24" s="18">
        <v>5000</v>
      </c>
      <c r="N24" s="18">
        <v>5000</v>
      </c>
      <c r="O24" s="18">
        <v>162500</v>
      </c>
      <c r="P24" s="18">
        <v>5000</v>
      </c>
      <c r="Q24" s="18">
        <v>5000</v>
      </c>
      <c r="R24" s="18">
        <v>5000</v>
      </c>
      <c r="S24" s="18">
        <v>5000</v>
      </c>
      <c r="T24" s="18">
        <v>5000</v>
      </c>
      <c r="U24" s="18">
        <v>175000</v>
      </c>
      <c r="V24" s="11">
        <f t="shared" si="0"/>
        <v>400000</v>
      </c>
      <c r="W24" s="19" t="str">
        <f>W23</f>
        <v>Scott Healy</v>
      </c>
    </row>
    <row r="25" spans="1:23" x14ac:dyDescent="0.25">
      <c r="A25" s="17" t="s">
        <v>63</v>
      </c>
      <c r="C25" s="21">
        <f t="shared" ref="C25:U25" si="1">SUM(C9:C24)</f>
        <v>6800000</v>
      </c>
      <c r="D25" s="21">
        <f t="shared" si="1"/>
        <v>26111.111111111109</v>
      </c>
      <c r="E25" s="21">
        <f t="shared" si="1"/>
        <v>32910911.111111112</v>
      </c>
      <c r="F25" s="21">
        <f t="shared" si="1"/>
        <v>13876389.111111112</v>
      </c>
      <c r="G25" s="21">
        <f t="shared" si="1"/>
        <v>9389650.1111111119</v>
      </c>
      <c r="H25" s="21">
        <f t="shared" si="1"/>
        <v>6951250.111111111</v>
      </c>
      <c r="I25" s="21">
        <f t="shared" si="1"/>
        <v>12323750.111111112</v>
      </c>
      <c r="J25" s="21">
        <f t="shared" si="1"/>
        <v>9536250.1111111119</v>
      </c>
      <c r="K25" s="21">
        <f t="shared" si="1"/>
        <v>9168914.1111111119</v>
      </c>
      <c r="L25" s="21">
        <f t="shared" si="1"/>
        <v>9584976.1111111119</v>
      </c>
      <c r="M25" s="21">
        <f t="shared" si="1"/>
        <v>10791261.111111112</v>
      </c>
      <c r="N25" s="21">
        <f t="shared" si="1"/>
        <v>15050417.111111112</v>
      </c>
      <c r="O25" s="21">
        <f t="shared" si="1"/>
        <v>21349379.111111112</v>
      </c>
      <c r="P25" s="21">
        <f t="shared" si="1"/>
        <v>8102843.111111111</v>
      </c>
      <c r="Q25" s="21">
        <f t="shared" si="1"/>
        <v>6752843.111111111</v>
      </c>
      <c r="R25" s="21">
        <f t="shared" si="1"/>
        <v>10432843.111111112</v>
      </c>
      <c r="S25" s="21">
        <f t="shared" si="1"/>
        <v>7832843.111111111</v>
      </c>
      <c r="T25" s="21">
        <f t="shared" si="1"/>
        <v>6082843.111111111</v>
      </c>
      <c r="U25" s="21">
        <f t="shared" si="1"/>
        <v>12061705.111111112</v>
      </c>
      <c r="V25" s="22">
        <f t="shared" si="0"/>
        <v>209025179.99999991</v>
      </c>
    </row>
    <row r="26" spans="1:23" x14ac:dyDescent="0.25">
      <c r="A26" s="17" t="s">
        <v>67</v>
      </c>
      <c r="C26" s="21">
        <f>+C25</f>
        <v>6800000</v>
      </c>
      <c r="D26" s="21">
        <f t="shared" ref="D26:U26" si="2">+C26+D25</f>
        <v>6826111.111111111</v>
      </c>
      <c r="E26" s="21">
        <f t="shared" si="2"/>
        <v>39737022.222222224</v>
      </c>
      <c r="F26" s="21">
        <f t="shared" si="2"/>
        <v>53613411.333333336</v>
      </c>
      <c r="G26" s="21">
        <f t="shared" si="2"/>
        <v>63003061.444444448</v>
      </c>
      <c r="H26" s="21">
        <f t="shared" si="2"/>
        <v>69954311.555555552</v>
      </c>
      <c r="I26" s="21">
        <f t="shared" si="2"/>
        <v>82278061.666666657</v>
      </c>
      <c r="J26" s="21">
        <f t="shared" si="2"/>
        <v>91814311.777777761</v>
      </c>
      <c r="K26" s="21">
        <f t="shared" si="2"/>
        <v>100983225.88888887</v>
      </c>
      <c r="L26" s="21">
        <f t="shared" si="2"/>
        <v>110568201.99999997</v>
      </c>
      <c r="M26" s="21">
        <f t="shared" si="2"/>
        <v>121359463.11111107</v>
      </c>
      <c r="N26" s="21">
        <f t="shared" si="2"/>
        <v>136409880.22222218</v>
      </c>
      <c r="O26" s="21">
        <f t="shared" si="2"/>
        <v>157759259.33333328</v>
      </c>
      <c r="P26" s="21">
        <f t="shared" si="2"/>
        <v>165862102.44444439</v>
      </c>
      <c r="Q26" s="21">
        <f t="shared" si="2"/>
        <v>172614945.55555549</v>
      </c>
      <c r="R26" s="21">
        <f t="shared" si="2"/>
        <v>183047788.6666666</v>
      </c>
      <c r="S26" s="21">
        <f t="shared" si="2"/>
        <v>190880631.7777777</v>
      </c>
      <c r="T26" s="21">
        <f t="shared" si="2"/>
        <v>196963474.88888881</v>
      </c>
      <c r="U26" s="21">
        <f t="shared" si="2"/>
        <v>209025179.99999991</v>
      </c>
      <c r="V26" s="13"/>
    </row>
    <row r="27" spans="1:23" x14ac:dyDescent="0.25">
      <c r="A27" s="17" t="s">
        <v>64</v>
      </c>
      <c r="V27" s="16">
        <f>+V25/C39/1000</f>
        <v>348.37529999999987</v>
      </c>
      <c r="W27" s="20"/>
    </row>
    <row r="28" spans="1:23" x14ac:dyDescent="0.25">
      <c r="V28" s="11"/>
    </row>
    <row r="29" spans="1:23" x14ac:dyDescent="0.25">
      <c r="A29" s="17" t="s">
        <v>44</v>
      </c>
      <c r="C29" s="9">
        <v>187366</v>
      </c>
      <c r="D29" s="20">
        <v>42500</v>
      </c>
      <c r="E29" s="20">
        <f t="shared" ref="E29:U29" si="3">(+D26+D33)*$C38/12</f>
        <v>38219.876018518517</v>
      </c>
      <c r="F29" s="20">
        <f t="shared" si="3"/>
        <v>216694.33553213734</v>
      </c>
      <c r="G29" s="20">
        <f t="shared" si="3"/>
        <v>293031.87086812162</v>
      </c>
      <c r="H29" s="20">
        <f t="shared" si="3"/>
        <v>345479.73160384246</v>
      </c>
      <c r="I29" s="20">
        <f t="shared" si="3"/>
        <v>385003.68491854845</v>
      </c>
      <c r="J29" s="20">
        <f t="shared" si="3"/>
        <v>453842.76798037573</v>
      </c>
      <c r="K29" s="20">
        <f t="shared" si="3"/>
        <v>507955.7710754546</v>
      </c>
      <c r="L29" s="20">
        <f t="shared" si="3"/>
        <v>560372.14960396511</v>
      </c>
      <c r="M29" s="20">
        <f t="shared" si="3"/>
        <v>623451.11934950517</v>
      </c>
      <c r="N29" s="20">
        <f t="shared" si="3"/>
        <v>685280.81059783336</v>
      </c>
      <c r="O29" s="20">
        <f t="shared" si="3"/>
        <v>770515.84100709017</v>
      </c>
      <c r="P29" s="20">
        <f t="shared" si="3"/>
        <v>890331.93866439711</v>
      </c>
      <c r="Q29" s="20">
        <f t="shared" si="3"/>
        <v>939044.9701840143</v>
      </c>
      <c r="R29" s="20">
        <f t="shared" si="3"/>
        <v>980709.36395769625</v>
      </c>
      <c r="S29" s="20">
        <f t="shared" si="3"/>
        <v>1042532.7731976523</v>
      </c>
      <c r="T29" s="20">
        <f t="shared" si="3"/>
        <v>1090607.7259043248</v>
      </c>
      <c r="U29" s="20">
        <f t="shared" si="3"/>
        <v>1129463.9179381581</v>
      </c>
      <c r="V29" s="11">
        <f>SUM(C29:U29)</f>
        <v>11182404.648401637</v>
      </c>
      <c r="W29" s="19" t="str">
        <f>W40</f>
        <v>Rodney Malcolm</v>
      </c>
    </row>
    <row r="30" spans="1:23" x14ac:dyDescent="0.25">
      <c r="A30" s="17" t="s">
        <v>31</v>
      </c>
      <c r="C30" s="4">
        <v>0</v>
      </c>
      <c r="L30" s="18">
        <v>1500000</v>
      </c>
      <c r="V30" s="11">
        <f>SUM(C30:U30)</f>
        <v>1500000</v>
      </c>
      <c r="W30" s="19" t="s">
        <v>54</v>
      </c>
    </row>
    <row r="31" spans="1:23" x14ac:dyDescent="0.25">
      <c r="A31" s="17" t="s">
        <v>40</v>
      </c>
      <c r="C31" s="9">
        <v>0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>
        <f>+V12*0.05+V25*0.03</f>
        <v>7970755.3999999966</v>
      </c>
      <c r="V31" s="11">
        <f>SUM(C31:U31)</f>
        <v>7970755.3999999966</v>
      </c>
      <c r="W31" s="19" t="str">
        <f>W14</f>
        <v>Mike Miller</v>
      </c>
    </row>
    <row r="32" spans="1:23" x14ac:dyDescent="0.25">
      <c r="A32" s="17" t="s">
        <v>65</v>
      </c>
      <c r="C32" s="21">
        <f t="shared" ref="C32:U32" si="4">SUM(C29:C31)</f>
        <v>187366</v>
      </c>
      <c r="D32" s="21">
        <f t="shared" si="4"/>
        <v>42500</v>
      </c>
      <c r="E32" s="21">
        <f t="shared" si="4"/>
        <v>38219.876018518517</v>
      </c>
      <c r="F32" s="21">
        <f t="shared" si="4"/>
        <v>216694.33553213734</v>
      </c>
      <c r="G32" s="21">
        <f t="shared" si="4"/>
        <v>293031.87086812162</v>
      </c>
      <c r="H32" s="21">
        <f t="shared" si="4"/>
        <v>345479.73160384246</v>
      </c>
      <c r="I32" s="21">
        <f t="shared" si="4"/>
        <v>385003.68491854845</v>
      </c>
      <c r="J32" s="21">
        <f t="shared" si="4"/>
        <v>453842.76798037573</v>
      </c>
      <c r="K32" s="21">
        <f t="shared" si="4"/>
        <v>507955.7710754546</v>
      </c>
      <c r="L32" s="21">
        <f t="shared" si="4"/>
        <v>2060372.1496039652</v>
      </c>
      <c r="M32" s="21">
        <f t="shared" si="4"/>
        <v>623451.11934950517</v>
      </c>
      <c r="N32" s="21">
        <f t="shared" si="4"/>
        <v>685280.81059783336</v>
      </c>
      <c r="O32" s="21">
        <f t="shared" si="4"/>
        <v>770515.84100709017</v>
      </c>
      <c r="P32" s="21">
        <f t="shared" si="4"/>
        <v>890331.93866439711</v>
      </c>
      <c r="Q32" s="21">
        <f t="shared" si="4"/>
        <v>939044.9701840143</v>
      </c>
      <c r="R32" s="21">
        <f t="shared" si="4"/>
        <v>980709.36395769625</v>
      </c>
      <c r="S32" s="21">
        <f t="shared" si="4"/>
        <v>1042532.7731976523</v>
      </c>
      <c r="T32" s="21">
        <f t="shared" si="4"/>
        <v>1090607.7259043248</v>
      </c>
      <c r="U32" s="21">
        <f t="shared" si="4"/>
        <v>9100219.3179381546</v>
      </c>
      <c r="V32" s="22">
        <f>SUM(C32:U32)</f>
        <v>20653160.048401631</v>
      </c>
      <c r="W32" s="20"/>
    </row>
    <row r="33" spans="1:23" x14ac:dyDescent="0.25">
      <c r="A33" s="17" t="s">
        <v>68</v>
      </c>
      <c r="C33" s="21">
        <f>+C32</f>
        <v>187366</v>
      </c>
      <c r="D33" s="21">
        <f t="shared" ref="D33:U33" si="5">+D32+C33</f>
        <v>229866</v>
      </c>
      <c r="E33" s="21">
        <f t="shared" si="5"/>
        <v>268085.87601851852</v>
      </c>
      <c r="F33" s="21">
        <f t="shared" si="5"/>
        <v>484780.21155065589</v>
      </c>
      <c r="G33" s="21">
        <f t="shared" si="5"/>
        <v>777812.08241877751</v>
      </c>
      <c r="H33" s="21">
        <f t="shared" si="5"/>
        <v>1123291.81402262</v>
      </c>
      <c r="I33" s="21">
        <f t="shared" si="5"/>
        <v>1508295.4989411684</v>
      </c>
      <c r="J33" s="21">
        <f t="shared" si="5"/>
        <v>1962138.2669215442</v>
      </c>
      <c r="K33" s="21">
        <f t="shared" si="5"/>
        <v>2470094.037996999</v>
      </c>
      <c r="L33" s="21">
        <f t="shared" si="5"/>
        <v>4530466.1876009647</v>
      </c>
      <c r="M33" s="21">
        <f t="shared" si="5"/>
        <v>5153917.3069504695</v>
      </c>
      <c r="N33" s="21">
        <f t="shared" si="5"/>
        <v>5839198.1175483027</v>
      </c>
      <c r="O33" s="21">
        <f t="shared" si="5"/>
        <v>6609713.9585553929</v>
      </c>
      <c r="P33" s="21">
        <f t="shared" si="5"/>
        <v>7500045.8972197901</v>
      </c>
      <c r="Q33" s="21">
        <f t="shared" si="5"/>
        <v>8439090.8674038053</v>
      </c>
      <c r="R33" s="21">
        <f t="shared" si="5"/>
        <v>9419800.2313615009</v>
      </c>
      <c r="S33" s="21">
        <f t="shared" si="5"/>
        <v>10462333.004559154</v>
      </c>
      <c r="T33" s="21">
        <f t="shared" si="5"/>
        <v>11552940.730463479</v>
      </c>
      <c r="U33" s="21">
        <f t="shared" si="5"/>
        <v>20653160.048401631</v>
      </c>
      <c r="V33" s="11"/>
      <c r="W33" s="20"/>
    </row>
    <row r="34" spans="1:23" x14ac:dyDescent="0.25">
      <c r="A34" s="17"/>
      <c r="C34" s="9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11"/>
      <c r="W34" s="20"/>
    </row>
    <row r="35" spans="1:23" s="4" customFormat="1" x14ac:dyDescent="0.25">
      <c r="A35" s="4" t="s">
        <v>46</v>
      </c>
      <c r="C35" s="4">
        <f t="shared" ref="C35:U35" si="6">+C25+C32</f>
        <v>6987366</v>
      </c>
      <c r="D35" s="4">
        <f t="shared" si="6"/>
        <v>68611.111111111109</v>
      </c>
      <c r="E35" s="4">
        <f t="shared" si="6"/>
        <v>32949130.987129629</v>
      </c>
      <c r="F35" s="4">
        <f t="shared" si="6"/>
        <v>14093083.44664325</v>
      </c>
      <c r="G35" s="4">
        <f t="shared" si="6"/>
        <v>9682681.9819792341</v>
      </c>
      <c r="H35" s="4">
        <f t="shared" si="6"/>
        <v>7296729.8427149532</v>
      </c>
      <c r="I35" s="4">
        <f t="shared" si="6"/>
        <v>12708753.796029661</v>
      </c>
      <c r="J35" s="4">
        <f t="shared" si="6"/>
        <v>9990092.8790914882</v>
      </c>
      <c r="K35" s="4">
        <f t="shared" si="6"/>
        <v>9676869.8821865674</v>
      </c>
      <c r="L35" s="4">
        <f t="shared" si="6"/>
        <v>11645348.260715077</v>
      </c>
      <c r="M35" s="4">
        <f t="shared" si="6"/>
        <v>11414712.230460618</v>
      </c>
      <c r="N35" s="4">
        <f t="shared" si="6"/>
        <v>15735697.921708945</v>
      </c>
      <c r="O35" s="4">
        <f t="shared" si="6"/>
        <v>22119894.952118203</v>
      </c>
      <c r="P35" s="4">
        <f t="shared" si="6"/>
        <v>8993175.0497755073</v>
      </c>
      <c r="Q35" s="4">
        <f t="shared" si="6"/>
        <v>7691888.0812951252</v>
      </c>
      <c r="R35" s="4">
        <f t="shared" si="6"/>
        <v>11413552.475068808</v>
      </c>
      <c r="S35" s="4">
        <f t="shared" si="6"/>
        <v>8875375.8843087628</v>
      </c>
      <c r="T35" s="4">
        <f t="shared" si="6"/>
        <v>7173450.837015436</v>
      </c>
      <c r="U35" s="4">
        <f t="shared" si="6"/>
        <v>21161924.429049268</v>
      </c>
      <c r="V35" s="11">
        <f>SUM(C35:U35)</f>
        <v>229678340.04840165</v>
      </c>
    </row>
    <row r="36" spans="1:23" s="4" customFormat="1" x14ac:dyDescent="0.25">
      <c r="A36" s="4" t="s">
        <v>45</v>
      </c>
      <c r="C36" s="4">
        <f>C35</f>
        <v>6987366</v>
      </c>
      <c r="D36" s="4">
        <f t="shared" ref="D36:U36" si="7">C36+D35</f>
        <v>7055977.111111111</v>
      </c>
      <c r="E36" s="4">
        <f t="shared" si="7"/>
        <v>40005108.098240741</v>
      </c>
      <c r="F36" s="4">
        <f t="shared" si="7"/>
        <v>54098191.544883989</v>
      </c>
      <c r="G36" s="4">
        <f t="shared" si="7"/>
        <v>63780873.526863225</v>
      </c>
      <c r="H36" s="4">
        <f t="shared" si="7"/>
        <v>71077603.369578183</v>
      </c>
      <c r="I36" s="4">
        <f t="shared" si="7"/>
        <v>83786357.16560784</v>
      </c>
      <c r="J36" s="4">
        <f t="shared" si="7"/>
        <v>93776450.044699326</v>
      </c>
      <c r="K36" s="4">
        <f t="shared" si="7"/>
        <v>103453319.92688589</v>
      </c>
      <c r="L36" s="4">
        <f t="shared" si="7"/>
        <v>115098668.18760097</v>
      </c>
      <c r="M36" s="4">
        <f t="shared" si="7"/>
        <v>126513380.41806158</v>
      </c>
      <c r="N36" s="4">
        <f t="shared" si="7"/>
        <v>142249078.33977053</v>
      </c>
      <c r="O36" s="4">
        <f t="shared" si="7"/>
        <v>164368973.29188871</v>
      </c>
      <c r="P36" s="4">
        <f t="shared" si="7"/>
        <v>173362148.34166422</v>
      </c>
      <c r="Q36" s="4">
        <f t="shared" si="7"/>
        <v>181054036.42295936</v>
      </c>
      <c r="R36" s="4">
        <f t="shared" si="7"/>
        <v>192467588.89802817</v>
      </c>
      <c r="S36" s="4">
        <f t="shared" si="7"/>
        <v>201342964.78233692</v>
      </c>
      <c r="T36" s="4">
        <f t="shared" si="7"/>
        <v>208516415.61935237</v>
      </c>
      <c r="U36" s="4">
        <f t="shared" si="7"/>
        <v>229678340.04840165</v>
      </c>
      <c r="V36" s="11"/>
    </row>
    <row r="37" spans="1:23" s="4" customFormat="1" x14ac:dyDescent="0.25">
      <c r="A37" s="17" t="s">
        <v>64</v>
      </c>
      <c r="V37" s="16">
        <f>+V35/C39/1000</f>
        <v>382.79723341400273</v>
      </c>
    </row>
    <row r="38" spans="1:23" s="4" customFormat="1" x14ac:dyDescent="0.25">
      <c r="A38" s="8" t="s">
        <v>72</v>
      </c>
      <c r="C38" s="12">
        <v>6.5000000000000002E-2</v>
      </c>
      <c r="V38" s="11"/>
    </row>
    <row r="39" spans="1:23" s="4" customFormat="1" x14ac:dyDescent="0.25">
      <c r="A39" s="8"/>
      <c r="C39" s="4">
        <v>600</v>
      </c>
      <c r="D39" s="4" t="s">
        <v>66</v>
      </c>
      <c r="V39" s="11"/>
    </row>
    <row r="40" spans="1:23" x14ac:dyDescent="0.25">
      <c r="A40" s="17" t="s">
        <v>39</v>
      </c>
      <c r="C40" s="4">
        <v>0</v>
      </c>
      <c r="U40" s="18">
        <v>7340000</v>
      </c>
      <c r="V40" s="23">
        <f>SUM(C40:U40)</f>
        <v>7340000</v>
      </c>
      <c r="W40" s="19" t="str">
        <f>W30</f>
        <v>Rodney Malcolm</v>
      </c>
    </row>
    <row r="41" spans="1:23" s="4" customFormat="1" x14ac:dyDescent="0.25">
      <c r="A41" s="8"/>
      <c r="C41" s="12"/>
      <c r="V41" s="11"/>
    </row>
    <row r="42" spans="1:23" x14ac:dyDescent="0.25">
      <c r="A42" s="17" t="s">
        <v>69</v>
      </c>
      <c r="C42" s="4">
        <f t="shared" ref="C42:U42" si="8">+C35-C29</f>
        <v>6800000</v>
      </c>
      <c r="D42" s="4">
        <f t="shared" si="8"/>
        <v>26111.111111111109</v>
      </c>
      <c r="E42" s="4">
        <f t="shared" si="8"/>
        <v>32910911.111111112</v>
      </c>
      <c r="F42" s="4">
        <f t="shared" si="8"/>
        <v>13876389.111111112</v>
      </c>
      <c r="G42" s="4">
        <f t="shared" si="8"/>
        <v>9389650.1111111119</v>
      </c>
      <c r="H42" s="4">
        <f t="shared" si="8"/>
        <v>6951250.111111111</v>
      </c>
      <c r="I42" s="4">
        <f t="shared" si="8"/>
        <v>12323750.111111112</v>
      </c>
      <c r="J42" s="4">
        <f t="shared" si="8"/>
        <v>9536250.1111111119</v>
      </c>
      <c r="K42" s="4">
        <f t="shared" si="8"/>
        <v>9168914.1111111119</v>
      </c>
      <c r="L42" s="4">
        <f t="shared" si="8"/>
        <v>11084976.111111112</v>
      </c>
      <c r="M42" s="4">
        <f t="shared" si="8"/>
        <v>10791261.111111112</v>
      </c>
      <c r="N42" s="4">
        <f t="shared" si="8"/>
        <v>15050417.111111112</v>
      </c>
      <c r="O42" s="4">
        <f t="shared" si="8"/>
        <v>21349379.111111112</v>
      </c>
      <c r="P42" s="4">
        <f t="shared" si="8"/>
        <v>8102843.1111111101</v>
      </c>
      <c r="Q42" s="4">
        <f t="shared" si="8"/>
        <v>6752843.111111111</v>
      </c>
      <c r="R42" s="4">
        <f t="shared" si="8"/>
        <v>10432843.111111112</v>
      </c>
      <c r="S42" s="4">
        <f t="shared" si="8"/>
        <v>7832843.1111111101</v>
      </c>
      <c r="T42" s="4">
        <f t="shared" si="8"/>
        <v>6082843.111111111</v>
      </c>
      <c r="U42" s="4">
        <f t="shared" si="8"/>
        <v>20032460.51111111</v>
      </c>
      <c r="V42" s="11">
        <f>SUM(C42:U42)</f>
        <v>218495935.39999992</v>
      </c>
    </row>
    <row r="43" spans="1:23" x14ac:dyDescent="0.25"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1"/>
    </row>
    <row r="44" spans="1:23" x14ac:dyDescent="0.25">
      <c r="A44" s="5" t="s">
        <v>34</v>
      </c>
      <c r="V44" s="11"/>
    </row>
    <row r="45" spans="1:23" x14ac:dyDescent="0.25">
      <c r="A45" s="5" t="s">
        <v>61</v>
      </c>
      <c r="V45" s="11"/>
    </row>
    <row r="46" spans="1:23" x14ac:dyDescent="0.25">
      <c r="A46" s="17" t="s">
        <v>35</v>
      </c>
      <c r="C46" s="4">
        <v>11990800</v>
      </c>
      <c r="D46" s="18">
        <v>29977000</v>
      </c>
      <c r="E46" s="18">
        <v>2997700</v>
      </c>
      <c r="F46" s="18">
        <v>2997700</v>
      </c>
      <c r="G46" s="18">
        <v>2997700</v>
      </c>
      <c r="H46" s="18">
        <v>2997700</v>
      </c>
      <c r="Q46" s="18">
        <v>2997700</v>
      </c>
      <c r="U46" s="18">
        <v>4531100</v>
      </c>
      <c r="V46" s="11">
        <f t="shared" ref="V46:V64" si="9">SUM(C46:U46)</f>
        <v>61487400</v>
      </c>
      <c r="W46" s="15" t="s">
        <v>50</v>
      </c>
    </row>
    <row r="47" spans="1:23" x14ac:dyDescent="0.25">
      <c r="A47" s="17" t="s">
        <v>36</v>
      </c>
      <c r="C47" s="4">
        <v>17151750</v>
      </c>
      <c r="D47" s="17">
        <v>0</v>
      </c>
      <c r="E47" s="18">
        <v>12474000</v>
      </c>
      <c r="U47" s="18">
        <v>1559250</v>
      </c>
      <c r="V47" s="11">
        <f t="shared" si="9"/>
        <v>31185000</v>
      </c>
      <c r="W47" s="15" t="s">
        <v>50</v>
      </c>
    </row>
    <row r="48" spans="1:23" x14ac:dyDescent="0.25">
      <c r="A48" s="17" t="s">
        <v>19</v>
      </c>
      <c r="C48" s="4">
        <v>0</v>
      </c>
      <c r="G48" s="18">
        <v>440000</v>
      </c>
      <c r="I48" s="18">
        <v>3520000</v>
      </c>
      <c r="J48" s="18">
        <v>1760000</v>
      </c>
      <c r="K48" s="18">
        <v>440000</v>
      </c>
      <c r="L48" s="18">
        <v>440000</v>
      </c>
      <c r="M48" s="18">
        <v>440000</v>
      </c>
      <c r="N48" s="18">
        <v>440000</v>
      </c>
      <c r="O48" s="18">
        <v>440000</v>
      </c>
      <c r="P48" s="18">
        <v>440000</v>
      </c>
      <c r="Q48" s="18">
        <v>440000</v>
      </c>
      <c r="V48" s="11">
        <f t="shared" si="9"/>
        <v>8800000</v>
      </c>
      <c r="W48" s="15" t="s">
        <v>50</v>
      </c>
    </row>
    <row r="49" spans="1:23" x14ac:dyDescent="0.25">
      <c r="A49" s="17" t="s">
        <v>21</v>
      </c>
      <c r="C49" s="4">
        <v>0</v>
      </c>
      <c r="K49" s="18">
        <v>600000</v>
      </c>
      <c r="L49" s="18">
        <v>1000000</v>
      </c>
      <c r="M49" s="18">
        <v>1000000</v>
      </c>
      <c r="N49" s="18">
        <v>1000000</v>
      </c>
      <c r="O49" s="18">
        <v>1500000</v>
      </c>
      <c r="P49" s="18">
        <f>1986667+880000+1340000</f>
        <v>4206667</v>
      </c>
      <c r="Q49" s="18">
        <f>2986666.66666667+880000</f>
        <v>3866666.6666666698</v>
      </c>
      <c r="R49" s="18">
        <f>2986666.66666667+880000</f>
        <v>3866666.6666666698</v>
      </c>
      <c r="S49" s="18">
        <v>2986666.6666666665</v>
      </c>
      <c r="T49" s="18">
        <v>2986666.6666666665</v>
      </c>
      <c r="U49" s="18">
        <v>2986666.6666666665</v>
      </c>
      <c r="V49" s="11">
        <f t="shared" si="9"/>
        <v>26000000.333333343</v>
      </c>
      <c r="W49" s="15" t="s">
        <v>50</v>
      </c>
    </row>
    <row r="50" spans="1:23" x14ac:dyDescent="0.25">
      <c r="A50" s="17" t="s">
        <v>42</v>
      </c>
      <c r="C50" s="4">
        <v>0</v>
      </c>
      <c r="P50" s="18">
        <v>150000</v>
      </c>
      <c r="Q50" s="18">
        <v>150000</v>
      </c>
      <c r="R50" s="18">
        <v>150000</v>
      </c>
      <c r="S50" s="18">
        <v>150000</v>
      </c>
      <c r="T50" s="18">
        <v>150000</v>
      </c>
      <c r="V50" s="11">
        <f t="shared" si="9"/>
        <v>750000</v>
      </c>
      <c r="W50" s="15" t="s">
        <v>51</v>
      </c>
    </row>
    <row r="51" spans="1:23" x14ac:dyDescent="0.25">
      <c r="A51" s="17" t="s">
        <v>22</v>
      </c>
      <c r="C51" s="4">
        <v>0</v>
      </c>
      <c r="S51" s="18">
        <v>500000</v>
      </c>
      <c r="T51" s="18">
        <v>500000</v>
      </c>
      <c r="V51" s="11">
        <f t="shared" si="9"/>
        <v>1000000</v>
      </c>
      <c r="W51" s="15" t="s">
        <v>50</v>
      </c>
    </row>
    <row r="52" spans="1:23" x14ac:dyDescent="0.25">
      <c r="A52" s="17" t="s">
        <v>23</v>
      </c>
      <c r="C52" s="4">
        <v>0</v>
      </c>
      <c r="E52" s="17"/>
      <c r="F52" s="17"/>
      <c r="I52" s="17"/>
      <c r="J52" s="17"/>
      <c r="K52" s="17">
        <v>250000</v>
      </c>
      <c r="V52" s="11">
        <f t="shared" si="9"/>
        <v>250000</v>
      </c>
      <c r="W52" s="15" t="s">
        <v>55</v>
      </c>
    </row>
    <row r="53" spans="1:23" x14ac:dyDescent="0.25">
      <c r="A53" s="17" t="s">
        <v>24</v>
      </c>
      <c r="C53" s="4">
        <v>0</v>
      </c>
      <c r="F53" s="18">
        <v>100000</v>
      </c>
      <c r="G53" s="18">
        <v>100000</v>
      </c>
      <c r="H53" s="18">
        <v>150000</v>
      </c>
      <c r="I53" s="17">
        <v>150000</v>
      </c>
      <c r="J53" s="17"/>
      <c r="K53" s="17"/>
      <c r="L53" s="17"/>
      <c r="V53" s="11">
        <f t="shared" si="9"/>
        <v>500000</v>
      </c>
      <c r="W53" s="15" t="str">
        <f>W52</f>
        <v>Ben Jacoby</v>
      </c>
    </row>
    <row r="54" spans="1:23" x14ac:dyDescent="0.25">
      <c r="A54" s="17" t="s">
        <v>41</v>
      </c>
      <c r="C54" s="4">
        <v>0</v>
      </c>
      <c r="H54" s="18">
        <v>200000</v>
      </c>
      <c r="I54" s="17">
        <v>200000</v>
      </c>
      <c r="J54" s="17"/>
      <c r="K54" s="17"/>
      <c r="L54" s="17"/>
      <c r="V54" s="11">
        <f t="shared" si="9"/>
        <v>400000</v>
      </c>
      <c r="W54" s="15" t="str">
        <f>W53</f>
        <v>Ben Jacoby</v>
      </c>
    </row>
    <row r="55" spans="1:23" x14ac:dyDescent="0.25">
      <c r="A55" s="17" t="s">
        <v>25</v>
      </c>
      <c r="C55" s="4">
        <v>0</v>
      </c>
      <c r="O55" s="18">
        <v>375000</v>
      </c>
      <c r="P55" s="18">
        <v>125000</v>
      </c>
      <c r="Q55" s="18">
        <v>125000</v>
      </c>
      <c r="R55" s="18">
        <v>125000</v>
      </c>
      <c r="S55" s="18">
        <v>250000</v>
      </c>
      <c r="V55" s="11">
        <f t="shared" si="9"/>
        <v>1000000</v>
      </c>
      <c r="W55" s="15" t="s">
        <v>53</v>
      </c>
    </row>
    <row r="56" spans="1:23" x14ac:dyDescent="0.25">
      <c r="A56" s="17" t="s">
        <v>26</v>
      </c>
      <c r="C56" s="4">
        <v>0</v>
      </c>
      <c r="O56" s="18">
        <v>200000</v>
      </c>
      <c r="P56" s="18">
        <v>600000</v>
      </c>
      <c r="Q56" s="18">
        <v>600000</v>
      </c>
      <c r="R56" s="18">
        <v>600000</v>
      </c>
      <c r="V56" s="11">
        <f t="shared" si="9"/>
        <v>2000000</v>
      </c>
      <c r="W56" s="15" t="str">
        <f>W52</f>
        <v>Ben Jacoby</v>
      </c>
    </row>
    <row r="57" spans="1:23" x14ac:dyDescent="0.25">
      <c r="A57" s="17" t="s">
        <v>27</v>
      </c>
      <c r="S57" s="18">
        <v>500000</v>
      </c>
      <c r="T57" s="18">
        <v>500000</v>
      </c>
      <c r="V57" s="11">
        <f t="shared" si="9"/>
        <v>1000000</v>
      </c>
      <c r="W57" s="15" t="str">
        <f>W50</f>
        <v>Kevin Presto</v>
      </c>
    </row>
    <row r="58" spans="1:23" x14ac:dyDescent="0.25">
      <c r="A58" s="17" t="s">
        <v>47</v>
      </c>
      <c r="U58" s="18">
        <v>256000</v>
      </c>
      <c r="V58" s="11">
        <f t="shared" si="9"/>
        <v>256000</v>
      </c>
      <c r="W58" s="15" t="s">
        <v>56</v>
      </c>
    </row>
    <row r="59" spans="1:23" x14ac:dyDescent="0.25">
      <c r="A59" s="17" t="s">
        <v>28</v>
      </c>
      <c r="C59" s="4">
        <v>0</v>
      </c>
      <c r="O59" s="18">
        <v>20000</v>
      </c>
      <c r="R59" s="18">
        <v>30000</v>
      </c>
      <c r="V59" s="11">
        <f t="shared" si="9"/>
        <v>50000</v>
      </c>
      <c r="W59" s="15" t="str">
        <f>W56</f>
        <v>Ben Jacoby</v>
      </c>
    </row>
    <row r="60" spans="1:23" x14ac:dyDescent="0.25">
      <c r="A60" s="17" t="s">
        <v>29</v>
      </c>
      <c r="C60" s="4">
        <v>0</v>
      </c>
      <c r="L60" s="18">
        <v>200000</v>
      </c>
      <c r="V60" s="11">
        <f t="shared" si="9"/>
        <v>200000</v>
      </c>
      <c r="W60" s="15" t="str">
        <f>W59</f>
        <v>Ben Jacoby</v>
      </c>
    </row>
    <row r="61" spans="1:23" x14ac:dyDescent="0.25">
      <c r="A61" s="17" t="s">
        <v>30</v>
      </c>
      <c r="C61" s="4">
        <v>0</v>
      </c>
      <c r="D61" s="18">
        <v>11111.111111111111</v>
      </c>
      <c r="E61" s="18">
        <v>11111.111111111111</v>
      </c>
      <c r="F61" s="18">
        <v>11111.111111111111</v>
      </c>
      <c r="G61" s="18">
        <v>11111.111111111111</v>
      </c>
      <c r="H61" s="18">
        <v>11111.111111111111</v>
      </c>
      <c r="I61" s="18">
        <v>11111.111111111111</v>
      </c>
      <c r="J61" s="18">
        <v>11111.111111111111</v>
      </c>
      <c r="K61" s="18">
        <v>11111.111111111111</v>
      </c>
      <c r="L61" s="18">
        <v>11111.111111111111</v>
      </c>
      <c r="M61" s="18">
        <v>11111.111111111111</v>
      </c>
      <c r="N61" s="18">
        <v>11111.111111111111</v>
      </c>
      <c r="O61" s="18">
        <v>11111.111111111111</v>
      </c>
      <c r="P61" s="18">
        <v>11111.111111111111</v>
      </c>
      <c r="Q61" s="18">
        <v>11111.111111111111</v>
      </c>
      <c r="R61" s="18">
        <v>11111.111111111111</v>
      </c>
      <c r="S61" s="18">
        <v>11111.111111111111</v>
      </c>
      <c r="T61" s="18">
        <v>11111.111111111111</v>
      </c>
      <c r="U61" s="18">
        <v>11111.111111111111</v>
      </c>
      <c r="V61" s="11">
        <f t="shared" si="9"/>
        <v>200000.00000000009</v>
      </c>
      <c r="W61" s="15" t="str">
        <f>W60</f>
        <v>Ben Jacoby</v>
      </c>
    </row>
    <row r="62" spans="1:23" x14ac:dyDescent="0.25">
      <c r="A62" s="17" t="s">
        <v>32</v>
      </c>
      <c r="C62" s="4">
        <v>0</v>
      </c>
      <c r="E62" s="18">
        <v>28571.428571428572</v>
      </c>
      <c r="F62" s="18">
        <v>28571.428571428572</v>
      </c>
      <c r="G62" s="18">
        <v>28571.428571428572</v>
      </c>
      <c r="H62" s="18">
        <v>28571.428571428572</v>
      </c>
      <c r="I62" s="18">
        <v>28571.428571428572</v>
      </c>
      <c r="J62" s="18">
        <v>28571.428571428572</v>
      </c>
      <c r="K62" s="18">
        <v>28571.428571428572</v>
      </c>
      <c r="L62" s="18">
        <v>28571.428571428572</v>
      </c>
      <c r="M62" s="18">
        <v>28571.428571428572</v>
      </c>
      <c r="N62" s="18">
        <v>28571.428571428572</v>
      </c>
      <c r="O62" s="18">
        <v>28571.428571428572</v>
      </c>
      <c r="P62" s="18">
        <v>28571.428571428572</v>
      </c>
      <c r="Q62" s="18">
        <v>28571.428571428572</v>
      </c>
      <c r="R62" s="18">
        <v>28571.428571428572</v>
      </c>
      <c r="V62" s="11">
        <f t="shared" si="9"/>
        <v>400000.00000000006</v>
      </c>
      <c r="W62" s="15" t="str">
        <f>W60</f>
        <v>Ben Jacoby</v>
      </c>
    </row>
    <row r="63" spans="1:23" x14ac:dyDescent="0.25">
      <c r="A63" s="17" t="s">
        <v>33</v>
      </c>
      <c r="C63" s="4">
        <v>0</v>
      </c>
      <c r="I63" s="18">
        <v>25000</v>
      </c>
      <c r="J63" s="18">
        <v>10000</v>
      </c>
      <c r="K63" s="18">
        <v>10000</v>
      </c>
      <c r="L63" s="18">
        <v>10000</v>
      </c>
      <c r="M63" s="18">
        <v>10000</v>
      </c>
      <c r="N63" s="18">
        <v>10000</v>
      </c>
      <c r="O63" s="18">
        <v>325000</v>
      </c>
      <c r="P63" s="18">
        <v>10000</v>
      </c>
      <c r="Q63" s="18">
        <v>10000</v>
      </c>
      <c r="R63" s="18">
        <v>10000</v>
      </c>
      <c r="S63" s="18">
        <v>10000</v>
      </c>
      <c r="T63" s="18">
        <v>10000</v>
      </c>
      <c r="U63" s="18">
        <v>50000</v>
      </c>
      <c r="V63" s="11">
        <f t="shared" si="9"/>
        <v>500000</v>
      </c>
      <c r="W63" s="15" t="str">
        <f>W62</f>
        <v>Ben Jacoby</v>
      </c>
    </row>
    <row r="64" spans="1:23" x14ac:dyDescent="0.25">
      <c r="A64" s="17" t="s">
        <v>63</v>
      </c>
      <c r="C64" s="21">
        <f t="shared" ref="C64:U64" si="10">SUM(C46:C63)</f>
        <v>29142550</v>
      </c>
      <c r="D64" s="21">
        <f t="shared" si="10"/>
        <v>29988111.111111112</v>
      </c>
      <c r="E64" s="21">
        <f t="shared" si="10"/>
        <v>15511382.539682541</v>
      </c>
      <c r="F64" s="21">
        <f t="shared" si="10"/>
        <v>3137382.5396825396</v>
      </c>
      <c r="G64" s="21">
        <f t="shared" si="10"/>
        <v>3577382.5396825396</v>
      </c>
      <c r="H64" s="21">
        <f t="shared" si="10"/>
        <v>3387382.5396825396</v>
      </c>
      <c r="I64" s="21">
        <f t="shared" si="10"/>
        <v>3934682.5396825396</v>
      </c>
      <c r="J64" s="21">
        <f t="shared" si="10"/>
        <v>1809682.5396825396</v>
      </c>
      <c r="K64" s="21">
        <f t="shared" si="10"/>
        <v>1339682.5396825396</v>
      </c>
      <c r="L64" s="21">
        <f t="shared" si="10"/>
        <v>1689682.5396825396</v>
      </c>
      <c r="M64" s="21">
        <f t="shared" si="10"/>
        <v>1489682.5396825396</v>
      </c>
      <c r="N64" s="21">
        <f t="shared" si="10"/>
        <v>1489682.5396825396</v>
      </c>
      <c r="O64" s="21">
        <f t="shared" si="10"/>
        <v>2899682.5396825396</v>
      </c>
      <c r="P64" s="21">
        <f t="shared" si="10"/>
        <v>5571349.5396825392</v>
      </c>
      <c r="Q64" s="21">
        <f t="shared" si="10"/>
        <v>8229049.206349209</v>
      </c>
      <c r="R64" s="21">
        <f t="shared" si="10"/>
        <v>4821349.206349209</v>
      </c>
      <c r="S64" s="21">
        <f t="shared" si="10"/>
        <v>4407777.7777777771</v>
      </c>
      <c r="T64" s="21">
        <f t="shared" si="10"/>
        <v>4157777.7777777775</v>
      </c>
      <c r="U64" s="21">
        <f t="shared" si="10"/>
        <v>9394127.777777778</v>
      </c>
      <c r="V64" s="22">
        <f t="shared" si="9"/>
        <v>135978400.33333331</v>
      </c>
    </row>
    <row r="65" spans="1:23" x14ac:dyDescent="0.25">
      <c r="A65" s="17" t="s">
        <v>67</v>
      </c>
      <c r="C65" s="21">
        <f>+C64</f>
        <v>29142550</v>
      </c>
      <c r="D65" s="21">
        <f t="shared" ref="D65:U65" si="11">+C65+D64</f>
        <v>59130661.111111112</v>
      </c>
      <c r="E65" s="21">
        <f t="shared" si="11"/>
        <v>74642043.650793657</v>
      </c>
      <c r="F65" s="21">
        <f t="shared" si="11"/>
        <v>77779426.190476194</v>
      </c>
      <c r="G65" s="21">
        <f t="shared" si="11"/>
        <v>81356808.730158731</v>
      </c>
      <c r="H65" s="21">
        <f t="shared" si="11"/>
        <v>84744191.269841269</v>
      </c>
      <c r="I65" s="21">
        <f t="shared" si="11"/>
        <v>88678873.809523806</v>
      </c>
      <c r="J65" s="21">
        <f t="shared" si="11"/>
        <v>90488556.349206343</v>
      </c>
      <c r="K65" s="21">
        <f t="shared" si="11"/>
        <v>91828238.888888881</v>
      </c>
      <c r="L65" s="21">
        <f t="shared" si="11"/>
        <v>93517921.428571418</v>
      </c>
      <c r="M65" s="21">
        <f t="shared" si="11"/>
        <v>95007603.968253955</v>
      </c>
      <c r="N65" s="21">
        <f t="shared" si="11"/>
        <v>96497286.507936493</v>
      </c>
      <c r="O65" s="21">
        <f t="shared" si="11"/>
        <v>99396969.04761903</v>
      </c>
      <c r="P65" s="21">
        <f t="shared" si="11"/>
        <v>104968318.58730157</v>
      </c>
      <c r="Q65" s="21">
        <f t="shared" si="11"/>
        <v>113197367.79365078</v>
      </c>
      <c r="R65" s="21">
        <f t="shared" si="11"/>
        <v>118018716.99999999</v>
      </c>
      <c r="S65" s="21">
        <f t="shared" si="11"/>
        <v>122426494.77777776</v>
      </c>
      <c r="T65" s="21">
        <f t="shared" si="11"/>
        <v>126584272.55555554</v>
      </c>
      <c r="U65" s="21">
        <f t="shared" si="11"/>
        <v>135978400.33333331</v>
      </c>
      <c r="V65" s="11"/>
    </row>
    <row r="66" spans="1:23" x14ac:dyDescent="0.25">
      <c r="A66" s="17" t="s">
        <v>64</v>
      </c>
      <c r="V66" s="16">
        <f>+V64/C78/1000</f>
        <v>283.28833402777769</v>
      </c>
      <c r="W66" s="20"/>
    </row>
    <row r="67" spans="1:23" x14ac:dyDescent="0.25">
      <c r="V67" s="11"/>
    </row>
    <row r="68" spans="1:23" x14ac:dyDescent="0.25">
      <c r="A68" s="17" t="s">
        <v>44</v>
      </c>
      <c r="C68" s="9">
        <v>184443</v>
      </c>
      <c r="D68" s="20">
        <v>182141</v>
      </c>
      <c r="E68" s="20">
        <f t="shared" ref="E68:U68" si="12">(+D65+D72)*$C77/12</f>
        <v>322276.74435185187</v>
      </c>
      <c r="F68" s="20">
        <f t="shared" si="12"/>
        <v>408042.39880703815</v>
      </c>
      <c r="G68" s="20">
        <f t="shared" si="12"/>
        <v>427246.78389052331</v>
      </c>
      <c r="H68" s="20">
        <f t="shared" si="12"/>
        <v>448938.52605987742</v>
      </c>
      <c r="I68" s="20">
        <f t="shared" si="12"/>
        <v>469718.59849931556</v>
      </c>
      <c r="J68" s="20">
        <f t="shared" si="12"/>
        <v>493575.77133113396</v>
      </c>
      <c r="K68" s="20">
        <f t="shared" si="12"/>
        <v>506051.75384912459</v>
      </c>
      <c r="L68" s="20">
        <f t="shared" si="12"/>
        <v>516049.48127242108</v>
      </c>
      <c r="M68" s="20">
        <f t="shared" si="12"/>
        <v>536122.19638592715</v>
      </c>
      <c r="N68" s="20">
        <f t="shared" si="12"/>
        <v>547095.30537296471</v>
      </c>
      <c r="O68" s="20">
        <f t="shared" si="12"/>
        <v>558127.85203368193</v>
      </c>
      <c r="P68" s="20">
        <f t="shared" si="12"/>
        <v>576857.65832214488</v>
      </c>
      <c r="Q68" s="20">
        <f t="shared" si="12"/>
        <v>610160.44731133687</v>
      </c>
      <c r="R68" s="20">
        <f t="shared" si="12"/>
        <v>658039.49960199825</v>
      </c>
      <c r="S68" s="20">
        <f t="shared" si="12"/>
        <v>687719.52175923379</v>
      </c>
      <c r="T68" s="20">
        <f t="shared" si="12"/>
        <v>715320.13213172602</v>
      </c>
      <c r="U68" s="20">
        <f t="shared" si="12"/>
        <v>741716.0791437357</v>
      </c>
      <c r="V68" s="11">
        <f>SUM(C68:U68)</f>
        <v>9589642.7501240373</v>
      </c>
      <c r="W68" s="19" t="str">
        <f>W79</f>
        <v>Rodney Malcolm</v>
      </c>
    </row>
    <row r="69" spans="1:23" x14ac:dyDescent="0.25">
      <c r="A69" s="17" t="s">
        <v>31</v>
      </c>
      <c r="C69" s="4">
        <v>0</v>
      </c>
      <c r="L69" s="18">
        <v>1500000</v>
      </c>
      <c r="V69" s="11">
        <f>SUM(C69:U69)</f>
        <v>1500000</v>
      </c>
      <c r="W69" s="19" t="s">
        <v>54</v>
      </c>
    </row>
    <row r="70" spans="1:23" x14ac:dyDescent="0.25">
      <c r="A70" s="17" t="s">
        <v>40</v>
      </c>
      <c r="C70" s="9">
        <v>0</v>
      </c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>
        <f>+V49*0.05+V64*0.03</f>
        <v>5379352.0266666664</v>
      </c>
      <c r="V70" s="11">
        <f>SUM(C70:U70)</f>
        <v>5379352.0266666664</v>
      </c>
      <c r="W70" s="19" t="str">
        <f>W53</f>
        <v>Ben Jacoby</v>
      </c>
    </row>
    <row r="71" spans="1:23" x14ac:dyDescent="0.25">
      <c r="A71" s="17" t="s">
        <v>65</v>
      </c>
      <c r="C71" s="21">
        <f t="shared" ref="C71:U71" si="13">SUM(C68:C70)</f>
        <v>184443</v>
      </c>
      <c r="D71" s="21">
        <f t="shared" si="13"/>
        <v>182141</v>
      </c>
      <c r="E71" s="21">
        <f t="shared" si="13"/>
        <v>322276.74435185187</v>
      </c>
      <c r="F71" s="21">
        <f t="shared" si="13"/>
        <v>408042.39880703815</v>
      </c>
      <c r="G71" s="21">
        <f t="shared" si="13"/>
        <v>427246.78389052331</v>
      </c>
      <c r="H71" s="21">
        <f t="shared" si="13"/>
        <v>448938.52605987742</v>
      </c>
      <c r="I71" s="21">
        <f t="shared" si="13"/>
        <v>469718.59849931556</v>
      </c>
      <c r="J71" s="21">
        <f t="shared" si="13"/>
        <v>493575.77133113396</v>
      </c>
      <c r="K71" s="21">
        <f t="shared" si="13"/>
        <v>506051.75384912459</v>
      </c>
      <c r="L71" s="21">
        <f t="shared" si="13"/>
        <v>2016049.4812724211</v>
      </c>
      <c r="M71" s="21">
        <f t="shared" si="13"/>
        <v>536122.19638592715</v>
      </c>
      <c r="N71" s="21">
        <f t="shared" si="13"/>
        <v>547095.30537296471</v>
      </c>
      <c r="O71" s="21">
        <f t="shared" si="13"/>
        <v>558127.85203368193</v>
      </c>
      <c r="P71" s="21">
        <f t="shared" si="13"/>
        <v>576857.65832214488</v>
      </c>
      <c r="Q71" s="21">
        <f t="shared" si="13"/>
        <v>610160.44731133687</v>
      </c>
      <c r="R71" s="21">
        <f t="shared" si="13"/>
        <v>658039.49960199825</v>
      </c>
      <c r="S71" s="21">
        <f t="shared" si="13"/>
        <v>687719.52175923379</v>
      </c>
      <c r="T71" s="21">
        <f t="shared" si="13"/>
        <v>715320.13213172602</v>
      </c>
      <c r="U71" s="21">
        <f t="shared" si="13"/>
        <v>6121068.105810402</v>
      </c>
      <c r="V71" s="22">
        <f>SUM(C71:U71)</f>
        <v>16468994.776790703</v>
      </c>
      <c r="W71" s="20"/>
    </row>
    <row r="72" spans="1:23" x14ac:dyDescent="0.25">
      <c r="A72" s="17" t="s">
        <v>68</v>
      </c>
      <c r="C72" s="21">
        <f>+C71</f>
        <v>184443</v>
      </c>
      <c r="D72" s="21">
        <f t="shared" ref="D72:U72" si="14">+D71+C72</f>
        <v>366584</v>
      </c>
      <c r="E72" s="21">
        <f t="shared" si="14"/>
        <v>688860.74435185187</v>
      </c>
      <c r="F72" s="21">
        <f t="shared" si="14"/>
        <v>1096903.1431588901</v>
      </c>
      <c r="G72" s="21">
        <f t="shared" si="14"/>
        <v>1524149.9270494133</v>
      </c>
      <c r="H72" s="21">
        <f t="shared" si="14"/>
        <v>1973088.4531092907</v>
      </c>
      <c r="I72" s="21">
        <f t="shared" si="14"/>
        <v>2442807.0516086062</v>
      </c>
      <c r="J72" s="21">
        <f t="shared" si="14"/>
        <v>2936382.82293974</v>
      </c>
      <c r="K72" s="21">
        <f t="shared" si="14"/>
        <v>3442434.5767888646</v>
      </c>
      <c r="L72" s="21">
        <f t="shared" si="14"/>
        <v>5458484.0580612859</v>
      </c>
      <c r="M72" s="21">
        <f t="shared" si="14"/>
        <v>5994606.2544472134</v>
      </c>
      <c r="N72" s="21">
        <f t="shared" si="14"/>
        <v>6541701.559820178</v>
      </c>
      <c r="O72" s="21">
        <f t="shared" si="14"/>
        <v>7099829.4118538601</v>
      </c>
      <c r="P72" s="21">
        <f t="shared" si="14"/>
        <v>7676687.0701760054</v>
      </c>
      <c r="Q72" s="21">
        <f t="shared" si="14"/>
        <v>8286847.5174873425</v>
      </c>
      <c r="R72" s="21">
        <f t="shared" si="14"/>
        <v>8944887.0170893408</v>
      </c>
      <c r="S72" s="21">
        <f t="shared" si="14"/>
        <v>9632606.5388485752</v>
      </c>
      <c r="T72" s="21">
        <f t="shared" si="14"/>
        <v>10347926.670980301</v>
      </c>
      <c r="U72" s="21">
        <f t="shared" si="14"/>
        <v>16468994.776790703</v>
      </c>
      <c r="V72" s="11"/>
      <c r="W72" s="20"/>
    </row>
    <row r="73" spans="1:23" x14ac:dyDescent="0.25">
      <c r="A73" s="17"/>
      <c r="C73" s="9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11"/>
      <c r="W73" s="20"/>
    </row>
    <row r="74" spans="1:23" s="4" customFormat="1" x14ac:dyDescent="0.25">
      <c r="A74" s="4" t="s">
        <v>49</v>
      </c>
      <c r="C74" s="4">
        <f t="shared" ref="C74:U74" si="15">+C64+C71</f>
        <v>29326993</v>
      </c>
      <c r="D74" s="4">
        <f t="shared" si="15"/>
        <v>30170252.111111112</v>
      </c>
      <c r="E74" s="4">
        <f t="shared" si="15"/>
        <v>15833659.284034394</v>
      </c>
      <c r="F74" s="4">
        <f t="shared" si="15"/>
        <v>3545424.9384895777</v>
      </c>
      <c r="G74" s="4">
        <f t="shared" si="15"/>
        <v>4004629.3235730631</v>
      </c>
      <c r="H74" s="4">
        <f t="shared" si="15"/>
        <v>3836321.0657424172</v>
      </c>
      <c r="I74" s="4">
        <f t="shared" si="15"/>
        <v>4404401.138181855</v>
      </c>
      <c r="J74" s="4">
        <f t="shared" si="15"/>
        <v>2303258.3110136734</v>
      </c>
      <c r="K74" s="4">
        <f t="shared" si="15"/>
        <v>1845734.2935316642</v>
      </c>
      <c r="L74" s="4">
        <f t="shared" si="15"/>
        <v>3705732.020954961</v>
      </c>
      <c r="M74" s="4">
        <f t="shared" si="15"/>
        <v>2025804.7360684667</v>
      </c>
      <c r="N74" s="4">
        <f t="shared" si="15"/>
        <v>2036777.8450555042</v>
      </c>
      <c r="O74" s="4">
        <f t="shared" si="15"/>
        <v>3457810.3917162213</v>
      </c>
      <c r="P74" s="4">
        <f t="shared" si="15"/>
        <v>6148207.1980046844</v>
      </c>
      <c r="Q74" s="4">
        <f t="shared" si="15"/>
        <v>8839209.6536605451</v>
      </c>
      <c r="R74" s="4">
        <f t="shared" si="15"/>
        <v>5479388.7059512073</v>
      </c>
      <c r="S74" s="4">
        <f t="shared" si="15"/>
        <v>5095497.2995370105</v>
      </c>
      <c r="T74" s="4">
        <f t="shared" si="15"/>
        <v>4873097.9099095035</v>
      </c>
      <c r="U74" s="4">
        <f t="shared" si="15"/>
        <v>15515195.88358818</v>
      </c>
      <c r="V74" s="11">
        <f>SUM(C74:U74)</f>
        <v>152447395.11012405</v>
      </c>
    </row>
    <row r="75" spans="1:23" s="4" customFormat="1" x14ac:dyDescent="0.25">
      <c r="A75" s="4" t="s">
        <v>45</v>
      </c>
      <c r="C75" s="4">
        <f>C74</f>
        <v>29326993</v>
      </c>
      <c r="D75" s="4">
        <f t="shared" ref="D75:U75" si="16">C75+D74</f>
        <v>59497245.111111112</v>
      </c>
      <c r="E75" s="4">
        <f t="shared" si="16"/>
        <v>75330904.395145506</v>
      </c>
      <c r="F75" s="4">
        <f t="shared" si="16"/>
        <v>78876329.333635077</v>
      </c>
      <c r="G75" s="4">
        <f t="shared" si="16"/>
        <v>82880958.657208145</v>
      </c>
      <c r="H75" s="4">
        <f t="shared" si="16"/>
        <v>86717279.722950563</v>
      </c>
      <c r="I75" s="4">
        <f t="shared" si="16"/>
        <v>91121680.861132413</v>
      </c>
      <c r="J75" s="4">
        <f t="shared" si="16"/>
        <v>93424939.172146082</v>
      </c>
      <c r="K75" s="4">
        <f t="shared" si="16"/>
        <v>95270673.465677753</v>
      </c>
      <c r="L75" s="4">
        <f t="shared" si="16"/>
        <v>98976405.48663272</v>
      </c>
      <c r="M75" s="4">
        <f t="shared" si="16"/>
        <v>101002210.22270119</v>
      </c>
      <c r="N75" s="4">
        <f t="shared" si="16"/>
        <v>103038988.0677567</v>
      </c>
      <c r="O75" s="4">
        <f t="shared" si="16"/>
        <v>106496798.45947292</v>
      </c>
      <c r="P75" s="4">
        <f t="shared" si="16"/>
        <v>112645005.6574776</v>
      </c>
      <c r="Q75" s="4">
        <f t="shared" si="16"/>
        <v>121484215.31113815</v>
      </c>
      <c r="R75" s="4">
        <f t="shared" si="16"/>
        <v>126963604.01708937</v>
      </c>
      <c r="S75" s="4">
        <f t="shared" si="16"/>
        <v>132059101.31662637</v>
      </c>
      <c r="T75" s="4">
        <f t="shared" si="16"/>
        <v>136932199.22653589</v>
      </c>
      <c r="U75" s="4">
        <f t="shared" si="16"/>
        <v>152447395.11012405</v>
      </c>
      <c r="V75" s="11"/>
    </row>
    <row r="76" spans="1:23" s="4" customFormat="1" x14ac:dyDescent="0.25">
      <c r="V76" s="16">
        <f>+V74/C78/1000</f>
        <v>317.59873981275848</v>
      </c>
    </row>
    <row r="77" spans="1:23" s="4" customFormat="1" x14ac:dyDescent="0.25">
      <c r="A77" s="8" t="s">
        <v>72</v>
      </c>
      <c r="C77" s="12">
        <v>6.5000000000000002E-2</v>
      </c>
      <c r="V77" s="11"/>
    </row>
    <row r="78" spans="1:23" s="4" customFormat="1" x14ac:dyDescent="0.25">
      <c r="A78" s="17" t="s">
        <v>64</v>
      </c>
      <c r="C78" s="4">
        <v>480</v>
      </c>
      <c r="D78" s="4" t="s">
        <v>66</v>
      </c>
      <c r="V78" s="11"/>
    </row>
    <row r="79" spans="1:23" x14ac:dyDescent="0.25">
      <c r="A79" s="17" t="s">
        <v>39</v>
      </c>
      <c r="C79" s="4">
        <v>0</v>
      </c>
      <c r="U79" s="18">
        <v>6338000</v>
      </c>
      <c r="V79" s="23">
        <f>SUM(C79:U79)</f>
        <v>6338000</v>
      </c>
      <c r="W79" s="19" t="str">
        <f>W69</f>
        <v>Rodney Malcolm</v>
      </c>
    </row>
    <row r="80" spans="1:23" s="4" customFormat="1" x14ac:dyDescent="0.25">
      <c r="A80" s="8"/>
      <c r="C80" s="12"/>
      <c r="V80" s="11"/>
    </row>
    <row r="81" spans="1:23" x14ac:dyDescent="0.25">
      <c r="A81" s="17" t="s">
        <v>69</v>
      </c>
      <c r="C81" s="4">
        <f t="shared" ref="C81:U81" si="17">+C74-C68</f>
        <v>29142550</v>
      </c>
      <c r="D81" s="4">
        <f t="shared" si="17"/>
        <v>29988111.111111112</v>
      </c>
      <c r="E81" s="4">
        <f t="shared" si="17"/>
        <v>15511382.539682541</v>
      </c>
      <c r="F81" s="4">
        <f t="shared" si="17"/>
        <v>3137382.5396825396</v>
      </c>
      <c r="G81" s="4">
        <f t="shared" si="17"/>
        <v>3577382.5396825396</v>
      </c>
      <c r="H81" s="4">
        <f t="shared" si="17"/>
        <v>3387382.5396825396</v>
      </c>
      <c r="I81" s="4">
        <f t="shared" si="17"/>
        <v>3934682.5396825392</v>
      </c>
      <c r="J81" s="4">
        <f t="shared" si="17"/>
        <v>1809682.5396825394</v>
      </c>
      <c r="K81" s="4">
        <f t="shared" si="17"/>
        <v>1339682.5396825396</v>
      </c>
      <c r="L81" s="4">
        <f t="shared" si="17"/>
        <v>3189682.5396825401</v>
      </c>
      <c r="M81" s="4">
        <f t="shared" si="17"/>
        <v>1489682.5396825396</v>
      </c>
      <c r="N81" s="4">
        <f t="shared" si="17"/>
        <v>1489682.5396825396</v>
      </c>
      <c r="O81" s="4">
        <f t="shared" si="17"/>
        <v>2899682.5396825392</v>
      </c>
      <c r="P81" s="4">
        <f t="shared" si="17"/>
        <v>5571349.5396825392</v>
      </c>
      <c r="Q81" s="4">
        <f t="shared" si="17"/>
        <v>8229049.206349208</v>
      </c>
      <c r="R81" s="4">
        <f t="shared" si="17"/>
        <v>4821349.206349209</v>
      </c>
      <c r="S81" s="4">
        <f t="shared" si="17"/>
        <v>4407777.7777777771</v>
      </c>
      <c r="T81" s="4">
        <f t="shared" si="17"/>
        <v>4157777.7777777775</v>
      </c>
      <c r="U81" s="4">
        <f t="shared" si="17"/>
        <v>14773479.804444443</v>
      </c>
      <c r="V81" s="11">
        <f>SUM(C81:U81)</f>
        <v>142857752.35999998</v>
      </c>
    </row>
    <row r="82" spans="1:23" x14ac:dyDescent="0.25">
      <c r="V82" s="11"/>
    </row>
    <row r="83" spans="1:23" x14ac:dyDescent="0.25">
      <c r="A83" s="4" t="s">
        <v>37</v>
      </c>
      <c r="V83" s="11"/>
    </row>
    <row r="84" spans="1:23" x14ac:dyDescent="0.25">
      <c r="A84" s="5" t="s">
        <v>62</v>
      </c>
      <c r="V84" s="11"/>
    </row>
    <row r="85" spans="1:23" x14ac:dyDescent="0.25">
      <c r="A85" s="17" t="s">
        <v>38</v>
      </c>
      <c r="C85" s="4">
        <v>16673404</v>
      </c>
      <c r="D85" s="18">
        <v>40778500</v>
      </c>
      <c r="E85" s="18">
        <v>4077852</v>
      </c>
      <c r="F85" s="18">
        <v>4077852</v>
      </c>
      <c r="G85" s="18">
        <v>4077852</v>
      </c>
      <c r="H85" s="18">
        <v>4077852</v>
      </c>
      <c r="I85" s="18">
        <v>4077852</v>
      </c>
      <c r="U85" s="18">
        <v>4077852</v>
      </c>
      <c r="V85" s="11">
        <f t="shared" ref="V85:V101" si="18">SUM(C85:U85)</f>
        <v>81919016</v>
      </c>
      <c r="W85" s="15" t="s">
        <v>50</v>
      </c>
    </row>
    <row r="86" spans="1:23" x14ac:dyDescent="0.25">
      <c r="A86" s="17" t="s">
        <v>19</v>
      </c>
      <c r="C86" s="4">
        <v>0</v>
      </c>
      <c r="H86" s="18">
        <v>440000</v>
      </c>
      <c r="I86" s="18">
        <v>3520000</v>
      </c>
      <c r="J86" s="18">
        <v>1760000</v>
      </c>
      <c r="K86" s="18">
        <v>440000</v>
      </c>
      <c r="L86" s="18">
        <v>440000</v>
      </c>
      <c r="M86" s="18">
        <v>440000</v>
      </c>
      <c r="N86" s="18">
        <v>440000</v>
      </c>
      <c r="O86" s="18">
        <v>440000</v>
      </c>
      <c r="P86" s="18">
        <v>440000</v>
      </c>
      <c r="Q86" s="18">
        <v>440000</v>
      </c>
      <c r="V86" s="11">
        <f t="shared" si="18"/>
        <v>8800000</v>
      </c>
      <c r="W86" s="15" t="s">
        <v>50</v>
      </c>
    </row>
    <row r="87" spans="1:23" x14ac:dyDescent="0.25">
      <c r="A87" s="17" t="s">
        <v>21</v>
      </c>
      <c r="C87" s="4">
        <v>0</v>
      </c>
      <c r="K87" s="18">
        <v>1600000</v>
      </c>
      <c r="L87" s="18">
        <f>2880000-1440000</f>
        <v>1440000</v>
      </c>
      <c r="M87" s="18">
        <f>2880000-1440000</f>
        <v>1440000</v>
      </c>
      <c r="N87" s="18">
        <f>2880000-1440000</f>
        <v>1440000</v>
      </c>
      <c r="O87" s="18">
        <f>3840000-1440000</f>
        <v>2400000</v>
      </c>
      <c r="P87" s="18">
        <f>2986666.66666667+1440000</f>
        <v>4426666.6666666698</v>
      </c>
      <c r="Q87" s="18">
        <f>2986666.66666667+1440000</f>
        <v>4426666.6666666698</v>
      </c>
      <c r="R87" s="18">
        <f>2986666.66666667+1440000</f>
        <v>4426666.6666666698</v>
      </c>
      <c r="S87" s="18">
        <f>2986666.66666667+1440000</f>
        <v>4426666.6666666698</v>
      </c>
      <c r="T87" s="18">
        <v>2986666.6666666665</v>
      </c>
      <c r="U87" s="18">
        <v>2986666.6666666665</v>
      </c>
      <c r="V87" s="11">
        <f t="shared" si="18"/>
        <v>32000000.000000015</v>
      </c>
      <c r="W87" s="15" t="s">
        <v>50</v>
      </c>
    </row>
    <row r="88" spans="1:23" x14ac:dyDescent="0.25">
      <c r="A88" s="17" t="s">
        <v>42</v>
      </c>
      <c r="C88" s="4">
        <v>0</v>
      </c>
      <c r="P88" s="18">
        <v>125000</v>
      </c>
      <c r="Q88" s="18">
        <v>125000</v>
      </c>
      <c r="R88" s="18">
        <v>125000</v>
      </c>
      <c r="S88" s="18">
        <v>125000</v>
      </c>
      <c r="T88" s="18">
        <v>125000</v>
      </c>
      <c r="U88" s="18">
        <v>125000</v>
      </c>
      <c r="V88" s="11">
        <f t="shared" si="18"/>
        <v>750000</v>
      </c>
      <c r="W88" s="15" t="s">
        <v>51</v>
      </c>
    </row>
    <row r="89" spans="1:23" x14ac:dyDescent="0.25">
      <c r="A89" s="17" t="s">
        <v>22</v>
      </c>
      <c r="C89" s="4">
        <v>0</v>
      </c>
      <c r="S89" s="18">
        <v>500000</v>
      </c>
      <c r="T89" s="18">
        <v>500000</v>
      </c>
      <c r="V89" s="11">
        <f t="shared" si="18"/>
        <v>1000000</v>
      </c>
      <c r="W89" s="15" t="str">
        <f>W87</f>
        <v>Mike Miller</v>
      </c>
    </row>
    <row r="90" spans="1:23" x14ac:dyDescent="0.25">
      <c r="A90" s="17" t="s">
        <v>23</v>
      </c>
      <c r="C90" s="4">
        <v>0</v>
      </c>
      <c r="K90" s="18">
        <v>770000</v>
      </c>
      <c r="V90" s="11">
        <f t="shared" si="18"/>
        <v>770000</v>
      </c>
      <c r="W90" s="15" t="s">
        <v>57</v>
      </c>
    </row>
    <row r="91" spans="1:23" x14ac:dyDescent="0.25">
      <c r="A91" s="17" t="s">
        <v>24</v>
      </c>
      <c r="C91" s="4">
        <v>0</v>
      </c>
      <c r="F91" s="18">
        <v>112500</v>
      </c>
      <c r="G91" s="18">
        <v>112500</v>
      </c>
      <c r="H91" s="18">
        <v>112500</v>
      </c>
      <c r="I91" s="17">
        <v>112500</v>
      </c>
      <c r="J91" s="17"/>
      <c r="K91" s="17"/>
      <c r="L91" s="17"/>
      <c r="V91" s="11">
        <f t="shared" si="18"/>
        <v>450000</v>
      </c>
      <c r="W91" s="15" t="str">
        <f>W90</f>
        <v>Steve Dowd</v>
      </c>
    </row>
    <row r="92" spans="1:23" x14ac:dyDescent="0.25">
      <c r="A92" s="17" t="s">
        <v>25</v>
      </c>
      <c r="C92" s="4">
        <v>0</v>
      </c>
      <c r="Q92" s="18">
        <v>500000</v>
      </c>
      <c r="R92" s="18">
        <v>166666.66666666666</v>
      </c>
      <c r="S92" s="18">
        <v>166666.66666666666</v>
      </c>
      <c r="T92" s="18">
        <v>166666.66666666666</v>
      </c>
      <c r="V92" s="11">
        <f t="shared" si="18"/>
        <v>999999.99999999988</v>
      </c>
      <c r="W92" s="15" t="s">
        <v>53</v>
      </c>
    </row>
    <row r="93" spans="1:23" x14ac:dyDescent="0.25">
      <c r="A93" s="17" t="s">
        <v>26</v>
      </c>
      <c r="C93" s="4">
        <v>0</v>
      </c>
      <c r="P93" s="18">
        <v>1000000</v>
      </c>
      <c r="Q93" s="18">
        <v>500000</v>
      </c>
      <c r="R93" s="18">
        <v>500000</v>
      </c>
      <c r="V93" s="11">
        <f t="shared" si="18"/>
        <v>2000000</v>
      </c>
      <c r="W93" s="15" t="str">
        <f>W91</f>
        <v>Steve Dowd</v>
      </c>
    </row>
    <row r="94" spans="1:23" x14ac:dyDescent="0.25">
      <c r="A94" s="17" t="s">
        <v>27</v>
      </c>
      <c r="C94" s="4">
        <v>0</v>
      </c>
      <c r="S94" s="18">
        <v>500000</v>
      </c>
      <c r="T94" s="18">
        <v>500000</v>
      </c>
      <c r="U94" s="18">
        <v>0</v>
      </c>
      <c r="V94" s="11">
        <f t="shared" si="18"/>
        <v>1000000</v>
      </c>
      <c r="W94" s="15" t="str">
        <f>W88</f>
        <v>Kevin Presto</v>
      </c>
    </row>
    <row r="95" spans="1:23" x14ac:dyDescent="0.25">
      <c r="A95" s="17" t="s">
        <v>48</v>
      </c>
      <c r="U95" s="18">
        <v>236000</v>
      </c>
      <c r="V95" s="11">
        <f t="shared" si="18"/>
        <v>236000</v>
      </c>
      <c r="W95" s="15" t="s">
        <v>56</v>
      </c>
    </row>
    <row r="96" spans="1:23" x14ac:dyDescent="0.25">
      <c r="A96" s="17" t="s">
        <v>28</v>
      </c>
      <c r="C96" s="4">
        <v>0</v>
      </c>
      <c r="P96" s="17"/>
      <c r="Q96" s="17"/>
      <c r="R96" s="17"/>
      <c r="S96" s="17"/>
      <c r="U96" s="18">
        <v>50000</v>
      </c>
      <c r="V96" s="11">
        <f t="shared" si="18"/>
        <v>50000</v>
      </c>
      <c r="W96" s="15" t="str">
        <f>W93</f>
        <v>Steve Dowd</v>
      </c>
    </row>
    <row r="97" spans="1:23" x14ac:dyDescent="0.25">
      <c r="A97" s="17" t="s">
        <v>29</v>
      </c>
      <c r="C97" s="4">
        <v>0</v>
      </c>
      <c r="L97" s="18">
        <v>200000</v>
      </c>
      <c r="V97" s="11">
        <f t="shared" si="18"/>
        <v>200000</v>
      </c>
      <c r="W97" s="15" t="str">
        <f>W96</f>
        <v>Steve Dowd</v>
      </c>
    </row>
    <row r="98" spans="1:23" x14ac:dyDescent="0.25">
      <c r="A98" s="17" t="s">
        <v>30</v>
      </c>
      <c r="C98" s="4">
        <v>0</v>
      </c>
      <c r="D98" s="18">
        <v>11111.111111111111</v>
      </c>
      <c r="E98" s="18">
        <v>11111.111111111111</v>
      </c>
      <c r="F98" s="18">
        <v>11111.111111111111</v>
      </c>
      <c r="G98" s="18">
        <v>11111.111111111111</v>
      </c>
      <c r="H98" s="18">
        <v>11111.111111111111</v>
      </c>
      <c r="I98" s="18">
        <v>11111.111111111111</v>
      </c>
      <c r="J98" s="18">
        <v>11111.111111111111</v>
      </c>
      <c r="K98" s="18">
        <v>11111.111111111111</v>
      </c>
      <c r="L98" s="18">
        <v>11111.111111111111</v>
      </c>
      <c r="M98" s="18">
        <v>11111.111111111111</v>
      </c>
      <c r="N98" s="18">
        <v>11111.111111111111</v>
      </c>
      <c r="O98" s="18">
        <v>11111.111111111111</v>
      </c>
      <c r="P98" s="18">
        <v>11111.111111111111</v>
      </c>
      <c r="Q98" s="18">
        <v>11111.111111111111</v>
      </c>
      <c r="R98" s="18">
        <v>11111.111111111111</v>
      </c>
      <c r="S98" s="18">
        <v>11111.111111111111</v>
      </c>
      <c r="T98" s="18">
        <v>11111.111111111111</v>
      </c>
      <c r="U98" s="18">
        <v>11111.111111111111</v>
      </c>
      <c r="V98" s="11">
        <f t="shared" si="18"/>
        <v>200000.00000000009</v>
      </c>
      <c r="W98" s="15" t="str">
        <f>W97</f>
        <v>Steve Dowd</v>
      </c>
    </row>
    <row r="99" spans="1:23" x14ac:dyDescent="0.25">
      <c r="A99" s="17" t="s">
        <v>32</v>
      </c>
      <c r="C99" s="4">
        <v>0</v>
      </c>
      <c r="E99" s="18">
        <v>28571.428571428572</v>
      </c>
      <c r="F99" s="18">
        <v>28571.428571428572</v>
      </c>
      <c r="G99" s="18">
        <v>28571.428571428572</v>
      </c>
      <c r="H99" s="18">
        <v>28571.428571428572</v>
      </c>
      <c r="I99" s="18">
        <v>28571.428571428572</v>
      </c>
      <c r="J99" s="18">
        <v>28571.428571428572</v>
      </c>
      <c r="K99" s="18">
        <v>28571.428571428572</v>
      </c>
      <c r="L99" s="18">
        <v>28571.428571428572</v>
      </c>
      <c r="M99" s="18">
        <v>28571.428571428572</v>
      </c>
      <c r="N99" s="18">
        <v>28571.428571428572</v>
      </c>
      <c r="O99" s="18">
        <v>28571.428571428572</v>
      </c>
      <c r="P99" s="18">
        <v>28571.428571428572</v>
      </c>
      <c r="Q99" s="18">
        <v>28571.428571428572</v>
      </c>
      <c r="R99" s="18">
        <v>28571.428571428572</v>
      </c>
      <c r="V99" s="11">
        <f t="shared" si="18"/>
        <v>400000.00000000006</v>
      </c>
      <c r="W99" s="15" t="str">
        <f>W97</f>
        <v>Steve Dowd</v>
      </c>
    </row>
    <row r="100" spans="1:23" x14ac:dyDescent="0.25">
      <c r="A100" s="17" t="s">
        <v>33</v>
      </c>
      <c r="C100" s="4">
        <v>0</v>
      </c>
      <c r="N100" s="18">
        <v>10000</v>
      </c>
      <c r="O100" s="18">
        <f>325000-35000</f>
        <v>290000</v>
      </c>
      <c r="P100" s="18">
        <v>10000</v>
      </c>
      <c r="Q100" s="18">
        <v>10000</v>
      </c>
      <c r="R100" s="18">
        <v>10000</v>
      </c>
      <c r="S100" s="18">
        <v>10000</v>
      </c>
      <c r="T100" s="18">
        <v>10000</v>
      </c>
      <c r="U100" s="18">
        <v>50000</v>
      </c>
      <c r="V100" s="11">
        <f t="shared" si="18"/>
        <v>400000</v>
      </c>
      <c r="W100" s="15" t="str">
        <f>W97</f>
        <v>Steve Dowd</v>
      </c>
    </row>
    <row r="101" spans="1:23" x14ac:dyDescent="0.25">
      <c r="A101" s="17" t="s">
        <v>63</v>
      </c>
      <c r="C101" s="21">
        <f t="shared" ref="C101:U101" si="19">SUM(C83:C100)</f>
        <v>16673404</v>
      </c>
      <c r="D101" s="21">
        <f t="shared" si="19"/>
        <v>40789611.111111112</v>
      </c>
      <c r="E101" s="21">
        <f t="shared" si="19"/>
        <v>4117534.5396825396</v>
      </c>
      <c r="F101" s="21">
        <f t="shared" si="19"/>
        <v>4230034.5396825392</v>
      </c>
      <c r="G101" s="21">
        <f t="shared" si="19"/>
        <v>4230034.5396825392</v>
      </c>
      <c r="H101" s="21">
        <f t="shared" si="19"/>
        <v>4670034.5396825392</v>
      </c>
      <c r="I101" s="21">
        <f t="shared" si="19"/>
        <v>7750034.5396825392</v>
      </c>
      <c r="J101" s="21">
        <f t="shared" si="19"/>
        <v>1799682.5396825396</v>
      </c>
      <c r="K101" s="21">
        <f t="shared" si="19"/>
        <v>2849682.5396825396</v>
      </c>
      <c r="L101" s="21">
        <f t="shared" si="19"/>
        <v>2119682.5396825396</v>
      </c>
      <c r="M101" s="21">
        <f t="shared" si="19"/>
        <v>1919682.5396825396</v>
      </c>
      <c r="N101" s="21">
        <f t="shared" si="19"/>
        <v>1929682.5396825396</v>
      </c>
      <c r="O101" s="21">
        <f t="shared" si="19"/>
        <v>3169682.5396825396</v>
      </c>
      <c r="P101" s="21">
        <f t="shared" si="19"/>
        <v>6041349.206349209</v>
      </c>
      <c r="Q101" s="21">
        <f t="shared" si="19"/>
        <v>6041349.206349209</v>
      </c>
      <c r="R101" s="21">
        <f t="shared" si="19"/>
        <v>5268015.8730158759</v>
      </c>
      <c r="S101" s="21">
        <f t="shared" si="19"/>
        <v>5739444.4444444478</v>
      </c>
      <c r="T101" s="21">
        <f t="shared" si="19"/>
        <v>4299444.444444444</v>
      </c>
      <c r="U101" s="21">
        <f t="shared" si="19"/>
        <v>7536629.7777777771</v>
      </c>
      <c r="V101" s="22">
        <f t="shared" si="18"/>
        <v>131175016</v>
      </c>
    </row>
    <row r="102" spans="1:23" x14ac:dyDescent="0.25">
      <c r="A102" s="17" t="s">
        <v>67</v>
      </c>
      <c r="C102" s="21">
        <f>+C101</f>
        <v>16673404</v>
      </c>
      <c r="D102" s="21">
        <f t="shared" ref="D102:U102" si="20">+C102+D101</f>
        <v>57463015.111111112</v>
      </c>
      <c r="E102" s="21">
        <f t="shared" si="20"/>
        <v>61580549.650793649</v>
      </c>
      <c r="F102" s="21">
        <f t="shared" si="20"/>
        <v>65810584.190476187</v>
      </c>
      <c r="G102" s="21">
        <f t="shared" si="20"/>
        <v>70040618.730158731</v>
      </c>
      <c r="H102" s="21">
        <f t="shared" si="20"/>
        <v>74710653.269841269</v>
      </c>
      <c r="I102" s="21">
        <f t="shared" si="20"/>
        <v>82460687.809523806</v>
      </c>
      <c r="J102" s="21">
        <f t="shared" si="20"/>
        <v>84260370.349206343</v>
      </c>
      <c r="K102" s="21">
        <f t="shared" si="20"/>
        <v>87110052.888888881</v>
      </c>
      <c r="L102" s="21">
        <f t="shared" si="20"/>
        <v>89229735.428571418</v>
      </c>
      <c r="M102" s="21">
        <f t="shared" si="20"/>
        <v>91149417.968253955</v>
      </c>
      <c r="N102" s="21">
        <f t="shared" si="20"/>
        <v>93079100.507936493</v>
      </c>
      <c r="O102" s="21">
        <f t="shared" si="20"/>
        <v>96248783.04761903</v>
      </c>
      <c r="P102" s="21">
        <f t="shared" si="20"/>
        <v>102290132.25396824</v>
      </c>
      <c r="Q102" s="21">
        <f t="shared" si="20"/>
        <v>108331481.46031745</v>
      </c>
      <c r="R102" s="21">
        <f t="shared" si="20"/>
        <v>113599497.33333333</v>
      </c>
      <c r="S102" s="21">
        <f t="shared" si="20"/>
        <v>119338941.77777778</v>
      </c>
      <c r="T102" s="21">
        <f t="shared" si="20"/>
        <v>123638386.22222222</v>
      </c>
      <c r="U102" s="21">
        <f t="shared" si="20"/>
        <v>131175016</v>
      </c>
      <c r="V102" s="11"/>
    </row>
    <row r="103" spans="1:23" x14ac:dyDescent="0.25">
      <c r="A103" s="17" t="s">
        <v>64</v>
      </c>
      <c r="V103" s="16">
        <f>+V101/C115/1000</f>
        <v>285.16307826086955</v>
      </c>
      <c r="W103" s="20"/>
    </row>
    <row r="104" spans="1:23" x14ac:dyDescent="0.25">
      <c r="V104" s="11"/>
    </row>
    <row r="105" spans="1:23" x14ac:dyDescent="0.25">
      <c r="A105" s="17" t="s">
        <v>44</v>
      </c>
      <c r="C105" s="9">
        <v>146354</v>
      </c>
      <c r="D105" s="20">
        <v>104209</v>
      </c>
      <c r="E105" s="20">
        <f t="shared" ref="E105:U105" si="21">(+D102+D109)*$C114/12</f>
        <v>312615.21476851852</v>
      </c>
      <c r="F105" s="20">
        <f t="shared" si="21"/>
        <v>336611.85927179508</v>
      </c>
      <c r="G105" s="20">
        <f t="shared" si="21"/>
        <v>361347.86059946445</v>
      </c>
      <c r="H105" s="20">
        <f t="shared" si="21"/>
        <v>386217.84860099194</v>
      </c>
      <c r="I105" s="20">
        <f t="shared" si="21"/>
        <v>413605.88237086101</v>
      </c>
      <c r="J105" s="20">
        <f t="shared" si="21"/>
        <v>457825.60132365028</v>
      </c>
      <c r="K105" s="20">
        <f t="shared" si="21"/>
        <v>470053.77042076713</v>
      </c>
      <c r="L105" s="20">
        <f t="shared" si="21"/>
        <v>488035.67543382669</v>
      </c>
      <c r="M105" s="20">
        <f t="shared" si="21"/>
        <v>510285.81576570706</v>
      </c>
      <c r="N105" s="20">
        <f t="shared" si="21"/>
        <v>523448.14435771835</v>
      </c>
      <c r="O105" s="20">
        <f t="shared" si="21"/>
        <v>536735.93556293636</v>
      </c>
      <c r="P105" s="20">
        <f t="shared" si="21"/>
        <v>556812.36897051602</v>
      </c>
      <c r="Q105" s="20">
        <f t="shared" si="21"/>
        <v>592552.4108368312</v>
      </c>
      <c r="R105" s="20">
        <f t="shared" si="21"/>
        <v>628486.04459658894</v>
      </c>
      <c r="S105" s="20">
        <f t="shared" si="21"/>
        <v>660425.4299836565</v>
      </c>
      <c r="T105" s="20">
        <f t="shared" si="21"/>
        <v>695091.39180347533</v>
      </c>
      <c r="U105" s="20">
        <f t="shared" si="21"/>
        <v>722145.12758315157</v>
      </c>
      <c r="V105" s="11">
        <f>SUM(C105:U105)</f>
        <v>8902859.3822504561</v>
      </c>
      <c r="W105" s="19" t="str">
        <f>W116</f>
        <v>Rodney Malcolm</v>
      </c>
    </row>
    <row r="106" spans="1:23" x14ac:dyDescent="0.25">
      <c r="A106" s="17" t="s">
        <v>31</v>
      </c>
      <c r="C106" s="4">
        <v>0</v>
      </c>
      <c r="L106" s="18">
        <v>1500000</v>
      </c>
      <c r="V106" s="11">
        <f>SUM(C106:U106)</f>
        <v>1500000</v>
      </c>
      <c r="W106" s="19" t="s">
        <v>54</v>
      </c>
    </row>
    <row r="107" spans="1:23" x14ac:dyDescent="0.25">
      <c r="A107" s="17" t="s">
        <v>40</v>
      </c>
      <c r="C107" s="9">
        <v>0</v>
      </c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  <c r="T107" s="20"/>
      <c r="U107" s="20">
        <f>+V87*0.05+V101*0.03</f>
        <v>5535250.4800000004</v>
      </c>
      <c r="V107" s="11">
        <f>SUM(C107:U107)</f>
        <v>5535250.4800000004</v>
      </c>
      <c r="W107" s="19" t="str">
        <f>W90</f>
        <v>Steve Dowd</v>
      </c>
    </row>
    <row r="108" spans="1:23" x14ac:dyDescent="0.25">
      <c r="A108" s="17" t="s">
        <v>65</v>
      </c>
      <c r="C108" s="21">
        <f t="shared" ref="C108:U108" si="22">SUM(C105:C107)</f>
        <v>146354</v>
      </c>
      <c r="D108" s="21">
        <f t="shared" si="22"/>
        <v>104209</v>
      </c>
      <c r="E108" s="21">
        <f t="shared" si="22"/>
        <v>312615.21476851852</v>
      </c>
      <c r="F108" s="21">
        <f t="shared" si="22"/>
        <v>336611.85927179508</v>
      </c>
      <c r="G108" s="21">
        <f t="shared" si="22"/>
        <v>361347.86059946445</v>
      </c>
      <c r="H108" s="21">
        <f t="shared" si="22"/>
        <v>386217.84860099194</v>
      </c>
      <c r="I108" s="21">
        <f t="shared" si="22"/>
        <v>413605.88237086101</v>
      </c>
      <c r="J108" s="21">
        <f t="shared" si="22"/>
        <v>457825.60132365028</v>
      </c>
      <c r="K108" s="21">
        <f t="shared" si="22"/>
        <v>470053.77042076713</v>
      </c>
      <c r="L108" s="21">
        <f t="shared" si="22"/>
        <v>1988035.6754338266</v>
      </c>
      <c r="M108" s="21">
        <f t="shared" si="22"/>
        <v>510285.81576570706</v>
      </c>
      <c r="N108" s="21">
        <f t="shared" si="22"/>
        <v>523448.14435771835</v>
      </c>
      <c r="O108" s="21">
        <f t="shared" si="22"/>
        <v>536735.93556293636</v>
      </c>
      <c r="P108" s="21">
        <f t="shared" si="22"/>
        <v>556812.36897051602</v>
      </c>
      <c r="Q108" s="21">
        <f t="shared" si="22"/>
        <v>592552.4108368312</v>
      </c>
      <c r="R108" s="21">
        <f t="shared" si="22"/>
        <v>628486.04459658894</v>
      </c>
      <c r="S108" s="21">
        <f t="shared" si="22"/>
        <v>660425.4299836565</v>
      </c>
      <c r="T108" s="21">
        <f t="shared" si="22"/>
        <v>695091.39180347533</v>
      </c>
      <c r="U108" s="21">
        <f t="shared" si="22"/>
        <v>6257395.6075831521</v>
      </c>
      <c r="V108" s="22">
        <f>SUM(C108:U108)</f>
        <v>15938109.862250457</v>
      </c>
      <c r="W108" s="20"/>
    </row>
    <row r="109" spans="1:23" x14ac:dyDescent="0.25">
      <c r="A109" s="17" t="s">
        <v>68</v>
      </c>
      <c r="C109" s="21">
        <f>+C108</f>
        <v>146354</v>
      </c>
      <c r="D109" s="21">
        <f t="shared" ref="D109:U109" si="23">+D108+C109</f>
        <v>250563</v>
      </c>
      <c r="E109" s="21">
        <f t="shared" si="23"/>
        <v>563178.21476851846</v>
      </c>
      <c r="F109" s="21">
        <f t="shared" si="23"/>
        <v>899790.07404031348</v>
      </c>
      <c r="G109" s="21">
        <f t="shared" si="23"/>
        <v>1261137.934639778</v>
      </c>
      <c r="H109" s="21">
        <f t="shared" si="23"/>
        <v>1647355.78324077</v>
      </c>
      <c r="I109" s="21">
        <f t="shared" si="23"/>
        <v>2060961.665611631</v>
      </c>
      <c r="J109" s="21">
        <f t="shared" si="23"/>
        <v>2518787.2669352815</v>
      </c>
      <c r="K109" s="21">
        <f t="shared" si="23"/>
        <v>2988841.0373560488</v>
      </c>
      <c r="L109" s="21">
        <f t="shared" si="23"/>
        <v>4976876.7127898755</v>
      </c>
      <c r="M109" s="21">
        <f t="shared" si="23"/>
        <v>5487162.5285555823</v>
      </c>
      <c r="N109" s="21">
        <f t="shared" si="23"/>
        <v>6010610.6729133008</v>
      </c>
      <c r="O109" s="21">
        <f t="shared" si="23"/>
        <v>6547346.6084762374</v>
      </c>
      <c r="P109" s="21">
        <f t="shared" si="23"/>
        <v>7104158.9774467535</v>
      </c>
      <c r="Q109" s="21">
        <f t="shared" si="23"/>
        <v>7696711.3882835843</v>
      </c>
      <c r="R109" s="21">
        <f t="shared" si="23"/>
        <v>8325197.4328801734</v>
      </c>
      <c r="S109" s="21">
        <f t="shared" si="23"/>
        <v>8985622.8628638294</v>
      </c>
      <c r="T109" s="21">
        <f t="shared" si="23"/>
        <v>9680714.2546673045</v>
      </c>
      <c r="U109" s="21">
        <f t="shared" si="23"/>
        <v>15938109.862250457</v>
      </c>
      <c r="V109" s="11"/>
      <c r="W109" s="20"/>
    </row>
    <row r="110" spans="1:23" x14ac:dyDescent="0.25">
      <c r="A110" s="17"/>
      <c r="C110" s="9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11"/>
      <c r="W110" s="20"/>
    </row>
    <row r="111" spans="1:23" s="4" customFormat="1" x14ac:dyDescent="0.25">
      <c r="A111" s="4" t="s">
        <v>49</v>
      </c>
      <c r="C111" s="4">
        <f t="shared" ref="C111:U111" si="24">+C101+C108</f>
        <v>16819758</v>
      </c>
      <c r="D111" s="4">
        <f t="shared" si="24"/>
        <v>40893820.111111112</v>
      </c>
      <c r="E111" s="4">
        <f t="shared" si="24"/>
        <v>4430149.7544510579</v>
      </c>
      <c r="F111" s="4">
        <f t="shared" si="24"/>
        <v>4566646.3989543347</v>
      </c>
      <c r="G111" s="4">
        <f t="shared" si="24"/>
        <v>4591382.4002820039</v>
      </c>
      <c r="H111" s="4">
        <f t="shared" si="24"/>
        <v>5056252.3882835312</v>
      </c>
      <c r="I111" s="4">
        <f t="shared" si="24"/>
        <v>8163640.4220534004</v>
      </c>
      <c r="J111" s="4">
        <f t="shared" si="24"/>
        <v>2257508.1410061899</v>
      </c>
      <c r="K111" s="4">
        <f t="shared" si="24"/>
        <v>3319736.3101033065</v>
      </c>
      <c r="L111" s="4">
        <f t="shared" si="24"/>
        <v>4107718.2151163663</v>
      </c>
      <c r="M111" s="4">
        <f t="shared" si="24"/>
        <v>2429968.3554482469</v>
      </c>
      <c r="N111" s="4">
        <f t="shared" si="24"/>
        <v>2453130.6840402582</v>
      </c>
      <c r="O111" s="4">
        <f t="shared" si="24"/>
        <v>3706418.4752454758</v>
      </c>
      <c r="P111" s="4">
        <f t="shared" si="24"/>
        <v>6598161.5753197251</v>
      </c>
      <c r="Q111" s="4">
        <f t="shared" si="24"/>
        <v>6633901.6171860397</v>
      </c>
      <c r="R111" s="4">
        <f t="shared" si="24"/>
        <v>5896501.9176124651</v>
      </c>
      <c r="S111" s="4">
        <f t="shared" si="24"/>
        <v>6399869.8744281046</v>
      </c>
      <c r="T111" s="4">
        <f t="shared" si="24"/>
        <v>4994535.8362479191</v>
      </c>
      <c r="U111" s="4">
        <f t="shared" si="24"/>
        <v>13794025.38536093</v>
      </c>
      <c r="V111" s="11">
        <f>SUM(C111:U111)</f>
        <v>147113125.86225048</v>
      </c>
    </row>
    <row r="112" spans="1:23" s="4" customFormat="1" x14ac:dyDescent="0.25">
      <c r="A112" s="4" t="s">
        <v>45</v>
      </c>
      <c r="C112" s="4">
        <f>C111</f>
        <v>16819758</v>
      </c>
      <c r="D112" s="4">
        <f t="shared" ref="D112:U112" si="25">C112+D111</f>
        <v>57713578.111111112</v>
      </c>
      <c r="E112" s="4">
        <f t="shared" si="25"/>
        <v>62143727.865562171</v>
      </c>
      <c r="F112" s="4">
        <f t="shared" si="25"/>
        <v>66710374.264516503</v>
      </c>
      <c r="G112" s="4">
        <f t="shared" si="25"/>
        <v>71301756.664798513</v>
      </c>
      <c r="H112" s="4">
        <f t="shared" si="25"/>
        <v>76358009.053082049</v>
      </c>
      <c r="I112" s="4">
        <f t="shared" si="25"/>
        <v>84521649.475135446</v>
      </c>
      <c r="J112" s="4">
        <f t="shared" si="25"/>
        <v>86779157.616141632</v>
      </c>
      <c r="K112" s="4">
        <f t="shared" si="25"/>
        <v>90098893.926244944</v>
      </c>
      <c r="L112" s="4">
        <f t="shared" si="25"/>
        <v>94206612.141361311</v>
      </c>
      <c r="M112" s="4">
        <f t="shared" si="25"/>
        <v>96636580.496809557</v>
      </c>
      <c r="N112" s="4">
        <f t="shared" si="25"/>
        <v>99089711.18084982</v>
      </c>
      <c r="O112" s="4">
        <f t="shared" si="25"/>
        <v>102796129.6560953</v>
      </c>
      <c r="P112" s="4">
        <f t="shared" si="25"/>
        <v>109394291.23141502</v>
      </c>
      <c r="Q112" s="4">
        <f t="shared" si="25"/>
        <v>116028192.84860106</v>
      </c>
      <c r="R112" s="4">
        <f t="shared" si="25"/>
        <v>121924694.76621352</v>
      </c>
      <c r="S112" s="4">
        <f t="shared" si="25"/>
        <v>128324564.64064163</v>
      </c>
      <c r="T112" s="4">
        <f t="shared" si="25"/>
        <v>133319100.47688955</v>
      </c>
      <c r="U112" s="4">
        <f t="shared" si="25"/>
        <v>147113125.86225048</v>
      </c>
      <c r="V112" s="11"/>
    </row>
    <row r="113" spans="1:23" s="4" customFormat="1" x14ac:dyDescent="0.25">
      <c r="V113" s="16">
        <f>+V111/C115/1000</f>
        <v>319.81114317880537</v>
      </c>
    </row>
    <row r="114" spans="1:23" s="4" customFormat="1" x14ac:dyDescent="0.25">
      <c r="A114" s="8" t="s">
        <v>72</v>
      </c>
      <c r="C114" s="12">
        <v>6.5000000000000002E-2</v>
      </c>
      <c r="V114" s="11"/>
    </row>
    <row r="115" spans="1:23" s="4" customFormat="1" x14ac:dyDescent="0.25">
      <c r="A115" s="17" t="s">
        <v>64</v>
      </c>
      <c r="C115" s="4">
        <v>460</v>
      </c>
      <c r="D115" s="4" t="s">
        <v>66</v>
      </c>
      <c r="V115" s="11"/>
    </row>
    <row r="116" spans="1:23" x14ac:dyDescent="0.25">
      <c r="A116" s="17" t="s">
        <v>39</v>
      </c>
      <c r="C116" s="4">
        <v>0</v>
      </c>
      <c r="U116" s="18">
        <v>5842000</v>
      </c>
      <c r="V116" s="23">
        <f>SUM(C116:U116)</f>
        <v>5842000</v>
      </c>
      <c r="W116" s="19" t="str">
        <f>W106</f>
        <v>Rodney Malcolm</v>
      </c>
    </row>
    <row r="117" spans="1:23" s="4" customFormat="1" x14ac:dyDescent="0.25">
      <c r="A117" s="8"/>
      <c r="C117" s="12"/>
      <c r="V117" s="11"/>
    </row>
    <row r="118" spans="1:23" x14ac:dyDescent="0.25">
      <c r="A118" s="17" t="s">
        <v>69</v>
      </c>
      <c r="C118" s="4">
        <f t="shared" ref="C118:U118" si="26">+C111-C105</f>
        <v>16673404</v>
      </c>
      <c r="D118" s="4">
        <f t="shared" si="26"/>
        <v>40789611.111111112</v>
      </c>
      <c r="E118" s="4">
        <f t="shared" si="26"/>
        <v>4117534.5396825392</v>
      </c>
      <c r="F118" s="4">
        <f t="shared" si="26"/>
        <v>4230034.5396825392</v>
      </c>
      <c r="G118" s="4">
        <f t="shared" si="26"/>
        <v>4230034.5396825392</v>
      </c>
      <c r="H118" s="4">
        <f t="shared" si="26"/>
        <v>4670034.5396825392</v>
      </c>
      <c r="I118" s="4">
        <f t="shared" si="26"/>
        <v>7750034.5396825392</v>
      </c>
      <c r="J118" s="4">
        <f t="shared" si="26"/>
        <v>1799682.5396825396</v>
      </c>
      <c r="K118" s="4">
        <f t="shared" si="26"/>
        <v>2849682.5396825392</v>
      </c>
      <c r="L118" s="4">
        <f t="shared" si="26"/>
        <v>3619682.5396825396</v>
      </c>
      <c r="M118" s="4">
        <f t="shared" si="26"/>
        <v>1919682.5396825399</v>
      </c>
      <c r="N118" s="4">
        <f t="shared" si="26"/>
        <v>1929682.5396825399</v>
      </c>
      <c r="O118" s="4">
        <f t="shared" si="26"/>
        <v>3169682.5396825392</v>
      </c>
      <c r="P118" s="4">
        <f t="shared" si="26"/>
        <v>6041349.206349209</v>
      </c>
      <c r="Q118" s="4">
        <f t="shared" si="26"/>
        <v>6041349.206349209</v>
      </c>
      <c r="R118" s="4">
        <f t="shared" si="26"/>
        <v>5268015.8730158759</v>
      </c>
      <c r="S118" s="4">
        <f t="shared" si="26"/>
        <v>5739444.4444444478</v>
      </c>
      <c r="T118" s="4">
        <f t="shared" si="26"/>
        <v>4299444.444444444</v>
      </c>
      <c r="U118" s="4">
        <f t="shared" si="26"/>
        <v>13071880.257777778</v>
      </c>
      <c r="V118" s="23">
        <f>SUM(C118:U118)</f>
        <v>138210266.47999999</v>
      </c>
    </row>
    <row r="120" spans="1:23" x14ac:dyDescent="0.25">
      <c r="A120" s="17" t="s">
        <v>70</v>
      </c>
      <c r="C120" s="18">
        <f t="shared" ref="C120:T120" si="27">+C112+C75+C36</f>
        <v>53134117</v>
      </c>
      <c r="D120" s="18">
        <f t="shared" si="27"/>
        <v>124266800.33333333</v>
      </c>
      <c r="E120" s="18">
        <f t="shared" si="27"/>
        <v>177479740.35894841</v>
      </c>
      <c r="F120" s="18">
        <f t="shared" si="27"/>
        <v>199684895.14303556</v>
      </c>
      <c r="G120" s="18">
        <f t="shared" si="27"/>
        <v>217963588.84886986</v>
      </c>
      <c r="H120" s="18">
        <f t="shared" si="27"/>
        <v>234152892.14561081</v>
      </c>
      <c r="I120" s="18">
        <f t="shared" si="27"/>
        <v>259429687.5018757</v>
      </c>
      <c r="J120" s="18">
        <f t="shared" si="27"/>
        <v>273980546.83298701</v>
      </c>
      <c r="K120" s="18">
        <f t="shared" si="27"/>
        <v>288822887.31880862</v>
      </c>
      <c r="L120" s="18">
        <f t="shared" si="27"/>
        <v>308281685.81559503</v>
      </c>
      <c r="M120" s="18">
        <f t="shared" si="27"/>
        <v>324152171.13757229</v>
      </c>
      <c r="N120" s="18">
        <f t="shared" si="27"/>
        <v>344377777.588377</v>
      </c>
      <c r="O120" s="18">
        <f t="shared" si="27"/>
        <v>373661901.40745693</v>
      </c>
      <c r="P120" s="18">
        <f t="shared" si="27"/>
        <v>395401445.23055685</v>
      </c>
      <c r="Q120" s="18">
        <f t="shared" si="27"/>
        <v>418566444.58269858</v>
      </c>
      <c r="R120" s="18">
        <f t="shared" si="27"/>
        <v>441355887.68133104</v>
      </c>
      <c r="S120" s="18">
        <f t="shared" si="27"/>
        <v>461726630.73960495</v>
      </c>
      <c r="T120" s="18">
        <f t="shared" si="27"/>
        <v>478767715.32277775</v>
      </c>
      <c r="U120" s="18">
        <f>+U112+U75+U36</f>
        <v>529238861.02077621</v>
      </c>
    </row>
    <row r="121" spans="1:23" x14ac:dyDescent="0.25">
      <c r="A121" s="4"/>
      <c r="C121" s="18">
        <f t="shared" ref="C121:T121" si="28">+C116+C79+C40</f>
        <v>0</v>
      </c>
      <c r="D121" s="18">
        <f t="shared" si="28"/>
        <v>0</v>
      </c>
      <c r="E121" s="18">
        <f t="shared" si="28"/>
        <v>0</v>
      </c>
      <c r="F121" s="18">
        <f t="shared" si="28"/>
        <v>0</v>
      </c>
      <c r="G121" s="18">
        <f t="shared" si="28"/>
        <v>0</v>
      </c>
      <c r="H121" s="18">
        <f t="shared" si="28"/>
        <v>0</v>
      </c>
      <c r="I121" s="18">
        <f t="shared" si="28"/>
        <v>0</v>
      </c>
      <c r="J121" s="18">
        <f t="shared" si="28"/>
        <v>0</v>
      </c>
      <c r="K121" s="18">
        <f t="shared" si="28"/>
        <v>0</v>
      </c>
      <c r="L121" s="18">
        <f t="shared" si="28"/>
        <v>0</v>
      </c>
      <c r="M121" s="18">
        <f t="shared" si="28"/>
        <v>0</v>
      </c>
      <c r="N121" s="18">
        <f t="shared" si="28"/>
        <v>0</v>
      </c>
      <c r="O121" s="18">
        <f t="shared" si="28"/>
        <v>0</v>
      </c>
      <c r="P121" s="18">
        <f t="shared" si="28"/>
        <v>0</v>
      </c>
      <c r="Q121" s="18">
        <f t="shared" si="28"/>
        <v>0</v>
      </c>
      <c r="R121" s="18">
        <f t="shared" si="28"/>
        <v>0</v>
      </c>
      <c r="S121" s="18">
        <f t="shared" si="28"/>
        <v>0</v>
      </c>
      <c r="T121" s="18">
        <f t="shared" si="28"/>
        <v>0</v>
      </c>
      <c r="U121" s="18">
        <f>+U116+U79+U40</f>
        <v>19520000</v>
      </c>
    </row>
    <row r="122" spans="1:23" x14ac:dyDescent="0.25">
      <c r="A122" s="17" t="s">
        <v>71</v>
      </c>
      <c r="C122" s="18">
        <f t="shared" ref="C122:T122" si="29">+C120+C121</f>
        <v>53134117</v>
      </c>
      <c r="D122" s="18">
        <f t="shared" si="29"/>
        <v>124266800.33333333</v>
      </c>
      <c r="E122" s="18">
        <f t="shared" si="29"/>
        <v>177479740.35894841</v>
      </c>
      <c r="F122" s="18">
        <f t="shared" si="29"/>
        <v>199684895.14303556</v>
      </c>
      <c r="G122" s="18">
        <f t="shared" si="29"/>
        <v>217963588.84886986</v>
      </c>
      <c r="H122" s="18">
        <f t="shared" si="29"/>
        <v>234152892.14561081</v>
      </c>
      <c r="I122" s="18">
        <f t="shared" si="29"/>
        <v>259429687.5018757</v>
      </c>
      <c r="J122" s="18">
        <f t="shared" si="29"/>
        <v>273980546.83298701</v>
      </c>
      <c r="K122" s="18">
        <f t="shared" si="29"/>
        <v>288822887.31880862</v>
      </c>
      <c r="L122" s="18">
        <f t="shared" si="29"/>
        <v>308281685.81559503</v>
      </c>
      <c r="M122" s="18">
        <f t="shared" si="29"/>
        <v>324152171.13757229</v>
      </c>
      <c r="N122" s="18">
        <f t="shared" si="29"/>
        <v>344377777.588377</v>
      </c>
      <c r="O122" s="18">
        <f t="shared" si="29"/>
        <v>373661901.40745693</v>
      </c>
      <c r="P122" s="18">
        <f t="shared" si="29"/>
        <v>395401445.23055685</v>
      </c>
      <c r="Q122" s="18">
        <f t="shared" si="29"/>
        <v>418566444.58269858</v>
      </c>
      <c r="R122" s="18">
        <f t="shared" si="29"/>
        <v>441355887.68133104</v>
      </c>
      <c r="S122" s="18">
        <f t="shared" si="29"/>
        <v>461726630.73960495</v>
      </c>
      <c r="T122" s="18">
        <f t="shared" si="29"/>
        <v>478767715.32277775</v>
      </c>
      <c r="U122" s="18">
        <f>+U120+U121</f>
        <v>548758861.02077627</v>
      </c>
    </row>
  </sheetData>
  <mergeCells count="2">
    <mergeCell ref="D5:O5"/>
    <mergeCell ref="P5:V5"/>
  </mergeCells>
  <printOptions horizontalCentered="1"/>
  <pageMargins left="0.25" right="0.25" top="0.5" bottom="0.5" header="0.25" footer="0.5"/>
  <pageSetup scale="35" orientation="landscape" horizontalDpi="300" verticalDpi="300" r:id="rId1"/>
  <headerFooter alignWithMargins="0"/>
  <rowBreaks count="2" manualBreakCount="2">
    <brk id="43" max="16383" man="1"/>
    <brk id="82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33"/>
  <sheetViews>
    <sheetView topLeftCell="N1" workbookViewId="0">
      <selection activeCell="V18" sqref="V18"/>
    </sheetView>
  </sheetViews>
  <sheetFormatPr defaultRowHeight="13.2" x14ac:dyDescent="0.25"/>
  <cols>
    <col min="1" max="1" width="23.44140625" customWidth="1"/>
    <col min="2" max="2" width="2" customWidth="1"/>
    <col min="3" max="3" width="11.33203125" bestFit="1" customWidth="1"/>
    <col min="4" max="21" width="12.33203125" bestFit="1" customWidth="1"/>
    <col min="22" max="22" width="14.6640625" customWidth="1"/>
    <col min="23" max="25" width="12.33203125" bestFit="1" customWidth="1"/>
    <col min="26" max="26" width="13.88671875" bestFit="1" customWidth="1"/>
    <col min="27" max="27" width="12.33203125" bestFit="1" customWidth="1"/>
  </cols>
  <sheetData>
    <row r="1" spans="1:31" ht="15.6" x14ac:dyDescent="0.3">
      <c r="A1" s="1" t="s">
        <v>0</v>
      </c>
    </row>
    <row r="2" spans="1:31" ht="15.6" x14ac:dyDescent="0.3">
      <c r="A2" s="1" t="s">
        <v>1</v>
      </c>
    </row>
    <row r="3" spans="1:31" ht="15.6" x14ac:dyDescent="0.3">
      <c r="A3" s="1" t="s">
        <v>103</v>
      </c>
    </row>
    <row r="4" spans="1:31" ht="15.6" x14ac:dyDescent="0.3">
      <c r="A4" s="1" t="s">
        <v>2</v>
      </c>
    </row>
    <row r="7" spans="1:31" s="6" customFormat="1" x14ac:dyDescent="0.25">
      <c r="A7" s="5"/>
      <c r="C7" s="7">
        <v>1998</v>
      </c>
      <c r="D7" s="60" t="s">
        <v>3</v>
      </c>
      <c r="E7" s="60"/>
      <c r="F7" s="60"/>
      <c r="G7" s="60"/>
      <c r="H7" s="60"/>
      <c r="I7" s="60"/>
      <c r="J7" s="60"/>
      <c r="K7" s="60"/>
      <c r="L7" s="60"/>
      <c r="M7" s="60"/>
      <c r="N7" s="60"/>
      <c r="O7" s="60"/>
      <c r="P7" s="60" t="s">
        <v>4</v>
      </c>
      <c r="Q7" s="60"/>
      <c r="R7" s="60"/>
      <c r="S7" s="60"/>
      <c r="T7" s="60"/>
      <c r="U7" s="60"/>
      <c r="V7" s="60"/>
    </row>
    <row r="8" spans="1:31" s="6" customFormat="1" x14ac:dyDescent="0.25">
      <c r="C8" s="6" t="s">
        <v>5</v>
      </c>
      <c r="D8" s="6" t="s">
        <v>12</v>
      </c>
      <c r="E8" s="6" t="s">
        <v>13</v>
      </c>
      <c r="F8" s="6" t="s">
        <v>14</v>
      </c>
      <c r="G8" s="6" t="s">
        <v>15</v>
      </c>
      <c r="H8" s="6" t="s">
        <v>16</v>
      </c>
      <c r="I8" s="6" t="s">
        <v>17</v>
      </c>
      <c r="J8" s="6" t="s">
        <v>6</v>
      </c>
      <c r="K8" s="6" t="s">
        <v>7</v>
      </c>
      <c r="L8" s="6" t="s">
        <v>8</v>
      </c>
      <c r="M8" s="6" t="s">
        <v>9</v>
      </c>
      <c r="N8" s="6" t="s">
        <v>10</v>
      </c>
      <c r="O8" s="6" t="s">
        <v>11</v>
      </c>
      <c r="P8" s="6" t="s">
        <v>12</v>
      </c>
      <c r="Q8" s="6" t="s">
        <v>13</v>
      </c>
      <c r="R8" s="6" t="s">
        <v>14</v>
      </c>
      <c r="S8" s="6" t="s">
        <v>15</v>
      </c>
      <c r="T8" s="6" t="s">
        <v>16</v>
      </c>
      <c r="U8" s="6" t="s">
        <v>17</v>
      </c>
      <c r="V8" s="31" t="s">
        <v>5</v>
      </c>
    </row>
    <row r="9" spans="1:31" s="6" customFormat="1" ht="19.2" x14ac:dyDescent="0.6">
      <c r="A9" s="32" t="s">
        <v>80</v>
      </c>
      <c r="U9" s="31"/>
      <c r="V9" s="31"/>
    </row>
    <row r="10" spans="1:31" x14ac:dyDescent="0.25"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</row>
    <row r="11" spans="1:31" x14ac:dyDescent="0.25">
      <c r="A11" s="5" t="s">
        <v>99</v>
      </c>
      <c r="C11" s="44">
        <f>Wilton!C47</f>
        <v>7140000</v>
      </c>
      <c r="D11" s="44">
        <f>Wilton!D47</f>
        <v>1296410</v>
      </c>
      <c r="E11" s="44">
        <f>Wilton!E47</f>
        <v>33024184</v>
      </c>
      <c r="F11" s="44">
        <f>Wilton!F47</f>
        <v>225882.6</v>
      </c>
      <c r="G11" s="44">
        <f>Wilton!G47</f>
        <v>1752232.9</v>
      </c>
      <c r="H11" s="44">
        <f>Wilton!H47</f>
        <v>18800373.5</v>
      </c>
      <c r="I11" s="44">
        <f>Wilton!I47</f>
        <v>8037788.4025208326</v>
      </c>
      <c r="J11" s="44">
        <f>Wilton!J47</f>
        <v>8808343.9620608743</v>
      </c>
      <c r="K11" s="44">
        <f>Wilton!K47</f>
        <v>6987028.9287220389</v>
      </c>
      <c r="L11" s="44">
        <f>Wilton!L47</f>
        <v>7789242.4890361028</v>
      </c>
      <c r="M11" s="44">
        <f>Wilton!M47</f>
        <v>11600775.830858508</v>
      </c>
      <c r="N11" s="44">
        <f>Wilton!N47</f>
        <v>17679921.627210379</v>
      </c>
      <c r="O11" s="44">
        <f>Wilton!O47</f>
        <v>39310183.408628598</v>
      </c>
      <c r="P11" s="44">
        <f>Wilton!P47</f>
        <v>2894167.0192378405</v>
      </c>
      <c r="Q11" s="44">
        <f>Wilton!Q47</f>
        <v>28744296.684247602</v>
      </c>
      <c r="R11" s="44">
        <f>Wilton!R47</f>
        <v>18404590.760949776</v>
      </c>
      <c r="S11" s="44">
        <f>Wilton!S47</f>
        <v>16252970.101453532</v>
      </c>
      <c r="T11" s="44">
        <f>Wilton!T47</f>
        <v>9189640.2856780719</v>
      </c>
      <c r="U11" s="44">
        <f>Wilton!U47</f>
        <v>16366766.435496327</v>
      </c>
      <c r="V11" s="44">
        <f>Wilton!Y47</f>
        <v>254304798.93610051</v>
      </c>
      <c r="W11" s="44"/>
      <c r="X11" s="44"/>
      <c r="Y11" s="44"/>
      <c r="Z11" s="44"/>
      <c r="AA11" s="44"/>
      <c r="AB11" s="44"/>
      <c r="AC11" s="44"/>
      <c r="AD11" s="44"/>
      <c r="AE11" s="44"/>
    </row>
    <row r="12" spans="1:31" x14ac:dyDescent="0.25"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44"/>
      <c r="N12" s="44"/>
      <c r="O12" s="44"/>
      <c r="P12" s="44"/>
      <c r="Q12" s="44"/>
      <c r="R12" s="44"/>
      <c r="S12" s="44"/>
      <c r="T12" s="44"/>
      <c r="U12" s="44"/>
      <c r="V12" s="44"/>
      <c r="W12" s="44"/>
      <c r="X12" s="44"/>
      <c r="Y12" s="44"/>
      <c r="Z12" s="44"/>
      <c r="AA12" s="44"/>
      <c r="AB12" s="44"/>
      <c r="AC12" s="44"/>
      <c r="AD12" s="44"/>
      <c r="AE12" s="44"/>
    </row>
    <row r="13" spans="1:31" x14ac:dyDescent="0.25">
      <c r="A13" s="5" t="s">
        <v>116</v>
      </c>
      <c r="C13" s="44">
        <f>Gleason!C47</f>
        <v>0</v>
      </c>
      <c r="D13" s="44">
        <f>Gleason!D47</f>
        <v>0</v>
      </c>
      <c r="E13" s="44">
        <f>Gleason!E47</f>
        <v>0</v>
      </c>
      <c r="F13" s="44">
        <f>Gleason!F47</f>
        <v>0</v>
      </c>
      <c r="G13" s="44">
        <f>Gleason!G47</f>
        <v>0</v>
      </c>
      <c r="H13" s="44">
        <f>Gleason!H47</f>
        <v>0</v>
      </c>
      <c r="I13" s="44">
        <f>Gleason!I47</f>
        <v>0</v>
      </c>
      <c r="J13" s="44">
        <f>Gleason!J47</f>
        <v>0</v>
      </c>
      <c r="K13" s="44">
        <f>Gleason!L47</f>
        <v>93174572.049999997</v>
      </c>
      <c r="L13" s="44">
        <f>Gleason!M47</f>
        <v>706459.92999999993</v>
      </c>
      <c r="M13" s="44">
        <f>Gleason!N47</f>
        <v>2178270.2560097221</v>
      </c>
      <c r="N13" s="44">
        <f>Gleason!O47</f>
        <v>7520808.7565631075</v>
      </c>
      <c r="O13" s="44">
        <f>Gleason!P47</f>
        <v>2620724.5786069916</v>
      </c>
      <c r="P13" s="44">
        <f>Gleason!Q47</f>
        <v>8237707.505691112</v>
      </c>
      <c r="Q13" s="44">
        <f>Gleason!R47</f>
        <v>12213468.945941154</v>
      </c>
      <c r="R13" s="44">
        <f>Gleason!S47</f>
        <v>10343018.251029588</v>
      </c>
      <c r="S13" s="44">
        <f>Gleason!T47</f>
        <v>10448301.719166407</v>
      </c>
      <c r="T13" s="44">
        <f>Gleason!U47</f>
        <v>8288014.7286031013</v>
      </c>
      <c r="U13" s="44">
        <f>Gleason!V47</f>
        <v>22666313.99904345</v>
      </c>
      <c r="V13" s="44">
        <f>Gleason!Z47</f>
        <v>175897369.72065461</v>
      </c>
      <c r="W13" s="44"/>
      <c r="X13" s="44"/>
      <c r="Y13" s="44"/>
      <c r="Z13" s="44"/>
      <c r="AA13" s="44"/>
      <c r="AB13" s="44"/>
      <c r="AC13" s="44"/>
      <c r="AD13" s="44"/>
      <c r="AE13" s="44"/>
    </row>
    <row r="14" spans="1:31" x14ac:dyDescent="0.25">
      <c r="C14" s="44"/>
      <c r="D14" s="44"/>
      <c r="E14" s="44"/>
      <c r="F14" s="44"/>
      <c r="G14" s="44"/>
      <c r="H14" s="44"/>
      <c r="I14" s="44"/>
      <c r="J14" s="44"/>
      <c r="K14" s="44"/>
      <c r="L14" s="44"/>
      <c r="M14" s="44"/>
      <c r="N14" s="44"/>
      <c r="O14" s="44"/>
      <c r="P14" s="44"/>
      <c r="Q14" s="44"/>
      <c r="R14" s="44"/>
      <c r="S14" s="44"/>
      <c r="T14" s="44"/>
      <c r="U14" s="44"/>
      <c r="V14" s="44"/>
      <c r="W14" s="44"/>
      <c r="X14" s="44"/>
      <c r="Y14" s="44"/>
      <c r="Z14" s="44"/>
      <c r="AA14" s="44"/>
      <c r="AB14" s="44"/>
      <c r="AC14" s="44"/>
      <c r="AD14" s="44"/>
      <c r="AE14" s="44"/>
    </row>
    <row r="15" spans="1:31" x14ac:dyDescent="0.25">
      <c r="A15" s="4" t="s">
        <v>100</v>
      </c>
      <c r="C15" s="44">
        <f>Wheatland!C46</f>
        <v>17087218</v>
      </c>
      <c r="D15" s="44">
        <f>Wheatland!D46</f>
        <v>43641491</v>
      </c>
      <c r="E15" s="44">
        <f>Wheatland!E46</f>
        <v>4681548</v>
      </c>
      <c r="F15" s="44">
        <f>Wheatland!F46</f>
        <v>362603.6</v>
      </c>
      <c r="G15" s="44">
        <f>Wheatland!G46</f>
        <v>4745094.5900000008</v>
      </c>
      <c r="H15" s="44">
        <f>Wheatland!H46</f>
        <v>9091692.2300000004</v>
      </c>
      <c r="I15" s="44">
        <f>Wheatland!I46</f>
        <v>497761.12862083339</v>
      </c>
      <c r="J15" s="44">
        <f>Wheatland!J46</f>
        <v>1048367.4821383629</v>
      </c>
      <c r="K15" s="44">
        <f>Wheatland!K46</f>
        <v>1496281.6764166122</v>
      </c>
      <c r="L15" s="44">
        <f>Wheatland!L46</f>
        <v>1780115.93</v>
      </c>
      <c r="M15" s="44">
        <f>Wheatland!M46</f>
        <v>1566383.4088402581</v>
      </c>
      <c r="N15" s="44">
        <f>Wheatland!N46</f>
        <v>5481999.3409659201</v>
      </c>
      <c r="O15" s="44">
        <f>Wheatland!O46</f>
        <v>4425759.3</v>
      </c>
      <c r="P15" s="44">
        <f>Wheatland!P46</f>
        <v>8700648.7284433749</v>
      </c>
      <c r="Q15" s="44">
        <f>Wheatland!Q46</f>
        <v>11335449.206430044</v>
      </c>
      <c r="R15" s="44">
        <f>Wheatland!R46</f>
        <v>11748935.142148847</v>
      </c>
      <c r="S15" s="44">
        <f>Wheatland!S46</f>
        <v>8601371.1957938205</v>
      </c>
      <c r="T15" s="44">
        <f>Wheatland!T46</f>
        <v>7913550.1361693675</v>
      </c>
      <c r="U15" s="44">
        <f>Wheatland!U46</f>
        <v>16311867.782637408</v>
      </c>
      <c r="V15" s="44">
        <f>Wheatland!Y46</f>
        <v>161695008.60580486</v>
      </c>
      <c r="W15" s="44"/>
      <c r="X15" s="44"/>
      <c r="Y15" s="44"/>
      <c r="Z15" s="44"/>
      <c r="AA15" s="44"/>
      <c r="AB15" s="44"/>
      <c r="AC15" s="44"/>
      <c r="AD15" s="44"/>
      <c r="AE15" s="44"/>
    </row>
    <row r="16" spans="1:31" x14ac:dyDescent="0.25"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4"/>
      <c r="X16" s="44"/>
      <c r="Y16" s="44"/>
      <c r="Z16" s="44"/>
      <c r="AA16" s="44"/>
      <c r="AB16" s="44"/>
      <c r="AC16" s="44"/>
      <c r="AD16" s="44"/>
      <c r="AE16" s="44"/>
    </row>
    <row r="17" spans="1:45" x14ac:dyDescent="0.25">
      <c r="A17" s="45" t="s">
        <v>101</v>
      </c>
      <c r="C17" s="44">
        <f>SUM(C10:C15)</f>
        <v>24227218</v>
      </c>
      <c r="D17" s="44">
        <f t="shared" ref="D17:V17" si="0">SUM(D10:D15)</f>
        <v>44937901</v>
      </c>
      <c r="E17" s="44">
        <f t="shared" si="0"/>
        <v>37705732</v>
      </c>
      <c r="F17" s="44">
        <f t="shared" si="0"/>
        <v>588486.19999999995</v>
      </c>
      <c r="G17" s="44">
        <f t="shared" si="0"/>
        <v>6497327.4900000002</v>
      </c>
      <c r="H17" s="44">
        <f t="shared" si="0"/>
        <v>27892065.73</v>
      </c>
      <c r="I17" s="44">
        <f t="shared" si="0"/>
        <v>8535549.5311416667</v>
      </c>
      <c r="J17" s="44">
        <f t="shared" si="0"/>
        <v>9856711.444199238</v>
      </c>
      <c r="K17" s="44">
        <f t="shared" si="0"/>
        <v>101657882.65513864</v>
      </c>
      <c r="L17" s="44">
        <f t="shared" si="0"/>
        <v>10275818.349036103</v>
      </c>
      <c r="M17" s="44">
        <f t="shared" si="0"/>
        <v>15345429.495708488</v>
      </c>
      <c r="N17" s="44">
        <f t="shared" si="0"/>
        <v>30682729.724739406</v>
      </c>
      <c r="O17" s="44">
        <f t="shared" si="0"/>
        <v>46356667.287235588</v>
      </c>
      <c r="P17" s="44">
        <f t="shared" si="0"/>
        <v>19832523.253372326</v>
      </c>
      <c r="Q17" s="44">
        <f t="shared" si="0"/>
        <v>52293214.836618796</v>
      </c>
      <c r="R17" s="44">
        <f t="shared" si="0"/>
        <v>40496544.154128209</v>
      </c>
      <c r="S17" s="44">
        <f t="shared" si="0"/>
        <v>35302643.016413763</v>
      </c>
      <c r="T17" s="44">
        <f t="shared" si="0"/>
        <v>25391205.150450539</v>
      </c>
      <c r="U17" s="44">
        <f t="shared" si="0"/>
        <v>55344948.21717719</v>
      </c>
      <c r="V17" s="44">
        <f t="shared" si="0"/>
        <v>591897177.26255989</v>
      </c>
      <c r="W17" s="44"/>
      <c r="X17" s="44"/>
      <c r="Y17" s="44"/>
      <c r="Z17" s="44"/>
      <c r="AA17" s="44"/>
      <c r="AB17" s="44"/>
      <c r="AC17" s="44"/>
      <c r="AD17" s="44"/>
      <c r="AE17" s="44"/>
    </row>
    <row r="18" spans="1:45" s="4" customFormat="1" x14ac:dyDescent="0.25">
      <c r="A18" s="4" t="s">
        <v>102</v>
      </c>
      <c r="C18" s="4">
        <f>C17</f>
        <v>24227218</v>
      </c>
      <c r="D18" s="4">
        <f t="shared" ref="D18:U18" si="1">C18+D17</f>
        <v>69165119</v>
      </c>
      <c r="E18" s="4">
        <f t="shared" si="1"/>
        <v>106870851</v>
      </c>
      <c r="F18" s="4">
        <f t="shared" si="1"/>
        <v>107459337.2</v>
      </c>
      <c r="G18" s="4">
        <f t="shared" si="1"/>
        <v>113956664.69</v>
      </c>
      <c r="H18" s="4">
        <f t="shared" si="1"/>
        <v>141848730.41999999</v>
      </c>
      <c r="I18" s="4">
        <f t="shared" si="1"/>
        <v>150384279.95114166</v>
      </c>
      <c r="J18" s="4">
        <f t="shared" si="1"/>
        <v>160240991.39534089</v>
      </c>
      <c r="K18" s="4">
        <f t="shared" si="1"/>
        <v>261898874.05047953</v>
      </c>
      <c r="L18" s="4">
        <f t="shared" si="1"/>
        <v>272174692.39951563</v>
      </c>
      <c r="M18" s="4">
        <f t="shared" si="1"/>
        <v>287520121.89522409</v>
      </c>
      <c r="N18" s="4">
        <f t="shared" si="1"/>
        <v>318202851.61996353</v>
      </c>
      <c r="O18" s="4">
        <f t="shared" si="1"/>
        <v>364559518.90719914</v>
      </c>
      <c r="P18" s="4">
        <f t="shared" si="1"/>
        <v>384392042.16057146</v>
      </c>
      <c r="Q18" s="4">
        <f t="shared" si="1"/>
        <v>436685256.99719024</v>
      </c>
      <c r="R18" s="4">
        <f t="shared" si="1"/>
        <v>477181801.15131843</v>
      </c>
      <c r="S18" s="4">
        <f t="shared" si="1"/>
        <v>512484444.16773218</v>
      </c>
      <c r="T18" s="4">
        <f t="shared" si="1"/>
        <v>537875649.31818271</v>
      </c>
      <c r="U18" s="9">
        <f t="shared" si="1"/>
        <v>593220597.53535986</v>
      </c>
      <c r="V18" s="9"/>
      <c r="W18" s="9"/>
      <c r="X18" s="9"/>
      <c r="Y18" s="9"/>
      <c r="Z18" s="9"/>
      <c r="AA18" s="9"/>
    </row>
    <row r="19" spans="1:45" s="4" customFormat="1" x14ac:dyDescent="0.25"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</row>
    <row r="20" spans="1:45" s="49" customFormat="1" x14ac:dyDescent="0.25"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50"/>
      <c r="W20" s="50"/>
      <c r="X20" s="50"/>
      <c r="Y20" s="50"/>
      <c r="Z20" s="50"/>
      <c r="AA20" s="50"/>
      <c r="AB20" s="44"/>
      <c r="AC20" s="44"/>
      <c r="AD20" s="44"/>
      <c r="AE20" s="44"/>
    </row>
    <row r="21" spans="1:45" s="49" customFormat="1" x14ac:dyDescent="0.25"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</row>
    <row r="22" spans="1:45" x14ac:dyDescent="0.25"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4"/>
      <c r="Y22" s="44"/>
      <c r="Z22" s="44"/>
      <c r="AA22" s="44"/>
      <c r="AB22" s="44"/>
      <c r="AC22" s="44"/>
      <c r="AD22" s="44"/>
      <c r="AE22" s="44"/>
    </row>
    <row r="23" spans="1:45" x14ac:dyDescent="0.25">
      <c r="C23" s="44"/>
      <c r="D23" s="44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/>
      <c r="AD23" s="44"/>
      <c r="AE23" s="44"/>
    </row>
    <row r="24" spans="1:45" x14ac:dyDescent="0.25">
      <c r="C24" s="44"/>
      <c r="D24" s="44"/>
      <c r="E24" s="44"/>
      <c r="F24" s="44"/>
      <c r="G24" s="44"/>
      <c r="H24" s="44"/>
      <c r="I24" s="44"/>
      <c r="J24" s="44"/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/>
      <c r="AD24" s="44"/>
      <c r="AE24" s="44"/>
    </row>
    <row r="25" spans="1:45" x14ac:dyDescent="0.25">
      <c r="C25" s="44"/>
      <c r="D25" s="44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/>
      <c r="AD25" s="44"/>
      <c r="AE25" s="44"/>
    </row>
    <row r="26" spans="1:45" x14ac:dyDescent="0.25"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/>
      <c r="AD26" s="44"/>
      <c r="AE26" s="44"/>
    </row>
    <row r="27" spans="1:45" x14ac:dyDescent="0.25"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</row>
    <row r="28" spans="1:45" x14ac:dyDescent="0.25"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/>
      <c r="AD28" s="44"/>
      <c r="AE28" s="44"/>
    </row>
    <row r="29" spans="1:45" x14ac:dyDescent="0.25">
      <c r="C29" s="44"/>
      <c r="D29" s="44"/>
      <c r="E29" s="44"/>
      <c r="F29" s="44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/>
      <c r="AD29" s="44"/>
      <c r="AE29" s="44"/>
    </row>
    <row r="30" spans="1:45" x14ac:dyDescent="0.25"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4"/>
      <c r="P30" s="44"/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44"/>
      <c r="AE30" s="44"/>
    </row>
    <row r="31" spans="1:45" x14ac:dyDescent="0.25"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</row>
    <row r="32" spans="1:45" x14ac:dyDescent="0.25">
      <c r="C32" s="44"/>
      <c r="D32" s="44"/>
      <c r="E32" s="44"/>
      <c r="F32" s="44"/>
      <c r="G32" s="44"/>
      <c r="H32" s="44"/>
      <c r="I32" s="44"/>
      <c r="J32" s="44"/>
      <c r="K32" s="44"/>
      <c r="L32" s="44"/>
      <c r="M32" s="44"/>
      <c r="N32" s="44"/>
      <c r="O32" s="44"/>
      <c r="P32" s="44"/>
      <c r="Q32" s="44"/>
      <c r="R32" s="44"/>
      <c r="S32" s="44"/>
      <c r="T32" s="44"/>
      <c r="U32" s="44"/>
      <c r="V32" s="44"/>
      <c r="W32" s="44"/>
      <c r="X32" s="44"/>
      <c r="Y32" s="44"/>
      <c r="Z32" s="44"/>
      <c r="AA32" s="44"/>
      <c r="AB32" s="44"/>
      <c r="AC32" s="44"/>
      <c r="AD32" s="44"/>
      <c r="AE32" s="44"/>
    </row>
    <row r="33" spans="3:31" x14ac:dyDescent="0.25">
      <c r="C33" s="44"/>
      <c r="D33" s="44"/>
      <c r="E33" s="44"/>
      <c r="F33" s="44"/>
      <c r="G33" s="44"/>
      <c r="H33" s="44"/>
      <c r="I33" s="44"/>
      <c r="J33" s="44"/>
      <c r="K33" s="44"/>
      <c r="L33" s="44"/>
      <c r="M33" s="44"/>
      <c r="N33" s="44"/>
      <c r="O33" s="44"/>
      <c r="P33" s="44"/>
      <c r="Q33" s="44"/>
      <c r="R33" s="44"/>
      <c r="S33" s="44"/>
      <c r="T33" s="44"/>
      <c r="U33" s="44"/>
      <c r="V33" s="44"/>
      <c r="W33" s="44"/>
      <c r="X33" s="44"/>
      <c r="Y33" s="44"/>
      <c r="Z33" s="44"/>
      <c r="AA33" s="44"/>
      <c r="AB33" s="44"/>
      <c r="AC33" s="44"/>
      <c r="AD33" s="44"/>
      <c r="AE33" s="44"/>
    </row>
  </sheetData>
  <mergeCells count="2">
    <mergeCell ref="D7:O7"/>
    <mergeCell ref="P7:V7"/>
  </mergeCells>
  <pageMargins left="0.18" right="0.16" top="1" bottom="1" header="0.5" footer="0.5"/>
  <pageSetup paperSize="5" scale="6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69"/>
  <sheetViews>
    <sheetView workbookViewId="0">
      <pane xSplit="2" ySplit="6" topLeftCell="M33" activePane="bottomRight" state="frozen"/>
      <selection activeCell="Z25" sqref="Z25"/>
      <selection pane="topRight" activeCell="Z25" sqref="Z25"/>
      <selection pane="bottomLeft" activeCell="Z25" sqref="Z25"/>
      <selection pane="bottomRight" activeCell="O37" sqref="O3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11" width="11.33203125" style="18" bestFit="1" customWidth="1"/>
    <col min="12" max="12" width="12.33203125" style="52" customWidth="1"/>
    <col min="13" max="13" width="11.88671875" style="18" bestFit="1" customWidth="1"/>
    <col min="14" max="14" width="11.88671875" style="18" customWidth="1"/>
    <col min="15" max="17" width="12.33203125" style="18" bestFit="1" customWidth="1"/>
    <col min="18" max="22" width="12.33203125" style="18" hidden="1" customWidth="1"/>
    <col min="23" max="23" width="12.88671875" style="18" hidden="1" customWidth="1"/>
    <col min="24" max="24" width="13.5546875" style="4" customWidth="1"/>
    <col min="25" max="25" width="20" style="18" customWidth="1"/>
    <col min="26" max="26" width="11.33203125" style="18" customWidth="1"/>
    <col min="27" max="16384" width="9.109375" style="18"/>
  </cols>
  <sheetData>
    <row r="1" spans="1:26" s="2" customFormat="1" ht="15.6" x14ac:dyDescent="0.3">
      <c r="A1" s="1" t="s">
        <v>0</v>
      </c>
      <c r="L1" s="51"/>
    </row>
    <row r="2" spans="1:26" s="2" customFormat="1" ht="15.6" x14ac:dyDescent="0.3">
      <c r="A2" s="1" t="s">
        <v>1</v>
      </c>
      <c r="D2" s="1" t="str">
        <f>Wilton!D2</f>
        <v>Last updated:  Actuals through December 24, 1999</v>
      </c>
      <c r="L2" s="51"/>
      <c r="X2" s="25" t="str">
        <f ca="1">CELL("filename")</f>
        <v>C:\TEMP\[~0026593.xls]Sheet1</v>
      </c>
    </row>
    <row r="3" spans="1:26" s="2" customFormat="1" ht="15.6" x14ac:dyDescent="0.3">
      <c r="A3" s="1" t="s">
        <v>2</v>
      </c>
      <c r="D3" s="26"/>
      <c r="F3" s="3"/>
      <c r="L3" s="51"/>
      <c r="X3" s="24">
        <f ca="1">NOW()</f>
        <v>36556.653485763891</v>
      </c>
    </row>
    <row r="4" spans="1:26" ht="15" x14ac:dyDescent="0.25">
      <c r="C4" s="12"/>
      <c r="D4" s="28"/>
    </row>
    <row r="5" spans="1:26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59" t="s">
        <v>116</v>
      </c>
      <c r="N5" s="59" t="s">
        <v>81</v>
      </c>
      <c r="O5" s="42"/>
      <c r="P5" s="42"/>
      <c r="Q5" s="42"/>
      <c r="R5" s="42" t="s">
        <v>4</v>
      </c>
      <c r="S5" s="42"/>
      <c r="T5" s="42"/>
      <c r="U5" s="42"/>
      <c r="V5" s="42"/>
      <c r="W5" s="42"/>
      <c r="X5" s="42"/>
    </row>
    <row r="6" spans="1:26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115</v>
      </c>
      <c r="N6" s="6" t="s">
        <v>117</v>
      </c>
      <c r="O6" s="6" t="s">
        <v>9</v>
      </c>
      <c r="P6" s="6" t="s">
        <v>10</v>
      </c>
      <c r="Q6" s="6" t="s">
        <v>11</v>
      </c>
      <c r="R6" s="6" t="s">
        <v>12</v>
      </c>
      <c r="S6" s="6" t="s">
        <v>13</v>
      </c>
      <c r="T6" s="6" t="s">
        <v>14</v>
      </c>
      <c r="U6" s="6" t="s">
        <v>15</v>
      </c>
      <c r="V6" s="6" t="s">
        <v>16</v>
      </c>
      <c r="W6" s="6" t="s">
        <v>17</v>
      </c>
      <c r="X6" s="14" t="s">
        <v>5</v>
      </c>
      <c r="Y6" s="14" t="s">
        <v>58</v>
      </c>
    </row>
    <row r="7" spans="1:26" s="6" customFormat="1" ht="19.2" x14ac:dyDescent="0.6">
      <c r="A7" s="32" t="s">
        <v>80</v>
      </c>
      <c r="X7" s="10"/>
      <c r="Y7" s="31"/>
    </row>
    <row r="8" spans="1:26" x14ac:dyDescent="0.25">
      <c r="A8" s="5" t="s">
        <v>34</v>
      </c>
      <c r="X8" s="11"/>
    </row>
    <row r="9" spans="1:26" x14ac:dyDescent="0.25">
      <c r="A9" s="5" t="s">
        <v>61</v>
      </c>
      <c r="X9" s="11"/>
    </row>
    <row r="10" spans="1:26" x14ac:dyDescent="0.25">
      <c r="A10" s="17" t="s">
        <v>35</v>
      </c>
      <c r="C10" s="4">
        <f>11990800+234000</f>
        <v>12224800</v>
      </c>
      <c r="D10" s="18">
        <v>31276400</v>
      </c>
      <c r="E10" s="18">
        <v>3107550</v>
      </c>
      <c r="G10" s="18">
        <v>3107250</v>
      </c>
      <c r="H10" s="18">
        <v>6240218.71</v>
      </c>
      <c r="J10" s="18">
        <v>107199</v>
      </c>
      <c r="K10" s="18">
        <v>393211</v>
      </c>
      <c r="M10" s="18">
        <f>-56349430-107199</f>
        <v>-56456629</v>
      </c>
      <c r="W10" s="17"/>
      <c r="X10" s="11">
        <f t="shared" ref="X10:X33" si="0">SUM(C10:W10)</f>
        <v>-0.28999999910593033</v>
      </c>
      <c r="Y10" s="15" t="s">
        <v>50</v>
      </c>
    </row>
    <row r="11" spans="1:26" x14ac:dyDescent="0.25">
      <c r="A11" s="17" t="s">
        <v>36</v>
      </c>
      <c r="C11" s="4">
        <v>17151750</v>
      </c>
      <c r="D11" s="17">
        <v>12474000</v>
      </c>
      <c r="E11" s="18">
        <v>0</v>
      </c>
      <c r="K11" s="18">
        <v>0</v>
      </c>
      <c r="M11" s="18">
        <f>-29625750</f>
        <v>-29625750</v>
      </c>
      <c r="X11" s="11">
        <f t="shared" si="0"/>
        <v>0</v>
      </c>
      <c r="Y11" s="15" t="s">
        <v>50</v>
      </c>
      <c r="Z11" s="18">
        <f>SUM(X10:X11)</f>
        <v>-0.28999999910593033</v>
      </c>
    </row>
    <row r="12" spans="1:26" x14ac:dyDescent="0.25">
      <c r="A12" s="17" t="s">
        <v>19</v>
      </c>
      <c r="C12" s="4">
        <v>0</v>
      </c>
      <c r="J12" s="18">
        <v>293461</v>
      </c>
      <c r="K12" s="18">
        <v>883701.65</v>
      </c>
      <c r="M12" s="18">
        <v>-1177162</v>
      </c>
      <c r="T12" s="17"/>
      <c r="X12" s="11">
        <f t="shared" si="0"/>
        <v>0.64999999990686774</v>
      </c>
      <c r="Y12" s="15" t="s">
        <v>50</v>
      </c>
      <c r="Z12" s="18">
        <v>5885811</v>
      </c>
    </row>
    <row r="13" spans="1:26" x14ac:dyDescent="0.25">
      <c r="A13" s="17" t="s">
        <v>105</v>
      </c>
      <c r="J13" s="18">
        <f>929800/12</f>
        <v>77483.333333333328</v>
      </c>
      <c r="K13" s="18">
        <f>929800/12</f>
        <v>77483.333333333328</v>
      </c>
      <c r="L13" s="52">
        <f>929800/12</f>
        <v>77483.333333333328</v>
      </c>
      <c r="M13" s="18">
        <v>-232450</v>
      </c>
      <c r="X13" s="11">
        <f t="shared" si="0"/>
        <v>0</v>
      </c>
      <c r="Y13" s="15" t="s">
        <v>50</v>
      </c>
      <c r="Z13" s="18">
        <v>929800</v>
      </c>
    </row>
    <row r="14" spans="1:26" x14ac:dyDescent="0.25">
      <c r="A14" s="17" t="s">
        <v>106</v>
      </c>
      <c r="J14" s="18">
        <f>2840700/12</f>
        <v>236725</v>
      </c>
      <c r="K14" s="18">
        <f>2840700/12</f>
        <v>236725</v>
      </c>
      <c r="L14" s="52">
        <f>2840700/12</f>
        <v>236725</v>
      </c>
      <c r="M14" s="18">
        <f>-710172-3</f>
        <v>-710175</v>
      </c>
      <c r="X14" s="11">
        <f t="shared" si="0"/>
        <v>0</v>
      </c>
      <c r="Y14" s="15" t="s">
        <v>50</v>
      </c>
      <c r="Z14" s="18">
        <v>2840700</v>
      </c>
    </row>
    <row r="15" spans="1:26" x14ac:dyDescent="0.25">
      <c r="A15" s="17" t="s">
        <v>107</v>
      </c>
      <c r="X15" s="11">
        <f t="shared" si="0"/>
        <v>0</v>
      </c>
      <c r="Y15" s="15" t="s">
        <v>50</v>
      </c>
      <c r="Z15" s="18">
        <v>3066700</v>
      </c>
    </row>
    <row r="16" spans="1:26" x14ac:dyDescent="0.25">
      <c r="A16" s="17" t="s">
        <v>109</v>
      </c>
      <c r="C16" s="4">
        <v>0</v>
      </c>
      <c r="K16" s="18">
        <v>0</v>
      </c>
      <c r="X16" s="11">
        <f t="shared" si="0"/>
        <v>0</v>
      </c>
      <c r="Y16" s="15" t="s">
        <v>50</v>
      </c>
      <c r="Z16" s="18">
        <f>41741400-X17-X18</f>
        <v>41741400</v>
      </c>
    </row>
    <row r="17" spans="1:26" x14ac:dyDescent="0.25">
      <c r="A17" s="17" t="s">
        <v>108</v>
      </c>
      <c r="X17" s="11">
        <f t="shared" si="0"/>
        <v>0</v>
      </c>
      <c r="Y17" s="15" t="s">
        <v>50</v>
      </c>
      <c r="Z17" s="18">
        <v>9230000</v>
      </c>
    </row>
    <row r="18" spans="1:26" ht="13.5" customHeight="1" x14ac:dyDescent="0.25">
      <c r="A18" s="17" t="s">
        <v>110</v>
      </c>
      <c r="X18" s="11">
        <f t="shared" si="0"/>
        <v>0</v>
      </c>
      <c r="Y18" s="15" t="s">
        <v>50</v>
      </c>
      <c r="Z18" s="18">
        <v>2125800</v>
      </c>
    </row>
    <row r="19" spans="1:26" x14ac:dyDescent="0.25">
      <c r="A19" s="17" t="s">
        <v>42</v>
      </c>
      <c r="C19" s="4">
        <v>0</v>
      </c>
      <c r="X19" s="11">
        <f t="shared" si="0"/>
        <v>0</v>
      </c>
      <c r="Y19" s="15" t="s">
        <v>51</v>
      </c>
      <c r="Z19" s="18">
        <v>908786</v>
      </c>
    </row>
    <row r="20" spans="1:26" x14ac:dyDescent="0.25">
      <c r="A20" s="17" t="s">
        <v>22</v>
      </c>
      <c r="C20" s="4">
        <v>0</v>
      </c>
      <c r="X20" s="11">
        <f t="shared" si="0"/>
        <v>0</v>
      </c>
      <c r="Y20" s="15" t="s">
        <v>50</v>
      </c>
      <c r="Z20" s="18">
        <v>1247007</v>
      </c>
    </row>
    <row r="21" spans="1:26" x14ac:dyDescent="0.25">
      <c r="A21" s="17" t="s">
        <v>23</v>
      </c>
      <c r="C21" s="4">
        <v>0</v>
      </c>
      <c r="E21" s="17"/>
      <c r="F21" s="17"/>
      <c r="I21" s="17">
        <v>6000</v>
      </c>
      <c r="J21" s="17">
        <v>0</v>
      </c>
      <c r="K21" s="17">
        <v>0</v>
      </c>
      <c r="L21" s="52">
        <v>369040.52</v>
      </c>
      <c r="M21" s="17">
        <v>-369041</v>
      </c>
      <c r="N21" s="27">
        <v>-6000</v>
      </c>
      <c r="X21" s="11">
        <f t="shared" si="0"/>
        <v>-0.47999999998137355</v>
      </c>
      <c r="Y21" s="15" t="s">
        <v>55</v>
      </c>
      <c r="Z21" s="18">
        <v>453841</v>
      </c>
    </row>
    <row r="22" spans="1:26" x14ac:dyDescent="0.25">
      <c r="A22" s="17" t="s">
        <v>24</v>
      </c>
      <c r="C22" s="4">
        <v>0</v>
      </c>
      <c r="F22" s="27"/>
      <c r="G22" s="18">
        <v>0</v>
      </c>
      <c r="H22" s="18">
        <v>239729</v>
      </c>
      <c r="I22" s="17">
        <v>46480</v>
      </c>
      <c r="J22" s="17">
        <f>62682</f>
        <v>62682</v>
      </c>
      <c r="K22" s="17">
        <v>7969</v>
      </c>
      <c r="L22" s="53">
        <v>9500</v>
      </c>
      <c r="M22" s="17">
        <f>-69419</f>
        <v>-69419</v>
      </c>
      <c r="N22" s="27">
        <f>-287441-9500</f>
        <v>-296941</v>
      </c>
      <c r="X22" s="11">
        <f t="shared" si="0"/>
        <v>0</v>
      </c>
      <c r="Y22" s="15" t="str">
        <f>Y21</f>
        <v>Ben Jacoby</v>
      </c>
    </row>
    <row r="23" spans="1:26" x14ac:dyDescent="0.25">
      <c r="A23" s="17" t="s">
        <v>25</v>
      </c>
      <c r="C23" s="4">
        <v>0</v>
      </c>
      <c r="F23" s="29"/>
      <c r="X23" s="11">
        <f>SUM(C23:W23)</f>
        <v>0</v>
      </c>
      <c r="Y23" s="15" t="s">
        <v>53</v>
      </c>
      <c r="Z23" s="18">
        <v>750000</v>
      </c>
    </row>
    <row r="24" spans="1:26" x14ac:dyDescent="0.25">
      <c r="A24" s="17" t="s">
        <v>95</v>
      </c>
      <c r="F24" s="29"/>
      <c r="X24" s="11">
        <f t="shared" si="0"/>
        <v>0</v>
      </c>
      <c r="Y24" s="15"/>
      <c r="Z24" s="18">
        <v>700000</v>
      </c>
    </row>
    <row r="25" spans="1:26" x14ac:dyDescent="0.25">
      <c r="A25" s="17" t="s">
        <v>111</v>
      </c>
      <c r="F25" s="29"/>
      <c r="X25" s="11">
        <f t="shared" si="0"/>
        <v>0</v>
      </c>
      <c r="Y25" s="15"/>
      <c r="Z25" s="18">
        <v>2200000</v>
      </c>
    </row>
    <row r="26" spans="1:26" x14ac:dyDescent="0.25">
      <c r="A26" s="17" t="s">
        <v>27</v>
      </c>
      <c r="F26" s="29"/>
      <c r="X26" s="11">
        <f t="shared" si="0"/>
        <v>0</v>
      </c>
      <c r="Y26" s="15" t="str">
        <f>Y19</f>
        <v>Kevin Presto</v>
      </c>
      <c r="Z26" s="18">
        <v>1000000</v>
      </c>
    </row>
    <row r="27" spans="1:26" x14ac:dyDescent="0.25">
      <c r="A27" s="17" t="s">
        <v>47</v>
      </c>
      <c r="F27" s="29"/>
      <c r="X27" s="11">
        <f t="shared" si="0"/>
        <v>0</v>
      </c>
      <c r="Y27" s="15" t="s">
        <v>56</v>
      </c>
      <c r="Z27" s="18">
        <v>256000</v>
      </c>
    </row>
    <row r="28" spans="1:26" x14ac:dyDescent="0.25">
      <c r="A28" s="17" t="s">
        <v>28</v>
      </c>
      <c r="C28" s="4">
        <v>0</v>
      </c>
      <c r="F28" s="29"/>
      <c r="X28" s="11">
        <f t="shared" si="0"/>
        <v>0</v>
      </c>
      <c r="Y28" s="15" t="str">
        <f>Y27</f>
        <v>Patrick Maloy</v>
      </c>
      <c r="Z28" s="18">
        <v>1750000</v>
      </c>
    </row>
    <row r="29" spans="1:26" x14ac:dyDescent="0.25">
      <c r="A29" s="17" t="s">
        <v>29</v>
      </c>
      <c r="C29" s="4">
        <v>0</v>
      </c>
      <c r="F29" s="29"/>
      <c r="X29" s="11">
        <f t="shared" si="0"/>
        <v>0</v>
      </c>
      <c r="Y29" s="15" t="str">
        <f>Y28</f>
        <v>Patrick Maloy</v>
      </c>
      <c r="Z29" s="18">
        <v>200000</v>
      </c>
    </row>
    <row r="30" spans="1:26" x14ac:dyDescent="0.25">
      <c r="A30" s="17" t="s">
        <v>30</v>
      </c>
      <c r="C30" s="4">
        <v>0</v>
      </c>
      <c r="D30" s="18">
        <v>0</v>
      </c>
      <c r="E30" s="18">
        <v>0</v>
      </c>
      <c r="F30" s="8"/>
      <c r="G30" s="8">
        <v>4235</v>
      </c>
      <c r="H30" s="8">
        <v>20999</v>
      </c>
      <c r="I30" s="8">
        <v>10759.47</v>
      </c>
      <c r="J30" s="8">
        <v>6023</v>
      </c>
      <c r="K30" s="8">
        <v>6146</v>
      </c>
      <c r="L30" s="52">
        <v>0</v>
      </c>
      <c r="M30" s="8">
        <v>-33713</v>
      </c>
      <c r="N30" s="27">
        <v>-14448.6</v>
      </c>
      <c r="W30" s="17"/>
      <c r="X30" s="11">
        <f t="shared" si="0"/>
        <v>0.87000000000080036</v>
      </c>
      <c r="Y30" s="15" t="str">
        <f>Y29</f>
        <v>Patrick Maloy</v>
      </c>
    </row>
    <row r="31" spans="1:26" x14ac:dyDescent="0.25">
      <c r="A31" s="17" t="s">
        <v>32</v>
      </c>
      <c r="C31" s="4">
        <v>0</v>
      </c>
      <c r="F31" s="29"/>
      <c r="G31" s="18">
        <v>1154</v>
      </c>
      <c r="H31" s="18">
        <v>17366</v>
      </c>
      <c r="I31" s="18">
        <v>11430</v>
      </c>
      <c r="J31" s="18">
        <f>15497+1916.59</f>
        <v>17413.59</v>
      </c>
      <c r="K31" s="18">
        <f>12736+30287</f>
        <v>43023</v>
      </c>
      <c r="L31" s="52">
        <v>33474</v>
      </c>
      <c r="M31" s="18">
        <v>-129040</v>
      </c>
      <c r="N31" s="27">
        <v>5179</v>
      </c>
      <c r="Q31" s="17"/>
      <c r="X31" s="11">
        <f t="shared" si="0"/>
        <v>-0.41000000000349246</v>
      </c>
      <c r="Y31" s="15" t="str">
        <f>Y30</f>
        <v>Patrick Maloy</v>
      </c>
    </row>
    <row r="32" spans="1:26" x14ac:dyDescent="0.25">
      <c r="A32" s="17" t="s">
        <v>33</v>
      </c>
      <c r="C32" s="4">
        <v>0</v>
      </c>
      <c r="H32" s="17">
        <f>60917-5510.85</f>
        <v>55406.15</v>
      </c>
      <c r="I32" s="18">
        <v>16078</v>
      </c>
      <c r="J32" s="18">
        <f>49418-12631-3302.46-787.02</f>
        <v>32697.52</v>
      </c>
      <c r="K32" s="18">
        <v>0</v>
      </c>
      <c r="L32" s="52">
        <v>0</v>
      </c>
      <c r="M32" s="18">
        <v>-14302</v>
      </c>
      <c r="N32" s="27">
        <f>-67672.28-22207.5</f>
        <v>-89879.78</v>
      </c>
      <c r="X32" s="11">
        <f t="shared" si="0"/>
        <v>-0.11000000000058208</v>
      </c>
      <c r="Y32" s="15" t="str">
        <f>Y31</f>
        <v>Patrick Maloy</v>
      </c>
    </row>
    <row r="33" spans="1:25" x14ac:dyDescent="0.25">
      <c r="A33" s="17" t="s">
        <v>63</v>
      </c>
      <c r="C33" s="21">
        <f t="shared" ref="C33:W33" si="1">SUM(C10:C32)</f>
        <v>29376550</v>
      </c>
      <c r="D33" s="21">
        <f t="shared" si="1"/>
        <v>43750400</v>
      </c>
      <c r="E33" s="21">
        <f t="shared" si="1"/>
        <v>3107550</v>
      </c>
      <c r="F33" s="21">
        <f t="shared" si="1"/>
        <v>0</v>
      </c>
      <c r="G33" s="21">
        <f>SUM(G10:G32)</f>
        <v>3112639</v>
      </c>
      <c r="H33" s="21">
        <f>SUM(H10:H32)</f>
        <v>6573718.8600000003</v>
      </c>
      <c r="I33" s="21">
        <f t="shared" si="1"/>
        <v>90747.47</v>
      </c>
      <c r="J33" s="21">
        <f t="shared" si="1"/>
        <v>833684.44333333324</v>
      </c>
      <c r="K33" s="21">
        <f t="shared" si="1"/>
        <v>1648258.9833333332</v>
      </c>
      <c r="L33" s="54">
        <f>SUM(L10:L32)</f>
        <v>726222.85333333327</v>
      </c>
      <c r="M33" s="21">
        <f t="shared" si="1"/>
        <v>-88817681</v>
      </c>
      <c r="N33" s="21">
        <f t="shared" si="1"/>
        <v>-402090.38</v>
      </c>
      <c r="O33" s="21">
        <f t="shared" si="1"/>
        <v>0</v>
      </c>
      <c r="P33" s="21">
        <f t="shared" si="1"/>
        <v>0</v>
      </c>
      <c r="Q33" s="21">
        <f t="shared" si="1"/>
        <v>0</v>
      </c>
      <c r="R33" s="21">
        <f t="shared" si="1"/>
        <v>0</v>
      </c>
      <c r="S33" s="21">
        <f t="shared" si="1"/>
        <v>0</v>
      </c>
      <c r="T33" s="21">
        <f t="shared" si="1"/>
        <v>0</v>
      </c>
      <c r="U33" s="21">
        <f t="shared" si="1"/>
        <v>0</v>
      </c>
      <c r="V33" s="21">
        <f t="shared" si="1"/>
        <v>0</v>
      </c>
      <c r="W33" s="21">
        <f t="shared" si="1"/>
        <v>0</v>
      </c>
      <c r="X33" s="22">
        <f t="shared" si="0"/>
        <v>0.22999999939929694</v>
      </c>
    </row>
    <row r="34" spans="1:25" x14ac:dyDescent="0.25">
      <c r="A34" s="17" t="s">
        <v>67</v>
      </c>
      <c r="C34" s="21">
        <f>+C33</f>
        <v>29376550</v>
      </c>
      <c r="D34" s="21">
        <f t="shared" ref="D34:W34" si="2">+C34+D33</f>
        <v>73126950</v>
      </c>
      <c r="E34" s="21">
        <f t="shared" si="2"/>
        <v>76234500</v>
      </c>
      <c r="F34" s="21">
        <f t="shared" si="2"/>
        <v>76234500</v>
      </c>
      <c r="G34" s="21">
        <f t="shared" si="2"/>
        <v>79347139</v>
      </c>
      <c r="H34" s="21">
        <f t="shared" si="2"/>
        <v>85920857.859999999</v>
      </c>
      <c r="I34" s="21">
        <f t="shared" si="2"/>
        <v>86011605.329999998</v>
      </c>
      <c r="J34" s="21">
        <f t="shared" si="2"/>
        <v>86845289.773333326</v>
      </c>
      <c r="K34" s="21">
        <f t="shared" si="2"/>
        <v>88493548.75666666</v>
      </c>
      <c r="L34" s="54">
        <f>+K34+L33</f>
        <v>89219771.609999999</v>
      </c>
      <c r="M34" s="21">
        <f>+K34+M33</f>
        <v>-324132.24333333969</v>
      </c>
      <c r="N34" s="21">
        <f t="shared" si="2"/>
        <v>-726222.6233333397</v>
      </c>
      <c r="O34" s="21">
        <f>+L34+O33</f>
        <v>89219771.609999999</v>
      </c>
      <c r="P34" s="21">
        <f t="shared" si="2"/>
        <v>89219771.609999999</v>
      </c>
      <c r="Q34" s="21">
        <f t="shared" si="2"/>
        <v>89219771.609999999</v>
      </c>
      <c r="R34" s="21">
        <f t="shared" si="2"/>
        <v>89219771.609999999</v>
      </c>
      <c r="S34" s="21">
        <f t="shared" si="2"/>
        <v>89219771.609999999</v>
      </c>
      <c r="T34" s="21">
        <f t="shared" si="2"/>
        <v>89219771.609999999</v>
      </c>
      <c r="U34" s="21">
        <f t="shared" si="2"/>
        <v>89219771.609999999</v>
      </c>
      <c r="V34" s="21">
        <f t="shared" si="2"/>
        <v>89219771.609999999</v>
      </c>
      <c r="W34" s="21">
        <f t="shared" si="2"/>
        <v>89219771.609999999</v>
      </c>
      <c r="X34" s="11"/>
    </row>
    <row r="35" spans="1:25" x14ac:dyDescent="0.25">
      <c r="A35" s="17" t="s">
        <v>64</v>
      </c>
      <c r="X35" s="16">
        <f>+X33/C52/1000</f>
        <v>4.5098039097901362E-7</v>
      </c>
      <c r="Y35" s="20"/>
    </row>
    <row r="36" spans="1:25" x14ac:dyDescent="0.25">
      <c r="A36" s="17"/>
      <c r="X36" s="16"/>
      <c r="Y36" s="20"/>
    </row>
    <row r="37" spans="1:25" x14ac:dyDescent="0.25">
      <c r="A37" s="17" t="s">
        <v>94</v>
      </c>
      <c r="F37" s="40">
        <v>-21556.400000000001</v>
      </c>
      <c r="G37" s="40">
        <f>43113+23365.91</f>
        <v>66478.91</v>
      </c>
      <c r="H37" s="18">
        <v>-51000</v>
      </c>
      <c r="X37" s="11">
        <f t="shared" ref="X37:X42" si="3">SUM(C37:W37)</f>
        <v>-6077.489999999998</v>
      </c>
      <c r="Y37" s="19" t="s">
        <v>54</v>
      </c>
    </row>
    <row r="38" spans="1:25" x14ac:dyDescent="0.25">
      <c r="A38" s="17" t="s">
        <v>44</v>
      </c>
      <c r="C38" s="9">
        <v>704264</v>
      </c>
      <c r="D38" s="20">
        <v>320324</v>
      </c>
      <c r="E38" s="20">
        <v>477081</v>
      </c>
      <c r="F38" s="41">
        <f>-11622+437418</f>
        <v>425796</v>
      </c>
      <c r="G38" s="30">
        <v>378280</v>
      </c>
      <c r="H38" s="30">
        <v>557261</v>
      </c>
      <c r="I38" s="30">
        <f>(I34+H43)*$C50/12</f>
        <v>481371.22496666672</v>
      </c>
      <c r="J38" s="30">
        <f>(J34+I43)*$C50/12</f>
        <v>488494.44316995825</v>
      </c>
      <c r="K38" s="30">
        <f>(K34+J43)*$C50/12</f>
        <v>500068.5242301845</v>
      </c>
      <c r="L38" s="30">
        <v>0</v>
      </c>
      <c r="M38" s="30">
        <f>-K43</f>
        <v>-4326862.7023668103</v>
      </c>
      <c r="N38" s="30">
        <v>0</v>
      </c>
      <c r="O38" s="30"/>
      <c r="P38" s="30"/>
      <c r="Q38" s="30"/>
      <c r="R38" s="30"/>
      <c r="S38" s="30"/>
      <c r="T38" s="30"/>
      <c r="U38" s="30"/>
      <c r="V38" s="30"/>
      <c r="W38" s="30"/>
      <c r="X38" s="11">
        <f t="shared" si="3"/>
        <v>6077.4899999992922</v>
      </c>
      <c r="Y38" s="19" t="str">
        <f>Y53</f>
        <v>Rodney Malcolm</v>
      </c>
    </row>
    <row r="39" spans="1:25" x14ac:dyDescent="0.25">
      <c r="A39" s="17" t="s">
        <v>88</v>
      </c>
      <c r="C39" s="9">
        <v>0</v>
      </c>
      <c r="D39" s="20">
        <v>0</v>
      </c>
      <c r="E39" s="20">
        <v>0</v>
      </c>
      <c r="F39" s="30">
        <v>0</v>
      </c>
      <c r="G39" s="30">
        <v>0</v>
      </c>
      <c r="H39" s="30">
        <v>0</v>
      </c>
      <c r="I39" s="30">
        <v>0</v>
      </c>
      <c r="J39" s="30">
        <v>0</v>
      </c>
      <c r="K39" s="30">
        <v>0</v>
      </c>
      <c r="L39" s="55">
        <v>0</v>
      </c>
      <c r="M39" s="30">
        <v>0</v>
      </c>
      <c r="N39" s="30">
        <v>0</v>
      </c>
      <c r="O39" s="30">
        <v>0</v>
      </c>
      <c r="P39" s="30">
        <v>0</v>
      </c>
      <c r="Q39" s="30">
        <v>0</v>
      </c>
      <c r="R39" s="30"/>
      <c r="S39" s="30"/>
      <c r="T39" s="30"/>
      <c r="U39" s="30"/>
      <c r="V39" s="30"/>
      <c r="W39" s="30"/>
      <c r="X39" s="11">
        <f t="shared" si="3"/>
        <v>0</v>
      </c>
      <c r="Y39" s="19" t="str">
        <f>Y38</f>
        <v>Rodney Malcolm</v>
      </c>
    </row>
    <row r="40" spans="1:25" x14ac:dyDescent="0.25">
      <c r="A40" s="17" t="s">
        <v>31</v>
      </c>
      <c r="C40" s="4">
        <v>0</v>
      </c>
      <c r="X40" s="11">
        <f t="shared" si="3"/>
        <v>0</v>
      </c>
      <c r="Y40" s="19" t="s">
        <v>54</v>
      </c>
    </row>
    <row r="41" spans="1:25" x14ac:dyDescent="0.25">
      <c r="A41" s="17" t="s">
        <v>86</v>
      </c>
      <c r="C41" s="9">
        <v>0</v>
      </c>
      <c r="D41" s="20"/>
      <c r="E41" s="20"/>
      <c r="F41" s="20"/>
      <c r="G41" s="20"/>
      <c r="H41" s="20"/>
      <c r="I41" s="20"/>
      <c r="J41" s="20"/>
      <c r="K41" s="20"/>
      <c r="L41" s="56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>
        <v>0</v>
      </c>
      <c r="X41" s="11">
        <f t="shared" si="3"/>
        <v>0</v>
      </c>
      <c r="Y41" s="19" t="str">
        <f>Y22</f>
        <v>Ben Jacoby</v>
      </c>
    </row>
    <row r="42" spans="1:25" x14ac:dyDescent="0.25">
      <c r="A42" s="17" t="s">
        <v>65</v>
      </c>
      <c r="C42" s="21">
        <f>SUM(C37:C41)</f>
        <v>704264</v>
      </c>
      <c r="D42" s="21">
        <f>SUM(D37:D41)</f>
        <v>320324</v>
      </c>
      <c r="E42" s="21">
        <f>SUM(E37:E41)</f>
        <v>477081</v>
      </c>
      <c r="F42" s="21">
        <f>SUM(F37:F41)</f>
        <v>404239.6</v>
      </c>
      <c r="G42" s="21">
        <f t="shared" ref="G42:W42" si="4">SUM(G37:G41)</f>
        <v>444758.91000000003</v>
      </c>
      <c r="H42" s="21">
        <f t="shared" si="4"/>
        <v>506261</v>
      </c>
      <c r="I42" s="21">
        <f t="shared" si="4"/>
        <v>481371.22496666672</v>
      </c>
      <c r="J42" s="21">
        <f t="shared" si="4"/>
        <v>488494.44316995825</v>
      </c>
      <c r="K42" s="21">
        <f t="shared" si="4"/>
        <v>500068.5242301845</v>
      </c>
      <c r="L42" s="54">
        <f>SUM(L37:L41)</f>
        <v>0</v>
      </c>
      <c r="M42" s="21">
        <f t="shared" si="4"/>
        <v>-4326862.7023668103</v>
      </c>
      <c r="N42" s="21">
        <f t="shared" si="4"/>
        <v>0</v>
      </c>
      <c r="O42" s="21">
        <f t="shared" si="4"/>
        <v>0</v>
      </c>
      <c r="P42" s="21">
        <f t="shared" si="4"/>
        <v>0</v>
      </c>
      <c r="Q42" s="21">
        <f t="shared" si="4"/>
        <v>0</v>
      </c>
      <c r="R42" s="21">
        <f t="shared" si="4"/>
        <v>0</v>
      </c>
      <c r="S42" s="21">
        <f t="shared" si="4"/>
        <v>0</v>
      </c>
      <c r="T42" s="21">
        <f t="shared" si="4"/>
        <v>0</v>
      </c>
      <c r="U42" s="21">
        <f t="shared" si="4"/>
        <v>0</v>
      </c>
      <c r="V42" s="21">
        <f t="shared" si="4"/>
        <v>0</v>
      </c>
      <c r="W42" s="21">
        <f t="shared" si="4"/>
        <v>0</v>
      </c>
      <c r="X42" s="22">
        <f t="shared" si="3"/>
        <v>0</v>
      </c>
      <c r="Y42" s="20"/>
    </row>
    <row r="43" spans="1:25" x14ac:dyDescent="0.25">
      <c r="A43" s="17" t="s">
        <v>68</v>
      </c>
      <c r="C43" s="21">
        <f>+C42</f>
        <v>704264</v>
      </c>
      <c r="D43" s="21">
        <f t="shared" ref="D43:W43" si="5">+D42+C43</f>
        <v>1024588</v>
      </c>
      <c r="E43" s="21">
        <f t="shared" si="5"/>
        <v>1501669</v>
      </c>
      <c r="F43" s="21">
        <f t="shared" si="5"/>
        <v>1905908.6</v>
      </c>
      <c r="G43" s="21">
        <f t="shared" si="5"/>
        <v>2350667.5100000002</v>
      </c>
      <c r="H43" s="21">
        <f t="shared" si="5"/>
        <v>2856928.5100000002</v>
      </c>
      <c r="I43" s="21">
        <f t="shared" si="5"/>
        <v>3338299.7349666669</v>
      </c>
      <c r="J43" s="21">
        <f t="shared" si="5"/>
        <v>3826794.1781366253</v>
      </c>
      <c r="K43" s="21">
        <f t="shared" si="5"/>
        <v>4326862.7023668103</v>
      </c>
      <c r="L43" s="54">
        <f>+L42+K43</f>
        <v>4326862.7023668103</v>
      </c>
      <c r="M43" s="54">
        <f>+M42+L43</f>
        <v>0</v>
      </c>
      <c r="N43" s="54">
        <f>+N42+M43</f>
        <v>0</v>
      </c>
      <c r="O43" s="54">
        <f>+O42+N43</f>
        <v>0</v>
      </c>
      <c r="P43" s="21">
        <f t="shared" si="5"/>
        <v>0</v>
      </c>
      <c r="Q43" s="21">
        <f t="shared" si="5"/>
        <v>0</v>
      </c>
      <c r="R43" s="21">
        <f t="shared" si="5"/>
        <v>0</v>
      </c>
      <c r="S43" s="21">
        <f t="shared" si="5"/>
        <v>0</v>
      </c>
      <c r="T43" s="21">
        <f t="shared" si="5"/>
        <v>0</v>
      </c>
      <c r="U43" s="21">
        <f t="shared" si="5"/>
        <v>0</v>
      </c>
      <c r="V43" s="21">
        <f t="shared" si="5"/>
        <v>0</v>
      </c>
      <c r="W43" s="21">
        <f t="shared" si="5"/>
        <v>0</v>
      </c>
      <c r="X43" s="11"/>
      <c r="Y43" s="20"/>
    </row>
    <row r="44" spans="1:25" x14ac:dyDescent="0.25">
      <c r="A44" s="17"/>
      <c r="C44" s="9"/>
      <c r="D44" s="20"/>
      <c r="E44" s="20"/>
      <c r="F44" s="20"/>
      <c r="G44" s="20"/>
      <c r="H44" s="20"/>
      <c r="I44" s="20"/>
      <c r="J44" s="20"/>
      <c r="K44" s="20"/>
      <c r="L44" s="56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11"/>
      <c r="Y44" s="20"/>
    </row>
    <row r="45" spans="1:25" s="4" customFormat="1" x14ac:dyDescent="0.25">
      <c r="A45" s="4" t="s">
        <v>49</v>
      </c>
      <c r="C45" s="4">
        <f t="shared" ref="C45:W45" si="6">+C33+C42</f>
        <v>30080814</v>
      </c>
      <c r="D45" s="4">
        <f t="shared" si="6"/>
        <v>44070724</v>
      </c>
      <c r="E45" s="4">
        <f t="shared" si="6"/>
        <v>3584631</v>
      </c>
      <c r="F45" s="4">
        <f t="shared" si="6"/>
        <v>404239.6</v>
      </c>
      <c r="G45" s="4">
        <f t="shared" si="6"/>
        <v>3557397.91</v>
      </c>
      <c r="H45" s="4">
        <f t="shared" si="6"/>
        <v>7079979.8600000003</v>
      </c>
      <c r="I45" s="4">
        <f t="shared" si="6"/>
        <v>572118.69496666675</v>
      </c>
      <c r="J45" s="4">
        <f t="shared" si="6"/>
        <v>1322178.8865032915</v>
      </c>
      <c r="K45" s="4">
        <f t="shared" si="6"/>
        <v>2148327.5075635174</v>
      </c>
      <c r="L45" s="57">
        <f t="shared" ref="L45:Q45" si="7">+L33+L42</f>
        <v>726222.85333333327</v>
      </c>
      <c r="M45" s="4">
        <f t="shared" si="7"/>
        <v>-93144543.702366814</v>
      </c>
      <c r="N45" s="4">
        <f t="shared" si="7"/>
        <v>-402090.38</v>
      </c>
      <c r="O45" s="4">
        <f t="shared" si="7"/>
        <v>0</v>
      </c>
      <c r="P45" s="4">
        <f t="shared" si="7"/>
        <v>0</v>
      </c>
      <c r="Q45" s="4">
        <f t="shared" si="7"/>
        <v>0</v>
      </c>
      <c r="R45" s="4">
        <f t="shared" si="6"/>
        <v>0</v>
      </c>
      <c r="S45" s="4">
        <f t="shared" si="6"/>
        <v>0</v>
      </c>
      <c r="T45" s="4">
        <f t="shared" si="6"/>
        <v>0</v>
      </c>
      <c r="U45" s="4">
        <f t="shared" si="6"/>
        <v>0</v>
      </c>
      <c r="V45" s="4">
        <f t="shared" si="6"/>
        <v>0</v>
      </c>
      <c r="W45" s="4">
        <f t="shared" si="6"/>
        <v>0</v>
      </c>
      <c r="X45" s="11">
        <f>SUM(C45:W45)</f>
        <v>0.22999999939929694</v>
      </c>
    </row>
    <row r="46" spans="1:25" s="4" customFormat="1" x14ac:dyDescent="0.25">
      <c r="A46" s="4" t="s">
        <v>45</v>
      </c>
      <c r="C46" s="4">
        <f>C45</f>
        <v>30080814</v>
      </c>
      <c r="D46" s="4">
        <f t="shared" ref="D46:W46" si="8">C46+D45</f>
        <v>74151538</v>
      </c>
      <c r="E46" s="4">
        <f t="shared" si="8"/>
        <v>77736169</v>
      </c>
      <c r="F46" s="4">
        <f t="shared" si="8"/>
        <v>78140408.599999994</v>
      </c>
      <c r="G46" s="4">
        <f t="shared" si="8"/>
        <v>81697806.50999999</v>
      </c>
      <c r="H46" s="4">
        <f t="shared" si="8"/>
        <v>88777786.36999999</v>
      </c>
      <c r="I46" s="4">
        <f t="shared" si="8"/>
        <v>89349905.064966664</v>
      </c>
      <c r="J46" s="4">
        <f t="shared" si="8"/>
        <v>90672083.951469958</v>
      </c>
      <c r="K46" s="4">
        <f t="shared" si="8"/>
        <v>92820411.459033474</v>
      </c>
      <c r="L46" s="4">
        <f t="shared" ref="L46:Q46" si="9">K46+L45</f>
        <v>93546634.312366813</v>
      </c>
      <c r="M46" s="4">
        <f t="shared" si="9"/>
        <v>402090.6099999994</v>
      </c>
      <c r="N46" s="4">
        <f t="shared" si="9"/>
        <v>0.22999999939929694</v>
      </c>
      <c r="O46" s="4">
        <f t="shared" si="9"/>
        <v>0.22999999939929694</v>
      </c>
      <c r="P46" s="4">
        <f t="shared" si="9"/>
        <v>0.22999999939929694</v>
      </c>
      <c r="Q46" s="4">
        <f t="shared" si="9"/>
        <v>0.22999999939929694</v>
      </c>
      <c r="R46" s="4">
        <f t="shared" si="8"/>
        <v>0.22999999939929694</v>
      </c>
      <c r="S46" s="4">
        <f t="shared" si="8"/>
        <v>0.22999999939929694</v>
      </c>
      <c r="T46" s="4">
        <f t="shared" si="8"/>
        <v>0.22999999939929694</v>
      </c>
      <c r="U46" s="4">
        <f t="shared" si="8"/>
        <v>0.22999999939929694</v>
      </c>
      <c r="V46" s="4">
        <f t="shared" si="8"/>
        <v>0.22999999939929694</v>
      </c>
      <c r="W46" s="4">
        <f t="shared" si="8"/>
        <v>0.22999999939929694</v>
      </c>
      <c r="X46" s="11"/>
    </row>
    <row r="47" spans="1:25" s="4" customFormat="1" x14ac:dyDescent="0.25">
      <c r="L47" s="57"/>
      <c r="X47" s="11"/>
    </row>
    <row r="48" spans="1:25" s="4" customFormat="1" x14ac:dyDescent="0.25">
      <c r="L48" s="57"/>
    </row>
    <row r="49" spans="1:27" s="4" customFormat="1" x14ac:dyDescent="0.25">
      <c r="L49" s="57"/>
      <c r="X49" s="16">
        <f>+X45/C52/1000</f>
        <v>4.5098039097901362E-7</v>
      </c>
    </row>
    <row r="50" spans="1:27" s="4" customFormat="1" x14ac:dyDescent="0.25">
      <c r="A50" s="8" t="s">
        <v>96</v>
      </c>
      <c r="C50" s="12">
        <v>6.5000000000000002E-2</v>
      </c>
      <c r="L50" s="57"/>
      <c r="X50" s="11"/>
    </row>
    <row r="51" spans="1:27" s="4" customFormat="1" x14ac:dyDescent="0.25">
      <c r="A51" s="8" t="s">
        <v>89</v>
      </c>
      <c r="C51" s="12">
        <v>3.5000000000000001E-3</v>
      </c>
      <c r="D51" s="35">
        <v>174500000</v>
      </c>
      <c r="L51" s="57"/>
      <c r="X51" s="11"/>
    </row>
    <row r="52" spans="1:27" s="4" customFormat="1" x14ac:dyDescent="0.25">
      <c r="A52" s="17" t="s">
        <v>64</v>
      </c>
      <c r="C52" s="4">
        <v>510</v>
      </c>
      <c r="D52" s="4" t="s">
        <v>66</v>
      </c>
      <c r="L52" s="57"/>
      <c r="X52" s="11"/>
    </row>
    <row r="53" spans="1:27" x14ac:dyDescent="0.25">
      <c r="A53" s="17" t="s">
        <v>39</v>
      </c>
      <c r="C53" s="4">
        <v>0</v>
      </c>
      <c r="W53" s="18">
        <v>0</v>
      </c>
      <c r="X53" s="23">
        <f>SUM(C53:W53)</f>
        <v>0</v>
      </c>
      <c r="Y53" s="19" t="str">
        <f>Y40</f>
        <v>Rodney Malcolm</v>
      </c>
    </row>
    <row r="54" spans="1:27" s="4" customFormat="1" x14ac:dyDescent="0.25">
      <c r="A54" s="8"/>
      <c r="C54" s="12"/>
      <c r="L54" s="57"/>
      <c r="X54" s="11"/>
    </row>
    <row r="55" spans="1:27" x14ac:dyDescent="0.25">
      <c r="A55" s="17" t="s">
        <v>69</v>
      </c>
      <c r="C55" s="4">
        <f t="shared" ref="C55:W55" si="10">+C45-C38</f>
        <v>29376550</v>
      </c>
      <c r="D55" s="4">
        <f t="shared" si="10"/>
        <v>43750400</v>
      </c>
      <c r="E55" s="4">
        <f t="shared" si="10"/>
        <v>3107550</v>
      </c>
      <c r="F55" s="4">
        <f t="shared" si="10"/>
        <v>-21556.400000000023</v>
      </c>
      <c r="G55" s="4">
        <f t="shared" si="10"/>
        <v>3179117.91</v>
      </c>
      <c r="H55" s="4">
        <f t="shared" si="10"/>
        <v>6522718.8600000003</v>
      </c>
      <c r="I55" s="4">
        <f t="shared" si="10"/>
        <v>90747.47000000003</v>
      </c>
      <c r="J55" s="4">
        <f t="shared" si="10"/>
        <v>833684.44333333336</v>
      </c>
      <c r="K55" s="4">
        <f t="shared" si="10"/>
        <v>1648258.9833333329</v>
      </c>
      <c r="L55" s="57">
        <f>+L45-L38</f>
        <v>726222.85333333327</v>
      </c>
      <c r="M55" s="4">
        <f>+M45-M38</f>
        <v>-88817681</v>
      </c>
      <c r="N55" s="4">
        <f>+N45-N38</f>
        <v>-402090.38</v>
      </c>
      <c r="O55" s="4">
        <f t="shared" si="10"/>
        <v>0</v>
      </c>
      <c r="P55" s="4">
        <f t="shared" si="10"/>
        <v>0</v>
      </c>
      <c r="Q55" s="4">
        <f t="shared" si="10"/>
        <v>0</v>
      </c>
      <c r="R55" s="4">
        <f t="shared" si="10"/>
        <v>0</v>
      </c>
      <c r="S55" s="4">
        <f t="shared" si="10"/>
        <v>0</v>
      </c>
      <c r="T55" s="4">
        <f t="shared" si="10"/>
        <v>0</v>
      </c>
      <c r="U55" s="4">
        <f t="shared" si="10"/>
        <v>0</v>
      </c>
      <c r="V55" s="4">
        <f t="shared" si="10"/>
        <v>0</v>
      </c>
      <c r="W55" s="4">
        <f t="shared" si="10"/>
        <v>0</v>
      </c>
      <c r="X55" s="11">
        <f>SUM(C55:W55)</f>
        <v>-6077.2600000101374</v>
      </c>
    </row>
    <row r="56" spans="1:27" x14ac:dyDescent="0.25">
      <c r="X56" s="11"/>
    </row>
    <row r="57" spans="1:27" x14ac:dyDescent="0.25">
      <c r="X57" s="11"/>
    </row>
    <row r="58" spans="1:27" ht="19.2" x14ac:dyDescent="0.6">
      <c r="A58" s="32" t="s">
        <v>81</v>
      </c>
      <c r="X58" s="11"/>
    </row>
    <row r="59" spans="1:27" x14ac:dyDescent="0.25">
      <c r="A59" s="5" t="s">
        <v>34</v>
      </c>
      <c r="X59" s="11"/>
    </row>
    <row r="60" spans="1:27" x14ac:dyDescent="0.25">
      <c r="A60" s="17" t="s">
        <v>24</v>
      </c>
      <c r="C60" s="4">
        <v>0</v>
      </c>
      <c r="D60" s="18">
        <v>500</v>
      </c>
      <c r="E60" s="18">
        <v>43071</v>
      </c>
      <c r="F60" s="8">
        <f>36361-4000</f>
        <v>32361</v>
      </c>
      <c r="G60" s="18">
        <v>6649</v>
      </c>
      <c r="H60" s="18">
        <v>0</v>
      </c>
      <c r="I60" s="17">
        <v>0</v>
      </c>
      <c r="J60" s="17">
        <v>0</v>
      </c>
      <c r="K60" s="17">
        <v>0</v>
      </c>
      <c r="L60" s="53">
        <v>0</v>
      </c>
      <c r="M60" s="17"/>
      <c r="N60" s="17">
        <f>-N22</f>
        <v>296941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V60" s="18">
        <v>0</v>
      </c>
      <c r="W60" s="18">
        <v>0</v>
      </c>
      <c r="X60" s="11">
        <f>SUM(C60:W60)</f>
        <v>379522</v>
      </c>
      <c r="Y60" s="15" t="str">
        <f>+Y$31</f>
        <v>Patrick Maloy</v>
      </c>
      <c r="Z60" s="18">
        <f>X60+X22</f>
        <v>379522</v>
      </c>
      <c r="AA60" s="18" t="e">
        <f>#REF!-Z60</f>
        <v>#REF!</v>
      </c>
    </row>
    <row r="61" spans="1:27" x14ac:dyDescent="0.25">
      <c r="A61" s="17" t="s">
        <v>32</v>
      </c>
      <c r="C61" s="4">
        <v>0</v>
      </c>
      <c r="D61" s="18">
        <v>135</v>
      </c>
      <c r="E61" s="18">
        <f>49089-21984+7500</f>
        <v>34605</v>
      </c>
      <c r="F61" s="18">
        <f>7328</f>
        <v>7328</v>
      </c>
      <c r="G61" s="18">
        <f>1627</f>
        <v>1627</v>
      </c>
      <c r="H61" s="18">
        <v>0</v>
      </c>
      <c r="I61" s="18">
        <v>83611.75</v>
      </c>
      <c r="J61" s="18">
        <f>566.92+17351.64+16608.79+10439.68+3047.18</f>
        <v>48014.21</v>
      </c>
      <c r="K61" s="18">
        <v>0</v>
      </c>
      <c r="L61" s="52">
        <v>0</v>
      </c>
      <c r="N61" s="18">
        <f>6000+5179</f>
        <v>11179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V61" s="18">
        <v>0</v>
      </c>
      <c r="W61" s="18">
        <v>0</v>
      </c>
      <c r="X61" s="11">
        <f>SUM(C61:W61)</f>
        <v>186499.96</v>
      </c>
      <c r="Y61" s="15" t="str">
        <f>Y60</f>
        <v>Patrick Maloy</v>
      </c>
      <c r="Z61" s="18">
        <f>X61+X31</f>
        <v>186499.55</v>
      </c>
      <c r="AA61" s="18" t="e">
        <f>#REF!-Z61</f>
        <v>#REF!</v>
      </c>
    </row>
    <row r="62" spans="1:27" x14ac:dyDescent="0.25">
      <c r="A62" s="17" t="s">
        <v>30</v>
      </c>
      <c r="C62" s="4">
        <v>0</v>
      </c>
      <c r="D62" s="18">
        <v>0</v>
      </c>
      <c r="E62" s="18">
        <v>21984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52">
        <v>0</v>
      </c>
      <c r="N62" s="18">
        <f>-N30</f>
        <v>14448.6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V62" s="18">
        <v>0</v>
      </c>
      <c r="W62" s="18">
        <v>0</v>
      </c>
      <c r="X62" s="11">
        <f>SUM(C62:W62)</f>
        <v>36432.6</v>
      </c>
      <c r="Y62" s="15" t="str">
        <f>Y61</f>
        <v>Patrick Maloy</v>
      </c>
      <c r="Z62" s="18">
        <f>X62+X30</f>
        <v>36433.47</v>
      </c>
      <c r="AA62" s="18" t="e">
        <f>#REF!-Z62</f>
        <v>#REF!</v>
      </c>
    </row>
    <row r="63" spans="1:27" x14ac:dyDescent="0.25">
      <c r="A63" s="17" t="s">
        <v>33</v>
      </c>
      <c r="C63" s="4">
        <v>0</v>
      </c>
      <c r="E63" s="18">
        <v>0</v>
      </c>
      <c r="F63" s="8">
        <v>9963</v>
      </c>
      <c r="G63" s="18">
        <v>76235</v>
      </c>
      <c r="H63" s="18">
        <v>5510.85</v>
      </c>
      <c r="I63" s="18">
        <v>10271.200000000001</v>
      </c>
      <c r="J63" s="18">
        <f>12631+3302.46+787.02</f>
        <v>16720.48</v>
      </c>
      <c r="K63" s="18">
        <v>0</v>
      </c>
      <c r="L63" s="52">
        <v>0</v>
      </c>
      <c r="N63" s="18">
        <f>-N32</f>
        <v>89879.78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V63" s="18">
        <v>0</v>
      </c>
      <c r="W63" s="18">
        <v>0</v>
      </c>
      <c r="X63" s="11">
        <f>SUM(C63:W63)</f>
        <v>208580.31</v>
      </c>
      <c r="Y63" s="15" t="str">
        <f>Y62</f>
        <v>Patrick Maloy</v>
      </c>
      <c r="Z63" s="18">
        <f>X63+X32</f>
        <v>208580.2</v>
      </c>
      <c r="AA63" s="18" t="e">
        <f>#REF!-Z63</f>
        <v>#REF!</v>
      </c>
    </row>
    <row r="64" spans="1:27" x14ac:dyDescent="0.25">
      <c r="A64" s="4" t="s">
        <v>83</v>
      </c>
      <c r="C64" s="21">
        <f>SUM(C60:C63)</f>
        <v>0</v>
      </c>
      <c r="D64" s="21">
        <f t="shared" ref="D64:W64" si="11">SUM(D60:D63)</f>
        <v>635</v>
      </c>
      <c r="E64" s="21">
        <f t="shared" si="11"/>
        <v>99660</v>
      </c>
      <c r="F64" s="21">
        <f t="shared" si="11"/>
        <v>49652</v>
      </c>
      <c r="G64" s="21">
        <f t="shared" si="11"/>
        <v>84511</v>
      </c>
      <c r="H64" s="21">
        <f t="shared" si="11"/>
        <v>5510.85</v>
      </c>
      <c r="I64" s="21">
        <f t="shared" si="11"/>
        <v>93882.95</v>
      </c>
      <c r="J64" s="21">
        <f t="shared" si="11"/>
        <v>64734.69</v>
      </c>
      <c r="K64" s="21">
        <f t="shared" si="11"/>
        <v>0</v>
      </c>
      <c r="L64" s="54">
        <f>SUM(L60:L63)</f>
        <v>0</v>
      </c>
      <c r="M64" s="54">
        <f>SUM(M60:M63)</f>
        <v>0</v>
      </c>
      <c r="N64" s="54">
        <f>SUM(N60:N63)</f>
        <v>412448.38</v>
      </c>
      <c r="O64" s="21">
        <f t="shared" si="11"/>
        <v>0</v>
      </c>
      <c r="P64" s="21">
        <f t="shared" si="11"/>
        <v>0</v>
      </c>
      <c r="Q64" s="21">
        <f t="shared" si="11"/>
        <v>0</v>
      </c>
      <c r="R64" s="21">
        <f t="shared" si="11"/>
        <v>0</v>
      </c>
      <c r="S64" s="21">
        <f t="shared" si="11"/>
        <v>0</v>
      </c>
      <c r="T64" s="21">
        <f t="shared" si="11"/>
        <v>0</v>
      </c>
      <c r="U64" s="21">
        <f t="shared" si="11"/>
        <v>0</v>
      </c>
      <c r="V64" s="21">
        <f t="shared" si="11"/>
        <v>0</v>
      </c>
      <c r="W64" s="21">
        <f t="shared" si="11"/>
        <v>0</v>
      </c>
      <c r="X64" s="22">
        <f>SUM(C64:W64)</f>
        <v>811034.87</v>
      </c>
      <c r="Y64" s="20"/>
    </row>
    <row r="65" spans="1:25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58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11"/>
      <c r="Y65" s="20"/>
    </row>
    <row r="66" spans="1:25" x14ac:dyDescent="0.25">
      <c r="A66" s="17" t="s">
        <v>97</v>
      </c>
      <c r="C66" s="9"/>
      <c r="D66" s="20"/>
      <c r="E66" s="20"/>
      <c r="F66" s="20"/>
      <c r="G66" s="20">
        <v>-82061</v>
      </c>
      <c r="H66" s="20">
        <v>-1928</v>
      </c>
      <c r="I66" s="20">
        <v>-32859</v>
      </c>
      <c r="J66" s="20">
        <v>-22657</v>
      </c>
      <c r="K66" s="20"/>
      <c r="L66" s="56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11">
        <f>SUM(C66:W66)</f>
        <v>-139505</v>
      </c>
      <c r="Y66" s="20"/>
    </row>
    <row r="67" spans="1:25" s="43" customFormat="1" x14ac:dyDescent="0.25">
      <c r="A67" s="21" t="s">
        <v>98</v>
      </c>
      <c r="C67" s="21">
        <f>SUM(C64:C66)</f>
        <v>0</v>
      </c>
      <c r="D67" s="21">
        <f t="shared" ref="D67:X67" si="12">SUM(D64:D66)</f>
        <v>635</v>
      </c>
      <c r="E67" s="21">
        <f t="shared" si="12"/>
        <v>99660</v>
      </c>
      <c r="F67" s="21">
        <f t="shared" si="12"/>
        <v>49652</v>
      </c>
      <c r="G67" s="21">
        <f t="shared" si="12"/>
        <v>2450</v>
      </c>
      <c r="H67" s="21">
        <f t="shared" si="12"/>
        <v>3582.8500000000004</v>
      </c>
      <c r="I67" s="21">
        <f t="shared" si="12"/>
        <v>61023.95</v>
      </c>
      <c r="J67" s="21">
        <f t="shared" si="12"/>
        <v>42077.69</v>
      </c>
      <c r="K67" s="21">
        <f t="shared" si="12"/>
        <v>0</v>
      </c>
      <c r="L67" s="54">
        <f>SUM(L64:L66)</f>
        <v>0</v>
      </c>
      <c r="M67" s="21"/>
      <c r="N67" s="21"/>
      <c r="O67" s="21">
        <f t="shared" si="12"/>
        <v>0</v>
      </c>
      <c r="P67" s="21">
        <f t="shared" si="12"/>
        <v>0</v>
      </c>
      <c r="Q67" s="21">
        <f t="shared" si="12"/>
        <v>0</v>
      </c>
      <c r="R67" s="21">
        <f t="shared" si="12"/>
        <v>0</v>
      </c>
      <c r="S67" s="21">
        <f t="shared" si="12"/>
        <v>0</v>
      </c>
      <c r="T67" s="21">
        <f t="shared" si="12"/>
        <v>0</v>
      </c>
      <c r="U67" s="21">
        <f t="shared" si="12"/>
        <v>0</v>
      </c>
      <c r="V67" s="21">
        <f t="shared" si="12"/>
        <v>0</v>
      </c>
      <c r="W67" s="21">
        <f t="shared" si="12"/>
        <v>0</v>
      </c>
      <c r="X67" s="21">
        <f t="shared" si="12"/>
        <v>671529.87</v>
      </c>
    </row>
    <row r="68" spans="1:25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58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11">
        <f>X67-'[1]Calvert City'!$BT$216</f>
        <v>-241341.19333333324</v>
      </c>
      <c r="Y68" s="20"/>
    </row>
    <row r="69" spans="1:25" x14ac:dyDescent="0.25">
      <c r="A69" s="4"/>
      <c r="C69" s="9"/>
      <c r="D69" s="9"/>
      <c r="E69" s="9"/>
      <c r="F69" s="9"/>
      <c r="G69" s="9"/>
      <c r="H69" s="9"/>
      <c r="I69" s="9"/>
      <c r="J69" s="9"/>
      <c r="K69" s="9"/>
      <c r="L69" s="58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11"/>
      <c r="Y69" s="20"/>
    </row>
  </sheetData>
  <printOptions horizontalCentered="1"/>
  <pageMargins left="0.25" right="0.25" top="0.5" bottom="0.5" header="0.25" footer="0.5"/>
  <pageSetup scale="54" orientation="landscape" horizontalDpi="300" verticalDpi="300" r:id="rId1"/>
  <headerFooter alignWithMargins="0"/>
  <rowBreaks count="1" manualBreakCount="1">
    <brk id="7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D80"/>
  <sheetViews>
    <sheetView tabSelected="1" workbookViewId="0">
      <pane xSplit="2" ySplit="6" topLeftCell="T56" activePane="bottomRight" state="frozen"/>
      <selection activeCell="T58" sqref="T58"/>
      <selection pane="topRight" activeCell="T58" sqref="T58"/>
      <selection pane="bottomLeft" activeCell="T58" sqref="T58"/>
      <selection pane="bottomRight" activeCell="AB77" sqref="AB77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0.33203125" style="4" bestFit="1" customWidth="1"/>
    <col min="4" max="4" width="11.44140625" style="18" customWidth="1"/>
    <col min="5" max="5" width="13.33203125" style="18" customWidth="1"/>
    <col min="6" max="6" width="12.33203125" style="18" bestFit="1" customWidth="1"/>
    <col min="7" max="7" width="12.88671875" style="18" customWidth="1"/>
    <col min="8" max="8" width="12" style="18" customWidth="1"/>
    <col min="9" max="9" width="12.6640625" style="18" customWidth="1"/>
    <col min="10" max="10" width="13" style="18" customWidth="1"/>
    <col min="11" max="12" width="12.33203125" style="18" bestFit="1" customWidth="1"/>
    <col min="13" max="13" width="12.33203125" style="18" customWidth="1"/>
    <col min="14" max="14" width="12.88671875" style="18" bestFit="1" customWidth="1"/>
    <col min="15" max="15" width="14" style="18" customWidth="1"/>
    <col min="16" max="16" width="14.44140625" style="18" bestFit="1" customWidth="1"/>
    <col min="17" max="17" width="12.88671875" style="18" bestFit="1" customWidth="1"/>
    <col min="18" max="18" width="13.88671875" style="18" customWidth="1"/>
    <col min="19" max="19" width="13.5546875" style="18" customWidth="1"/>
    <col min="20" max="21" width="13.88671875" style="18" customWidth="1"/>
    <col min="22" max="24" width="13.88671875" style="18" hidden="1" customWidth="1"/>
    <col min="25" max="25" width="14.44140625" style="4" customWidth="1"/>
    <col min="26" max="26" width="20" style="18" bestFit="1" customWidth="1"/>
    <col min="27" max="27" width="12.33203125" style="18" customWidth="1"/>
    <col min="28" max="28" width="13.88671875" style="18" bestFit="1" customWidth="1"/>
    <col min="29" max="29" width="9.109375" style="18"/>
    <col min="30" max="31" width="9.33203125" style="18" bestFit="1" customWidth="1"/>
    <col min="32" max="16384" width="9.109375" style="18"/>
  </cols>
  <sheetData>
    <row r="1" spans="1:28" s="2" customFormat="1" ht="15.6" x14ac:dyDescent="0.3">
      <c r="A1" s="1" t="s">
        <v>0</v>
      </c>
      <c r="Z1" s="2">
        <v>0</v>
      </c>
    </row>
    <row r="2" spans="1:28" s="2" customFormat="1" ht="15.6" x14ac:dyDescent="0.3">
      <c r="A2" s="1" t="s">
        <v>1</v>
      </c>
      <c r="D2" s="1" t="s">
        <v>126</v>
      </c>
      <c r="Y2" s="25" t="str">
        <f ca="1">CELL("filename")</f>
        <v>C:\TEMP\[~0026593.xls]Sheet1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36556.653485763891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s="6" customFormat="1" x14ac:dyDescent="0.25">
      <c r="A8" s="5" t="s">
        <v>43</v>
      </c>
      <c r="Y8" s="10"/>
      <c r="Z8"/>
    </row>
    <row r="9" spans="1:28" s="6" customFormat="1" x14ac:dyDescent="0.25">
      <c r="A9" s="5" t="s">
        <v>60</v>
      </c>
      <c r="E9" s="36">
        <v>0.35</v>
      </c>
      <c r="F9" s="36">
        <v>0.4</v>
      </c>
      <c r="G9" s="36">
        <v>0.45</v>
      </c>
      <c r="H9" s="36">
        <v>0.5</v>
      </c>
      <c r="I9" s="36">
        <v>0.55000000000000004</v>
      </c>
      <c r="J9" s="36">
        <v>0.6</v>
      </c>
      <c r="K9" s="36">
        <v>0.65</v>
      </c>
      <c r="L9" s="36">
        <v>0.7</v>
      </c>
      <c r="M9" s="36">
        <v>0.76249999999999996</v>
      </c>
      <c r="N9" s="37">
        <v>0.85619999999999996</v>
      </c>
      <c r="O9" s="36">
        <v>0.95</v>
      </c>
      <c r="U9" s="36">
        <v>1</v>
      </c>
      <c r="V9" s="36"/>
      <c r="W9" s="36"/>
      <c r="X9" s="36"/>
      <c r="Y9" s="10"/>
      <c r="Z9"/>
    </row>
    <row r="10" spans="1:28" x14ac:dyDescent="0.25">
      <c r="A10" s="17" t="s">
        <v>18</v>
      </c>
      <c r="B10" s="18">
        <v>140040940</v>
      </c>
      <c r="C10" s="4">
        <v>6800000</v>
      </c>
      <c r="D10" s="8">
        <v>0</v>
      </c>
      <c r="E10" s="8">
        <v>32884800</v>
      </c>
      <c r="F10" s="8">
        <v>0</v>
      </c>
      <c r="G10" s="8">
        <v>0</v>
      </c>
      <c r="H10" s="8">
        <v>18310527</v>
      </c>
      <c r="I10" s="8">
        <v>6800000</v>
      </c>
      <c r="J10" s="8">
        <v>5225143</v>
      </c>
      <c r="K10" s="8">
        <v>6152847</v>
      </c>
      <c r="L10" s="8">
        <v>6924847</v>
      </c>
      <c r="M10" s="8">
        <v>6924847</v>
      </c>
      <c r="N10" s="8">
        <f>6924847</f>
        <v>6924847</v>
      </c>
      <c r="O10" s="8">
        <f>11376658.75+13311485</f>
        <v>24688143.75</v>
      </c>
      <c r="Q10" s="18">
        <v>13325691</v>
      </c>
      <c r="R10" s="17">
        <v>0</v>
      </c>
      <c r="U10" s="18">
        <v>7103247</v>
      </c>
      <c r="Y10" s="11">
        <f>SUM(C10:X10)</f>
        <v>142064939.75</v>
      </c>
      <c r="Z10" s="19" t="s">
        <v>50</v>
      </c>
      <c r="AA10" s="18">
        <f>[1]Wilton!$BR$12</f>
        <v>142064940</v>
      </c>
      <c r="AB10" s="18">
        <f>Y10-AA10</f>
        <v>-0.25</v>
      </c>
    </row>
    <row r="11" spans="1:28" x14ac:dyDescent="0.25">
      <c r="A11" s="17" t="s">
        <v>19</v>
      </c>
      <c r="C11" s="4">
        <v>0</v>
      </c>
      <c r="D11" s="17">
        <v>1250000</v>
      </c>
      <c r="F11" s="8"/>
      <c r="J11" s="18">
        <f>-740943.25+666672.85</f>
        <v>-74270.400000000023</v>
      </c>
      <c r="K11" s="17">
        <v>7480</v>
      </c>
      <c r="M11" s="18">
        <v>1774814.4</v>
      </c>
      <c r="O11" s="18">
        <v>1774814</v>
      </c>
      <c r="P11" s="18">
        <v>591604.80000000005</v>
      </c>
      <c r="Q11" s="18">
        <v>591604.80000000005</v>
      </c>
      <c r="Y11" s="11">
        <f t="shared" ref="Y11:Y34" si="0">SUM(C11:X11)</f>
        <v>5916047.5999999996</v>
      </c>
      <c r="Z11" s="19" t="str">
        <f>Z10</f>
        <v>Mike Miller</v>
      </c>
      <c r="AA11" s="18">
        <f>[1]Wilton!$BR$31</f>
        <v>5916048</v>
      </c>
      <c r="AB11" s="18">
        <f t="shared" ref="AB11:AB31" si="1">Y11-AA11</f>
        <v>-0.40000000037252903</v>
      </c>
    </row>
    <row r="12" spans="1:28" x14ac:dyDescent="0.25">
      <c r="A12" s="17" t="s">
        <v>114</v>
      </c>
      <c r="D12" s="17"/>
      <c r="F12" s="8"/>
      <c r="I12" s="18">
        <v>815280</v>
      </c>
      <c r="J12" s="18">
        <v>2025876</v>
      </c>
      <c r="K12" s="18">
        <v>0</v>
      </c>
      <c r="M12" s="18">
        <v>1894103.8</v>
      </c>
      <c r="Q12" s="18">
        <v>1183814.8799999999</v>
      </c>
      <c r="R12" s="18">
        <v>1775722.31</v>
      </c>
      <c r="S12" s="18">
        <v>1302196.3600000001</v>
      </c>
      <c r="U12" s="17">
        <f>473525.95+8560+440</f>
        <v>482525.95</v>
      </c>
      <c r="V12" s="17"/>
      <c r="W12" s="17"/>
      <c r="X12" s="17"/>
      <c r="Y12" s="11">
        <f t="shared" si="0"/>
        <v>9479519.2999999989</v>
      </c>
      <c r="Z12" s="19" t="str">
        <f>Z11</f>
        <v>Mike Miller</v>
      </c>
      <c r="AA12" s="18">
        <f>[1]Wilton!$BR$143</f>
        <v>9479519</v>
      </c>
      <c r="AB12" s="18">
        <f t="shared" si="1"/>
        <v>0.29999999888241291</v>
      </c>
    </row>
    <row r="13" spans="1:28" x14ac:dyDescent="0.25">
      <c r="A13" s="17" t="s">
        <v>105</v>
      </c>
      <c r="C13" s="4">
        <v>0</v>
      </c>
      <c r="F13" s="8"/>
      <c r="J13" s="18">
        <f>935200/12</f>
        <v>77933.333333333328</v>
      </c>
      <c r="K13" s="18">
        <f t="shared" ref="K13:U13" si="2">935200/12</f>
        <v>77933.333333333328</v>
      </c>
      <c r="L13" s="18">
        <f>935200/12</f>
        <v>77933.333333333328</v>
      </c>
      <c r="M13" s="18">
        <f>77933.33</f>
        <v>77933.33</v>
      </c>
      <c r="N13" s="18">
        <f>935200/12+5000</f>
        <v>82933.333333333328</v>
      </c>
      <c r="O13" s="18">
        <f t="shared" si="2"/>
        <v>77933.333333333328</v>
      </c>
      <c r="P13" s="18">
        <f t="shared" si="2"/>
        <v>77933.333333333328</v>
      </c>
      <c r="Q13" s="18">
        <f t="shared" si="2"/>
        <v>77933.333333333328</v>
      </c>
      <c r="R13" s="18">
        <f t="shared" si="2"/>
        <v>77933.333333333328</v>
      </c>
      <c r="S13" s="18">
        <f t="shared" si="2"/>
        <v>77933.333333333328</v>
      </c>
      <c r="T13" s="18">
        <f t="shared" si="2"/>
        <v>77933.333333333328</v>
      </c>
      <c r="U13" s="18">
        <f t="shared" si="2"/>
        <v>77933.333333333328</v>
      </c>
      <c r="Y13" s="11">
        <f t="shared" si="0"/>
        <v>940199.99666666682</v>
      </c>
      <c r="Z13" s="19" t="str">
        <f t="shared" ref="Z13:Z20" si="3">Z12</f>
        <v>Mike Miller</v>
      </c>
      <c r="AA13" s="18">
        <f>[1]Wilton!$BR$127</f>
        <v>940200</v>
      </c>
      <c r="AB13" s="18">
        <f t="shared" si="1"/>
        <v>-3.3333331812173128E-3</v>
      </c>
    </row>
    <row r="14" spans="1:28" x14ac:dyDescent="0.25">
      <c r="A14" s="17" t="s">
        <v>106</v>
      </c>
      <c r="F14" s="8"/>
      <c r="J14" s="18">
        <f>2824800/12</f>
        <v>235400</v>
      </c>
      <c r="K14" s="18">
        <f t="shared" ref="K14:T14" si="4">2824800/12</f>
        <v>235400</v>
      </c>
      <c r="L14" s="18">
        <f>2824800/12</f>
        <v>235400</v>
      </c>
      <c r="M14" s="18">
        <v>235399</v>
      </c>
      <c r="N14" s="18">
        <f t="shared" si="4"/>
        <v>235400</v>
      </c>
      <c r="O14" s="18">
        <v>235398</v>
      </c>
      <c r="P14" s="18">
        <v>235399</v>
      </c>
      <c r="Q14" s="18">
        <f t="shared" si="4"/>
        <v>235400</v>
      </c>
      <c r="R14" s="18">
        <f t="shared" si="4"/>
        <v>235400</v>
      </c>
      <c r="S14" s="18">
        <f t="shared" si="4"/>
        <v>235400</v>
      </c>
      <c r="T14" s="18">
        <f t="shared" si="4"/>
        <v>235400</v>
      </c>
      <c r="U14" s="18">
        <f>2824800/12+1+2</f>
        <v>235403</v>
      </c>
      <c r="Y14" s="11">
        <f t="shared" si="0"/>
        <v>2824799</v>
      </c>
      <c r="Z14" s="19" t="str">
        <f t="shared" si="3"/>
        <v>Mike Miller</v>
      </c>
      <c r="AA14" s="18">
        <f>[1]Wilton!$BR$128</f>
        <v>2824800</v>
      </c>
      <c r="AB14" s="18">
        <f t="shared" si="1"/>
        <v>-1</v>
      </c>
    </row>
    <row r="15" spans="1:28" x14ac:dyDescent="0.25">
      <c r="A15" s="17" t="s">
        <v>107</v>
      </c>
      <c r="F15" s="8"/>
      <c r="U15" s="18">
        <v>3066700</v>
      </c>
      <c r="Y15" s="11">
        <f t="shared" si="0"/>
        <v>3066700</v>
      </c>
      <c r="Z15" s="19" t="str">
        <f t="shared" si="3"/>
        <v>Mike Miller</v>
      </c>
      <c r="AA15" s="18">
        <f>[1]Wilton!$BR$129</f>
        <v>3066700</v>
      </c>
      <c r="AB15" s="18">
        <f t="shared" si="1"/>
        <v>0</v>
      </c>
    </row>
    <row r="16" spans="1:28" x14ac:dyDescent="0.25">
      <c r="A16" s="17" t="s">
        <v>119</v>
      </c>
      <c r="C16" s="4">
        <v>0</v>
      </c>
      <c r="F16" s="8"/>
      <c r="K16" s="18">
        <v>0</v>
      </c>
      <c r="M16" s="18">
        <v>0</v>
      </c>
      <c r="N16" s="18">
        <v>862088</v>
      </c>
      <c r="O16" s="18">
        <v>636689</v>
      </c>
      <c r="P16" s="18">
        <v>1727562</v>
      </c>
      <c r="Q16" s="18">
        <v>2134700</v>
      </c>
      <c r="R16" s="18">
        <v>2351106</v>
      </c>
      <c r="S16" s="18">
        <v>2233236</v>
      </c>
      <c r="T16" s="18">
        <v>1746094</v>
      </c>
      <c r="U16" s="18">
        <f>1164348+622654+868432</f>
        <v>2655434</v>
      </c>
      <c r="Y16" s="11">
        <f t="shared" si="0"/>
        <v>14346909</v>
      </c>
      <c r="Z16" s="19" t="str">
        <f t="shared" si="3"/>
        <v>Mike Miller</v>
      </c>
      <c r="AA16" s="18">
        <f>[1]Wilton!$BR$55</f>
        <v>14346909</v>
      </c>
      <c r="AB16" s="18">
        <f t="shared" si="1"/>
        <v>0</v>
      </c>
    </row>
    <row r="17" spans="1:28" x14ac:dyDescent="0.25">
      <c r="A17" s="17" t="s">
        <v>120</v>
      </c>
      <c r="F17" s="8"/>
      <c r="N17" s="18">
        <v>3301</v>
      </c>
      <c r="O17" s="18">
        <v>346618</v>
      </c>
      <c r="P17" s="18">
        <v>1451621</v>
      </c>
      <c r="Q17" s="18">
        <v>1032590</v>
      </c>
      <c r="R17" s="18">
        <v>1862702</v>
      </c>
      <c r="S17" s="18">
        <v>1954057</v>
      </c>
      <c r="T17" s="18">
        <v>231962</v>
      </c>
      <c r="U17" s="18">
        <f>108857+357741-271</f>
        <v>466327</v>
      </c>
      <c r="Y17" s="11">
        <f t="shared" si="0"/>
        <v>7349178</v>
      </c>
      <c r="Z17" s="19" t="str">
        <f t="shared" si="3"/>
        <v>Mike Miller</v>
      </c>
      <c r="AA17" s="18">
        <f>[1]Wilton!$BR$81</f>
        <v>7349178</v>
      </c>
      <c r="AB17" s="18">
        <f t="shared" si="1"/>
        <v>0</v>
      </c>
    </row>
    <row r="18" spans="1:28" x14ac:dyDescent="0.25">
      <c r="A18" s="17" t="s">
        <v>121</v>
      </c>
      <c r="F18" s="8"/>
      <c r="N18" s="18">
        <v>0</v>
      </c>
      <c r="O18" s="18">
        <v>2569929</v>
      </c>
      <c r="P18" s="18">
        <v>4657660</v>
      </c>
      <c r="Q18" s="18">
        <f>9531733-Q16-Q17-Q19</f>
        <v>4537347</v>
      </c>
      <c r="R18" s="18">
        <f>12922196-R16-R17-R19</f>
        <v>7381251</v>
      </c>
      <c r="S18" s="18">
        <f>11527832-S16-S17-S19</f>
        <v>6849670</v>
      </c>
      <c r="T18" s="18">
        <v>3000000</v>
      </c>
      <c r="U18" s="18">
        <f>4849213-U16-U17-U19+4363162</f>
        <v>5327329</v>
      </c>
      <c r="W18" s="18">
        <v>0</v>
      </c>
      <c r="Y18" s="11">
        <f t="shared" si="0"/>
        <v>34323186</v>
      </c>
      <c r="Z18" s="19" t="str">
        <f t="shared" si="3"/>
        <v>Mike Miller</v>
      </c>
      <c r="AA18" s="18">
        <f>[1]Wilton!$BR$115</f>
        <v>34323186</v>
      </c>
      <c r="AB18" s="18">
        <f t="shared" si="1"/>
        <v>0</v>
      </c>
    </row>
    <row r="19" spans="1:28" x14ac:dyDescent="0.25">
      <c r="A19" s="17" t="s">
        <v>122</v>
      </c>
      <c r="F19" s="8"/>
      <c r="M19" s="18">
        <v>0</v>
      </c>
      <c r="N19" s="18">
        <v>0</v>
      </c>
      <c r="O19" s="18">
        <v>28388</v>
      </c>
      <c r="P19" s="18">
        <v>763285</v>
      </c>
      <c r="Q19" s="18">
        <v>1827096</v>
      </c>
      <c r="R19" s="18">
        <v>1327137</v>
      </c>
      <c r="S19" s="18">
        <v>490869</v>
      </c>
      <c r="T19" s="18">
        <f>199984-63285</f>
        <v>136699</v>
      </c>
      <c r="U19" s="18">
        <v>763285</v>
      </c>
      <c r="Y19" s="11">
        <f t="shared" si="0"/>
        <v>5336759</v>
      </c>
      <c r="Z19" s="19" t="str">
        <f t="shared" si="3"/>
        <v>Mike Miller</v>
      </c>
      <c r="AA19" s="18">
        <f>[1]Wilton!$BR$120</f>
        <v>5336759</v>
      </c>
      <c r="AB19" s="18">
        <f t="shared" si="1"/>
        <v>0</v>
      </c>
    </row>
    <row r="20" spans="1:28" x14ac:dyDescent="0.25">
      <c r="A20" s="17" t="s">
        <v>123</v>
      </c>
      <c r="F20" s="8"/>
      <c r="N20" s="18">
        <v>0</v>
      </c>
      <c r="U20" s="18">
        <v>500000</v>
      </c>
      <c r="Y20" s="11">
        <f t="shared" si="0"/>
        <v>500000</v>
      </c>
      <c r="Z20" s="19" t="str">
        <f t="shared" si="3"/>
        <v>Mike Miller</v>
      </c>
      <c r="AA20" s="18">
        <f>[1]Wilton!$BR$158</f>
        <v>500000</v>
      </c>
      <c r="AB20" s="18">
        <f t="shared" si="1"/>
        <v>0</v>
      </c>
    </row>
    <row r="21" spans="1:28" x14ac:dyDescent="0.25">
      <c r="A21" s="17" t="s">
        <v>127</v>
      </c>
      <c r="F21" s="8"/>
      <c r="O21" s="18">
        <f>41000+531</f>
        <v>41531</v>
      </c>
      <c r="S21" s="18">
        <f>-744251-41531</f>
        <v>-785782</v>
      </c>
      <c r="U21" s="18">
        <v>744251</v>
      </c>
      <c r="W21" s="18">
        <v>0</v>
      </c>
      <c r="Y21" s="11">
        <f t="shared" si="0"/>
        <v>0</v>
      </c>
      <c r="Z21" s="19"/>
      <c r="AA21" s="18">
        <v>-744251</v>
      </c>
      <c r="AB21" s="18">
        <f t="shared" si="1"/>
        <v>744251</v>
      </c>
    </row>
    <row r="22" spans="1:28" x14ac:dyDescent="0.25">
      <c r="A22" s="17" t="s">
        <v>124</v>
      </c>
      <c r="F22" s="8"/>
      <c r="N22" s="18">
        <v>8573073</v>
      </c>
      <c r="O22" s="18">
        <v>7093919</v>
      </c>
      <c r="P22" s="18">
        <v>-7855877</v>
      </c>
      <c r="U22" s="18">
        <v>-7811115</v>
      </c>
      <c r="Y22" s="11">
        <f t="shared" si="0"/>
        <v>0</v>
      </c>
      <c r="Z22" s="19" t="str">
        <f>Z20</f>
        <v>Mike Miller</v>
      </c>
      <c r="AB22" s="18">
        <f t="shared" si="1"/>
        <v>0</v>
      </c>
    </row>
    <row r="23" spans="1:28" x14ac:dyDescent="0.25">
      <c r="A23" s="17" t="s">
        <v>42</v>
      </c>
      <c r="C23" s="4">
        <v>0</v>
      </c>
      <c r="F23" s="8"/>
      <c r="P23" s="18">
        <v>0</v>
      </c>
      <c r="Q23" s="18">
        <f>125000+125000</f>
        <v>250000</v>
      </c>
      <c r="R23" s="18">
        <v>125000</v>
      </c>
      <c r="S23" s="18">
        <v>125000</v>
      </c>
      <c r="T23" s="18">
        <v>125000</v>
      </c>
      <c r="U23" s="17">
        <f>908786-625000</f>
        <v>283786</v>
      </c>
      <c r="V23" s="17"/>
      <c r="W23" s="17"/>
      <c r="X23" s="17"/>
      <c r="Y23" s="11">
        <f t="shared" si="0"/>
        <v>908786</v>
      </c>
      <c r="Z23" s="19" t="s">
        <v>51</v>
      </c>
      <c r="AA23" s="18">
        <f>[1]Wilton!$BR$152</f>
        <v>908786</v>
      </c>
      <c r="AB23" s="18">
        <f t="shared" si="1"/>
        <v>0</v>
      </c>
    </row>
    <row r="24" spans="1:28" x14ac:dyDescent="0.25">
      <c r="A24" s="17" t="s">
        <v>22</v>
      </c>
      <c r="C24" s="4">
        <v>0</v>
      </c>
      <c r="F24" s="8"/>
      <c r="S24" s="18">
        <v>500000</v>
      </c>
      <c r="T24" s="18">
        <v>500000</v>
      </c>
      <c r="U24" s="18">
        <f>1253881-1000000</f>
        <v>253881</v>
      </c>
      <c r="Y24" s="11">
        <f t="shared" si="0"/>
        <v>1253881</v>
      </c>
      <c r="Z24" s="19" t="str">
        <f>Z16</f>
        <v>Mike Miller</v>
      </c>
      <c r="AA24" s="18">
        <f>[1]Wilton!$BR$160</f>
        <v>1253881</v>
      </c>
      <c r="AB24" s="18">
        <f t="shared" si="1"/>
        <v>0</v>
      </c>
    </row>
    <row r="25" spans="1:28" x14ac:dyDescent="0.25">
      <c r="A25" s="17" t="s">
        <v>23</v>
      </c>
      <c r="C25" s="4">
        <v>0</v>
      </c>
      <c r="F25" s="8">
        <v>20000</v>
      </c>
      <c r="G25" s="18">
        <f>1381361+65000</f>
        <v>1446361</v>
      </c>
      <c r="H25" s="18">
        <v>8500</v>
      </c>
      <c r="J25" s="18">
        <v>821965</v>
      </c>
      <c r="K25" s="18">
        <v>0</v>
      </c>
      <c r="M25" s="17">
        <v>1000</v>
      </c>
      <c r="N25" s="18">
        <v>7992</v>
      </c>
      <c r="P25" s="18">
        <v>180000</v>
      </c>
      <c r="Y25" s="11">
        <f t="shared" si="0"/>
        <v>2485818</v>
      </c>
      <c r="Z25" s="19" t="s">
        <v>52</v>
      </c>
      <c r="AA25" s="18">
        <f>[1]Wilton!$BR$167</f>
        <v>2485818.14</v>
      </c>
      <c r="AB25" s="18">
        <f t="shared" si="1"/>
        <v>-0.14000000013038516</v>
      </c>
    </row>
    <row r="26" spans="1:28" x14ac:dyDescent="0.25">
      <c r="A26" s="17" t="s">
        <v>24</v>
      </c>
      <c r="C26" s="4">
        <v>0</v>
      </c>
      <c r="E26" s="18">
        <v>0</v>
      </c>
      <c r="F26" s="8">
        <v>0</v>
      </c>
      <c r="G26" s="17"/>
      <c r="H26" s="18">
        <v>71081</v>
      </c>
      <c r="I26" s="17">
        <v>13262</v>
      </c>
      <c r="J26" s="17">
        <v>24704.06</v>
      </c>
      <c r="K26" s="17">
        <v>9361.2199999999993</v>
      </c>
      <c r="L26" s="17">
        <v>11746.18</v>
      </c>
      <c r="M26" s="18">
        <v>19878</v>
      </c>
      <c r="N26" s="18">
        <v>29832</v>
      </c>
      <c r="O26" s="18">
        <v>39860</v>
      </c>
      <c r="P26" s="18">
        <v>5434</v>
      </c>
      <c r="Q26" s="18">
        <v>51338</v>
      </c>
      <c r="R26" s="18">
        <v>73458</v>
      </c>
      <c r="U26" s="18">
        <v>0</v>
      </c>
      <c r="Y26" s="11">
        <f t="shared" si="0"/>
        <v>349954.45999999996</v>
      </c>
      <c r="Z26" s="19" t="str">
        <f>Z25</f>
        <v>Scott Healy</v>
      </c>
    </row>
    <row r="27" spans="1:28" x14ac:dyDescent="0.25">
      <c r="A27" s="17" t="s">
        <v>95</v>
      </c>
      <c r="F27" s="8"/>
      <c r="G27" s="17"/>
      <c r="I27" s="17"/>
      <c r="J27" s="17"/>
      <c r="K27" s="17"/>
      <c r="L27" s="17"/>
      <c r="O27" s="18">
        <v>216382</v>
      </c>
      <c r="P27" s="18">
        <v>2174</v>
      </c>
      <c r="Y27" s="11">
        <f t="shared" si="0"/>
        <v>218556</v>
      </c>
      <c r="Z27" s="19"/>
      <c r="AA27" s="18">
        <f>[1]Wilton!$BR$156</f>
        <v>218555.81000000003</v>
      </c>
      <c r="AB27" s="18">
        <f t="shared" si="1"/>
        <v>0.18999999997322448</v>
      </c>
    </row>
    <row r="28" spans="1:28" x14ac:dyDescent="0.25">
      <c r="A28" s="17" t="s">
        <v>104</v>
      </c>
      <c r="C28" s="4">
        <v>0</v>
      </c>
      <c r="F28" s="8"/>
      <c r="M28" s="18">
        <v>50050</v>
      </c>
      <c r="N28" s="18">
        <v>160616</v>
      </c>
      <c r="O28" s="18">
        <v>8228</v>
      </c>
      <c r="P28" s="18">
        <v>115500</v>
      </c>
      <c r="Q28" s="18">
        <v>665606</v>
      </c>
      <c r="R28" s="18">
        <v>200000</v>
      </c>
      <c r="Y28" s="11">
        <f t="shared" si="0"/>
        <v>1200000</v>
      </c>
      <c r="Z28" s="19" t="s">
        <v>53</v>
      </c>
      <c r="AA28" s="18">
        <f>[1]Wilton!$BR$176</f>
        <v>1200000</v>
      </c>
      <c r="AB28" s="18">
        <f t="shared" si="1"/>
        <v>0</v>
      </c>
    </row>
    <row r="29" spans="1:28" x14ac:dyDescent="0.25">
      <c r="A29" s="17" t="s">
        <v>25</v>
      </c>
      <c r="C29" s="4">
        <v>0</v>
      </c>
      <c r="F29" s="8"/>
      <c r="O29" s="18">
        <v>0</v>
      </c>
      <c r="P29" s="18">
        <v>0</v>
      </c>
      <c r="Q29" s="18">
        <f>1250000+500000</f>
        <v>1750000</v>
      </c>
      <c r="R29" s="18">
        <f>1250000+500000</f>
        <v>1750000</v>
      </c>
      <c r="S29" s="18">
        <v>1500000</v>
      </c>
      <c r="T29" s="18">
        <f>500000+750000</f>
        <v>1250000</v>
      </c>
      <c r="U29" s="18">
        <v>250000</v>
      </c>
      <c r="Y29" s="11">
        <f t="shared" si="0"/>
        <v>6500000</v>
      </c>
      <c r="Z29" s="19" t="s">
        <v>53</v>
      </c>
      <c r="AA29" s="18">
        <f>[1]Wilton!$BR$178</f>
        <v>6500000</v>
      </c>
      <c r="AB29" s="18">
        <f t="shared" si="1"/>
        <v>0</v>
      </c>
    </row>
    <row r="30" spans="1:28" x14ac:dyDescent="0.25">
      <c r="A30" s="17" t="s">
        <v>27</v>
      </c>
      <c r="C30" s="4">
        <v>0</v>
      </c>
      <c r="F30" s="8"/>
      <c r="S30" s="18">
        <v>500000</v>
      </c>
      <c r="T30" s="18">
        <v>500000</v>
      </c>
      <c r="U30" s="18">
        <v>500000</v>
      </c>
      <c r="Y30" s="11">
        <f t="shared" si="0"/>
        <v>1500000</v>
      </c>
      <c r="Z30" s="19" t="str">
        <f>Z23</f>
        <v>Kevin Presto</v>
      </c>
      <c r="AA30" s="18">
        <f>[1]Wilton!$BR$184</f>
        <v>1500000</v>
      </c>
      <c r="AB30" s="18">
        <f t="shared" si="1"/>
        <v>0</v>
      </c>
    </row>
    <row r="31" spans="1:28" x14ac:dyDescent="0.25">
      <c r="A31" s="17" t="s">
        <v>29</v>
      </c>
      <c r="C31" s="4">
        <v>0</v>
      </c>
      <c r="F31" s="8"/>
      <c r="M31" s="18">
        <v>0</v>
      </c>
      <c r="N31" s="18">
        <v>0</v>
      </c>
      <c r="O31" s="18">
        <v>266248.5</v>
      </c>
      <c r="Y31" s="11">
        <f t="shared" si="0"/>
        <v>266248.5</v>
      </c>
      <c r="Z31" s="19" t="s">
        <v>52</v>
      </c>
      <c r="AA31" s="18">
        <f>[1]Wilton!$BR$186</f>
        <v>266248.5</v>
      </c>
      <c r="AB31" s="18">
        <f t="shared" si="1"/>
        <v>0</v>
      </c>
    </row>
    <row r="32" spans="1:28" x14ac:dyDescent="0.25">
      <c r="A32" s="17" t="s">
        <v>30</v>
      </c>
      <c r="C32" s="4">
        <v>0</v>
      </c>
      <c r="D32" s="18">
        <v>0</v>
      </c>
      <c r="E32" s="18">
        <v>0</v>
      </c>
      <c r="F32" s="8">
        <v>0</v>
      </c>
      <c r="G32" s="18">
        <v>7949</v>
      </c>
      <c r="H32" s="18">
        <v>29402</v>
      </c>
      <c r="I32" s="18">
        <v>13770.85</v>
      </c>
      <c r="J32" s="18">
        <v>7746</v>
      </c>
      <c r="K32" s="18">
        <v>6276</v>
      </c>
      <c r="L32" s="18">
        <v>6591.41</v>
      </c>
      <c r="M32" s="18">
        <v>0</v>
      </c>
      <c r="N32" s="18">
        <v>0</v>
      </c>
      <c r="O32" s="18">
        <v>0</v>
      </c>
      <c r="P32" s="18">
        <v>0</v>
      </c>
      <c r="Q32" s="18">
        <f>200000/15</f>
        <v>13333.333333333334</v>
      </c>
      <c r="R32" s="18">
        <f>200000/15</f>
        <v>13333.333333333334</v>
      </c>
      <c r="S32" s="18">
        <f>6712-438+13334</f>
        <v>19608</v>
      </c>
      <c r="T32" s="18">
        <v>5588</v>
      </c>
      <c r="U32" s="17">
        <f>6742+33723+13333</f>
        <v>53798</v>
      </c>
      <c r="V32" s="17"/>
      <c r="W32" s="17"/>
      <c r="X32" s="17"/>
      <c r="Y32" s="11">
        <f t="shared" si="0"/>
        <v>177395.92666666664</v>
      </c>
      <c r="Z32" s="19" t="s">
        <v>52</v>
      </c>
    </row>
    <row r="33" spans="1:27" x14ac:dyDescent="0.25">
      <c r="A33" s="17" t="s">
        <v>32</v>
      </c>
      <c r="C33" s="4">
        <v>0</v>
      </c>
      <c r="D33" s="18">
        <v>0</v>
      </c>
      <c r="E33" s="18">
        <v>0</v>
      </c>
      <c r="F33" s="8">
        <v>0</v>
      </c>
      <c r="G33" s="18">
        <v>0</v>
      </c>
      <c r="H33" s="18">
        <v>11792</v>
      </c>
      <c r="I33" s="18">
        <f>11675+5185</f>
        <v>16860</v>
      </c>
      <c r="J33" s="18">
        <f>3599+10838+1916.6</f>
        <v>16353.6</v>
      </c>
      <c r="K33" s="18">
        <v>33741</v>
      </c>
      <c r="L33" s="18">
        <f>20657.14+6342.74</f>
        <v>26999.879999999997</v>
      </c>
      <c r="M33" s="18">
        <v>47825</v>
      </c>
      <c r="N33" s="18">
        <v>131162</v>
      </c>
      <c r="O33" s="18">
        <v>154225</v>
      </c>
      <c r="P33" s="18">
        <v>51069</v>
      </c>
      <c r="Q33" s="18">
        <v>2610</v>
      </c>
      <c r="R33" s="18">
        <v>31732</v>
      </c>
      <c r="T33" s="17"/>
      <c r="U33" s="18">
        <f>36960-8586</f>
        <v>28374</v>
      </c>
      <c r="Y33" s="11">
        <f t="shared" si="0"/>
        <v>552743.48</v>
      </c>
      <c r="Z33" s="19" t="s">
        <v>52</v>
      </c>
    </row>
    <row r="34" spans="1:27" x14ac:dyDescent="0.25">
      <c r="A34" s="17" t="s">
        <v>33</v>
      </c>
      <c r="C34" s="4">
        <v>0</v>
      </c>
      <c r="D34" s="18">
        <v>0</v>
      </c>
      <c r="E34" s="18">
        <v>0</v>
      </c>
      <c r="F34" s="8">
        <v>0</v>
      </c>
      <c r="G34" s="18">
        <v>0</v>
      </c>
      <c r="H34" s="18">
        <v>604.5</v>
      </c>
      <c r="I34" s="18">
        <v>0</v>
      </c>
      <c r="J34" s="18">
        <v>21423</v>
      </c>
      <c r="K34" s="18">
        <v>0</v>
      </c>
      <c r="L34" s="18">
        <v>75</v>
      </c>
      <c r="M34" s="18">
        <v>6749</v>
      </c>
      <c r="N34" s="18">
        <v>4455</v>
      </c>
      <c r="O34" s="18">
        <f>252209+5848.5</f>
        <v>258057.5</v>
      </c>
      <c r="P34" s="18">
        <v>0</v>
      </c>
      <c r="Q34" s="18">
        <v>19571</v>
      </c>
      <c r="R34" s="18">
        <f>5000+50000</f>
        <v>55000</v>
      </c>
      <c r="S34" s="18">
        <f>153+18251</f>
        <v>18404</v>
      </c>
      <c r="T34" s="18">
        <f>54925-5848.5+50000</f>
        <v>99076.5</v>
      </c>
      <c r="U34" s="18">
        <v>15544</v>
      </c>
      <c r="Y34" s="11">
        <f t="shared" si="0"/>
        <v>498959.5</v>
      </c>
      <c r="Z34" s="19" t="s">
        <v>52</v>
      </c>
      <c r="AA34" s="18">
        <v>0</v>
      </c>
    </row>
    <row r="35" spans="1:27" x14ac:dyDescent="0.25">
      <c r="A35" s="17" t="s">
        <v>63</v>
      </c>
      <c r="C35" s="21">
        <f t="shared" ref="C35:U35" si="5">SUM(C10:C34)</f>
        <v>6800000</v>
      </c>
      <c r="D35" s="21">
        <f t="shared" si="5"/>
        <v>1250000</v>
      </c>
      <c r="E35" s="21">
        <f t="shared" si="5"/>
        <v>32884800</v>
      </c>
      <c r="F35" s="21">
        <f t="shared" si="5"/>
        <v>20000</v>
      </c>
      <c r="G35" s="21">
        <f t="shared" si="5"/>
        <v>1454310</v>
      </c>
      <c r="H35" s="21">
        <f t="shared" si="5"/>
        <v>18431906.5</v>
      </c>
      <c r="I35" s="21">
        <f t="shared" si="5"/>
        <v>7659172.8499999996</v>
      </c>
      <c r="J35" s="21">
        <f t="shared" si="5"/>
        <v>8382273.5933333319</v>
      </c>
      <c r="K35" s="21">
        <f t="shared" si="5"/>
        <v>6523038.5533333328</v>
      </c>
      <c r="L35" s="21">
        <f t="shared" si="5"/>
        <v>7283592.8033333328</v>
      </c>
      <c r="M35" s="21">
        <f t="shared" si="5"/>
        <v>11032599.530000001</v>
      </c>
      <c r="N35" s="21">
        <f t="shared" si="5"/>
        <v>17015699.333333332</v>
      </c>
      <c r="O35" s="21">
        <f t="shared" si="5"/>
        <v>38436364.083333328</v>
      </c>
      <c r="P35" s="21">
        <f t="shared" si="5"/>
        <v>2003365.1333333328</v>
      </c>
      <c r="Q35" s="21">
        <f>SUM(Q10:Q34)</f>
        <v>27698635.346666668</v>
      </c>
      <c r="R35" s="21">
        <f t="shared" si="5"/>
        <v>17259774.976666667</v>
      </c>
      <c r="S35" s="21">
        <f t="shared" si="5"/>
        <v>15020591.693333333</v>
      </c>
      <c r="T35" s="21">
        <f t="shared" si="5"/>
        <v>7907752.833333333</v>
      </c>
      <c r="U35" s="21">
        <f t="shared" si="5"/>
        <v>14996703.283333331</v>
      </c>
      <c r="V35" s="21">
        <f>SUM(V10:V34)</f>
        <v>0</v>
      </c>
      <c r="W35" s="21">
        <f>SUM(W10:W34)</f>
        <v>0</v>
      </c>
      <c r="X35" s="21">
        <f>SUM(X10:X34)</f>
        <v>0</v>
      </c>
      <c r="Y35" s="22">
        <f>SUM(C35:X35)</f>
        <v>242060580.51333329</v>
      </c>
    </row>
    <row r="36" spans="1:27" x14ac:dyDescent="0.25">
      <c r="A36" s="17" t="s">
        <v>67</v>
      </c>
      <c r="C36" s="21">
        <f>+C35</f>
        <v>6800000</v>
      </c>
      <c r="D36" s="21">
        <f t="shared" ref="D36:U36" si="6">+C36+D35</f>
        <v>8050000</v>
      </c>
      <c r="E36" s="21">
        <f t="shared" si="6"/>
        <v>40934800</v>
      </c>
      <c r="F36" s="21">
        <f t="shared" si="6"/>
        <v>40954800</v>
      </c>
      <c r="G36" s="21">
        <f t="shared" si="6"/>
        <v>42409110</v>
      </c>
      <c r="H36" s="21">
        <f t="shared" si="6"/>
        <v>60841016.5</v>
      </c>
      <c r="I36" s="21">
        <f t="shared" si="6"/>
        <v>68500189.349999994</v>
      </c>
      <c r="J36" s="21">
        <f t="shared" si="6"/>
        <v>76882462.943333328</v>
      </c>
      <c r="K36" s="21">
        <f t="shared" si="6"/>
        <v>83405501.496666655</v>
      </c>
      <c r="L36" s="21">
        <f t="shared" si="6"/>
        <v>90689094.299999982</v>
      </c>
      <c r="M36" s="21">
        <f t="shared" si="6"/>
        <v>101721693.82999998</v>
      </c>
      <c r="N36" s="21">
        <f t="shared" si="6"/>
        <v>118737393.16333331</v>
      </c>
      <c r="O36" s="21">
        <f t="shared" si="6"/>
        <v>157173757.24666664</v>
      </c>
      <c r="P36" s="21">
        <f>+O36+P35</f>
        <v>159177122.37999997</v>
      </c>
      <c r="Q36" s="21">
        <f t="shared" si="6"/>
        <v>186875757.72666663</v>
      </c>
      <c r="R36" s="21">
        <f t="shared" si="6"/>
        <v>204135532.70333329</v>
      </c>
      <c r="S36" s="21">
        <f t="shared" si="6"/>
        <v>219156124.39666662</v>
      </c>
      <c r="T36" s="21">
        <f t="shared" si="6"/>
        <v>227063877.22999996</v>
      </c>
      <c r="U36" s="21">
        <f t="shared" si="6"/>
        <v>242060580.51333329</v>
      </c>
      <c r="V36" s="21">
        <f>+U36+V35</f>
        <v>242060580.51333329</v>
      </c>
      <c r="W36" s="21">
        <f>+V36+W35</f>
        <v>242060580.51333329</v>
      </c>
      <c r="X36" s="21">
        <f>+W36+X35</f>
        <v>242060580.51333329</v>
      </c>
      <c r="Y36" s="13"/>
    </row>
    <row r="37" spans="1:27" x14ac:dyDescent="0.25">
      <c r="A37" s="17" t="s">
        <v>64</v>
      </c>
      <c r="F37" s="8"/>
      <c r="Y37" s="16">
        <f>+Y35/C52/1000</f>
        <v>398.12595479166657</v>
      </c>
      <c r="Z37" s="20"/>
    </row>
    <row r="38" spans="1:27" x14ac:dyDescent="0.25">
      <c r="F38" s="8"/>
      <c r="Y38" s="11"/>
    </row>
    <row r="39" spans="1:27" x14ac:dyDescent="0.25">
      <c r="A39" s="17" t="s">
        <v>94</v>
      </c>
      <c r="F39" s="40">
        <v>-21556.400000000001</v>
      </c>
      <c r="G39" s="40">
        <f>43113+23365.9</f>
        <v>66478.899999999994</v>
      </c>
      <c r="H39" s="18">
        <v>-51000</v>
      </c>
      <c r="Y39" s="11">
        <f>SUM(C39:X39)</f>
        <v>-6077.5000000000073</v>
      </c>
      <c r="Z39" s="19" t="s">
        <v>54</v>
      </c>
    </row>
    <row r="40" spans="1:27" x14ac:dyDescent="0.25">
      <c r="A40" s="17" t="s">
        <v>44</v>
      </c>
      <c r="C40" s="9">
        <v>340000</v>
      </c>
      <c r="D40" s="20">
        <v>46410</v>
      </c>
      <c r="E40" s="20">
        <v>139384</v>
      </c>
      <c r="F40" s="41">
        <f>205882.6+21556.4</f>
        <v>227439</v>
      </c>
      <c r="G40" s="30">
        <v>231444</v>
      </c>
      <c r="H40" s="30">
        <v>419367</v>
      </c>
      <c r="I40" s="30">
        <v>378615.55252083327</v>
      </c>
      <c r="J40" s="30">
        <v>426070.36872754333</v>
      </c>
      <c r="K40" s="30">
        <v>463711.37538870639</v>
      </c>
      <c r="L40" s="30">
        <v>505639.68570277008</v>
      </c>
      <c r="M40" s="30">
        <v>568176.30085850751</v>
      </c>
      <c r="N40" s="30">
        <v>663422.29387704656</v>
      </c>
      <c r="O40" s="30">
        <v>873819.32529526937</v>
      </c>
      <c r="P40" s="30">
        <f t="shared" ref="P40:U40" si="7">(P36+O45)*$C50/12</f>
        <v>890801.8859045076</v>
      </c>
      <c r="Q40" s="30">
        <f t="shared" si="7"/>
        <v>1045661.3375809347</v>
      </c>
      <c r="R40" s="30">
        <f t="shared" si="7"/>
        <v>1144815.7842831092</v>
      </c>
      <c r="S40" s="30">
        <f t="shared" si="7"/>
        <v>1232378.4081201984</v>
      </c>
      <c r="T40" s="30">
        <f t="shared" si="7"/>
        <v>1281887.4523447384</v>
      </c>
      <c r="U40" s="30">
        <f t="shared" si="7"/>
        <v>1370063.1521629945</v>
      </c>
      <c r="V40" s="30"/>
      <c r="W40" s="30"/>
      <c r="X40" s="30"/>
      <c r="Y40" s="11">
        <f>SUM(C40:X40)</f>
        <v>12249106.92276716</v>
      </c>
      <c r="Z40" s="19">
        <f>Z53</f>
        <v>0</v>
      </c>
    </row>
    <row r="41" spans="1:27" x14ac:dyDescent="0.25">
      <c r="A41" s="17" t="s">
        <v>88</v>
      </c>
      <c r="C41" s="9"/>
      <c r="D41" s="20"/>
      <c r="E41" s="20"/>
      <c r="F41" s="30">
        <v>0</v>
      </c>
      <c r="G41" s="30">
        <v>0</v>
      </c>
      <c r="H41" s="30">
        <v>0</v>
      </c>
      <c r="I41" s="30">
        <v>0</v>
      </c>
      <c r="J41" s="30"/>
      <c r="K41" s="30">
        <v>0</v>
      </c>
      <c r="L41" s="30">
        <v>0</v>
      </c>
      <c r="M41" s="30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/>
      <c r="W41" s="30"/>
      <c r="X41" s="30"/>
      <c r="Y41" s="11">
        <f>SUM(C41:X41)</f>
        <v>0</v>
      </c>
      <c r="Z41" s="19">
        <f>Z40</f>
        <v>0</v>
      </c>
    </row>
    <row r="42" spans="1:27" x14ac:dyDescent="0.25">
      <c r="A42" s="17" t="s">
        <v>125</v>
      </c>
      <c r="C42" s="4">
        <v>0</v>
      </c>
      <c r="H42" s="18">
        <v>100</v>
      </c>
      <c r="K42" s="18">
        <f>220+59</f>
        <v>279</v>
      </c>
      <c r="L42" s="18">
        <v>10</v>
      </c>
      <c r="M42" s="18">
        <v>0</v>
      </c>
      <c r="N42" s="18">
        <v>800</v>
      </c>
      <c r="Y42" s="11">
        <f>SUM(C42:X42)</f>
        <v>1189</v>
      </c>
      <c r="Z42" s="19"/>
    </row>
    <row r="43" spans="1:27" x14ac:dyDescent="0.25">
      <c r="A43" s="17" t="s">
        <v>86</v>
      </c>
      <c r="C43" s="9">
        <v>0</v>
      </c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>
        <v>0</v>
      </c>
      <c r="V43" s="20"/>
      <c r="W43" s="20"/>
      <c r="X43" s="20"/>
      <c r="Y43" s="11">
        <f>SUM(C43:X43)</f>
        <v>0</v>
      </c>
      <c r="Z43" s="19" t="str">
        <f>Z24</f>
        <v>Mike Miller</v>
      </c>
    </row>
    <row r="44" spans="1:27" x14ac:dyDescent="0.25">
      <c r="A44" s="17" t="s">
        <v>65</v>
      </c>
      <c r="C44" s="21">
        <f>SUM(C39:C43)</f>
        <v>340000</v>
      </c>
      <c r="D44" s="21">
        <f t="shared" ref="D44:U44" si="8">SUM(D39:D43)</f>
        <v>46410</v>
      </c>
      <c r="E44" s="21">
        <f t="shared" si="8"/>
        <v>139384</v>
      </c>
      <c r="F44" s="21">
        <f t="shared" si="8"/>
        <v>205882.6</v>
      </c>
      <c r="G44" s="21">
        <f t="shared" si="8"/>
        <v>297922.90000000002</v>
      </c>
      <c r="H44" s="21">
        <f t="shared" si="8"/>
        <v>368467</v>
      </c>
      <c r="I44" s="21">
        <f t="shared" si="8"/>
        <v>378615.55252083327</v>
      </c>
      <c r="J44" s="21">
        <f t="shared" ref="J44:O44" si="9">SUM(J39:J43)</f>
        <v>426070.36872754333</v>
      </c>
      <c r="K44" s="21">
        <f t="shared" si="9"/>
        <v>463990.37538870639</v>
      </c>
      <c r="L44" s="21">
        <f t="shared" si="9"/>
        <v>505649.68570277008</v>
      </c>
      <c r="M44" s="21">
        <f t="shared" si="9"/>
        <v>568176.30085850751</v>
      </c>
      <c r="N44" s="21">
        <f t="shared" si="9"/>
        <v>664222.29387704656</v>
      </c>
      <c r="O44" s="21">
        <f t="shared" si="9"/>
        <v>873819.32529526937</v>
      </c>
      <c r="P44" s="21">
        <f t="shared" si="8"/>
        <v>890801.8859045076</v>
      </c>
      <c r="Q44" s="21">
        <f t="shared" si="8"/>
        <v>1045661.3375809347</v>
      </c>
      <c r="R44" s="21">
        <f t="shared" si="8"/>
        <v>1144815.7842831092</v>
      </c>
      <c r="S44" s="21">
        <f t="shared" si="8"/>
        <v>1232378.4081201984</v>
      </c>
      <c r="T44" s="21">
        <f t="shared" si="8"/>
        <v>1281887.4523447384</v>
      </c>
      <c r="U44" s="21">
        <f t="shared" si="8"/>
        <v>1370063.1521629945</v>
      </c>
      <c r="V44" s="21">
        <f>SUM(V39:V43)</f>
        <v>0</v>
      </c>
      <c r="W44" s="21">
        <f>SUM(W39:W43)</f>
        <v>0</v>
      </c>
      <c r="X44" s="21">
        <f>SUM(X39:X43)</f>
        <v>0</v>
      </c>
      <c r="Y44" s="22">
        <f>SUM(C44:U44)</f>
        <v>12244218.42276716</v>
      </c>
      <c r="Z44" s="20"/>
    </row>
    <row r="45" spans="1:27" x14ac:dyDescent="0.25">
      <c r="A45" s="17" t="s">
        <v>68</v>
      </c>
      <c r="C45" s="21">
        <f>+C44</f>
        <v>340000</v>
      </c>
      <c r="D45" s="21">
        <f t="shared" ref="D45:U45" si="10">+D44+C45</f>
        <v>386410</v>
      </c>
      <c r="E45" s="21">
        <f t="shared" si="10"/>
        <v>525794</v>
      </c>
      <c r="F45" s="21">
        <f t="shared" si="10"/>
        <v>731676.6</v>
      </c>
      <c r="G45" s="21">
        <f t="shared" si="10"/>
        <v>1029599.5</v>
      </c>
      <c r="H45" s="21">
        <f t="shared" si="10"/>
        <v>1398066.5</v>
      </c>
      <c r="I45" s="21">
        <f t="shared" si="10"/>
        <v>1776682.0525208332</v>
      </c>
      <c r="J45" s="21">
        <f>+J44+I45</f>
        <v>2202752.4212483764</v>
      </c>
      <c r="K45" s="21">
        <f>+K44+J45</f>
        <v>2666742.7966370829</v>
      </c>
      <c r="L45" s="21">
        <f>+L44+K45</f>
        <v>3172392.482339853</v>
      </c>
      <c r="M45" s="21">
        <f>+M44+L45</f>
        <v>3740568.7831983604</v>
      </c>
      <c r="N45" s="21">
        <f t="shared" si="10"/>
        <v>4404791.0770754069</v>
      </c>
      <c r="O45" s="21">
        <f t="shared" si="10"/>
        <v>5278610.4023706764</v>
      </c>
      <c r="P45" s="21">
        <f>+P44+O45</f>
        <v>6169412.2882751841</v>
      </c>
      <c r="Q45" s="21">
        <f t="shared" si="10"/>
        <v>7215073.6258561192</v>
      </c>
      <c r="R45" s="21">
        <f t="shared" si="10"/>
        <v>8359889.4101392282</v>
      </c>
      <c r="S45" s="21">
        <f t="shared" si="10"/>
        <v>9592267.8182594273</v>
      </c>
      <c r="T45" s="21">
        <f t="shared" si="10"/>
        <v>10874155.270604165</v>
      </c>
      <c r="U45" s="21">
        <f t="shared" si="10"/>
        <v>12244218.42276716</v>
      </c>
      <c r="V45" s="21">
        <f>+V44+U45</f>
        <v>12244218.42276716</v>
      </c>
      <c r="W45" s="21">
        <f>+W44+V45</f>
        <v>12244218.42276716</v>
      </c>
      <c r="X45" s="21">
        <f>+X44+W45</f>
        <v>12244218.42276716</v>
      </c>
      <c r="Y45" s="11"/>
      <c r="Z45" s="20"/>
    </row>
    <row r="46" spans="1:27" x14ac:dyDescent="0.25">
      <c r="A46" s="17"/>
      <c r="C46" s="9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11"/>
      <c r="Z46" s="20"/>
    </row>
    <row r="47" spans="1:27" s="4" customFormat="1" x14ac:dyDescent="0.25">
      <c r="A47" s="4" t="s">
        <v>77</v>
      </c>
      <c r="C47" s="4">
        <f t="shared" ref="C47:U47" si="11">+C35+C44</f>
        <v>7140000</v>
      </c>
      <c r="D47" s="4">
        <f t="shared" si="11"/>
        <v>1296410</v>
      </c>
      <c r="E47" s="4">
        <f t="shared" si="11"/>
        <v>33024184</v>
      </c>
      <c r="F47" s="4">
        <f t="shared" si="11"/>
        <v>225882.6</v>
      </c>
      <c r="G47" s="4">
        <f t="shared" si="11"/>
        <v>1752232.9</v>
      </c>
      <c r="H47" s="4">
        <f t="shared" si="11"/>
        <v>18800373.5</v>
      </c>
      <c r="I47" s="4">
        <f t="shared" si="11"/>
        <v>8037788.4025208326</v>
      </c>
      <c r="J47" s="4">
        <f>+J35+J44</f>
        <v>8808343.9620608743</v>
      </c>
      <c r="K47" s="4">
        <f>+K35+K44</f>
        <v>6987028.9287220389</v>
      </c>
      <c r="L47" s="4">
        <f>+L35+L44</f>
        <v>7789242.4890361028</v>
      </c>
      <c r="M47" s="4">
        <f>+M35+M44</f>
        <v>11600775.830858508</v>
      </c>
      <c r="N47" s="4">
        <f t="shared" si="11"/>
        <v>17679921.627210379</v>
      </c>
      <c r="O47" s="4">
        <f t="shared" si="11"/>
        <v>39310183.408628598</v>
      </c>
      <c r="P47" s="4">
        <f t="shared" si="11"/>
        <v>2894167.0192378405</v>
      </c>
      <c r="Q47" s="4">
        <f t="shared" si="11"/>
        <v>28744296.684247602</v>
      </c>
      <c r="R47" s="4">
        <f t="shared" si="11"/>
        <v>18404590.760949776</v>
      </c>
      <c r="S47" s="4">
        <f t="shared" si="11"/>
        <v>16252970.101453532</v>
      </c>
      <c r="T47" s="4">
        <f t="shared" si="11"/>
        <v>9189640.2856780719</v>
      </c>
      <c r="U47" s="4">
        <f t="shared" si="11"/>
        <v>16366766.435496327</v>
      </c>
      <c r="V47" s="4">
        <f>+V35+V44</f>
        <v>0</v>
      </c>
      <c r="W47" s="4">
        <f>+W35+W44</f>
        <v>0</v>
      </c>
      <c r="X47" s="4">
        <f>+X35+X44</f>
        <v>0</v>
      </c>
      <c r="Y47" s="11">
        <f>SUM(C47:X47)</f>
        <v>254304798.93610051</v>
      </c>
    </row>
    <row r="48" spans="1:27" s="4" customFormat="1" x14ac:dyDescent="0.25">
      <c r="A48" s="4" t="s">
        <v>45</v>
      </c>
      <c r="C48" s="4">
        <f>C47</f>
        <v>7140000</v>
      </c>
      <c r="D48" s="4">
        <f t="shared" ref="D48:U48" si="12">C48+D47</f>
        <v>8436410</v>
      </c>
      <c r="E48" s="4">
        <f t="shared" si="12"/>
        <v>41460594</v>
      </c>
      <c r="F48" s="4">
        <f t="shared" si="12"/>
        <v>41686476.600000001</v>
      </c>
      <c r="G48" s="4">
        <f t="shared" si="12"/>
        <v>43438709.5</v>
      </c>
      <c r="H48" s="4">
        <f t="shared" si="12"/>
        <v>62239083</v>
      </c>
      <c r="I48" s="4">
        <f t="shared" si="12"/>
        <v>70276871.402520835</v>
      </c>
      <c r="J48" s="4">
        <f>I48+J47</f>
        <v>79085215.364581704</v>
      </c>
      <c r="K48" s="4">
        <f>J48+K47</f>
        <v>86072244.293303743</v>
      </c>
      <c r="L48" s="4">
        <f>K48+L47</f>
        <v>93861486.782339841</v>
      </c>
      <c r="M48" s="4">
        <f>L48+M47</f>
        <v>105462262.61319835</v>
      </c>
      <c r="N48" s="4">
        <f t="shared" si="12"/>
        <v>123142184.24040873</v>
      </c>
      <c r="O48" s="4">
        <f t="shared" si="12"/>
        <v>162452367.64903733</v>
      </c>
      <c r="P48" s="4">
        <f>O48+P47</f>
        <v>165346534.66827518</v>
      </c>
      <c r="Q48" s="4">
        <f t="shared" si="12"/>
        <v>194090831.35252279</v>
      </c>
      <c r="R48" s="4">
        <f t="shared" si="12"/>
        <v>212495422.11347258</v>
      </c>
      <c r="S48" s="4">
        <f t="shared" si="12"/>
        <v>228748392.21492612</v>
      </c>
      <c r="T48" s="4">
        <f t="shared" si="12"/>
        <v>237938032.50060418</v>
      </c>
      <c r="U48" s="4">
        <f t="shared" si="12"/>
        <v>254304798.93610051</v>
      </c>
      <c r="V48" s="4">
        <f>U48+V47</f>
        <v>254304798.93610051</v>
      </c>
      <c r="W48" s="4">
        <f>V48+W47</f>
        <v>254304798.93610051</v>
      </c>
      <c r="X48" s="4">
        <f>W48+X47</f>
        <v>254304798.93610051</v>
      </c>
      <c r="Y48" s="11"/>
    </row>
    <row r="49" spans="1:30" s="4" customFormat="1" x14ac:dyDescent="0.25">
      <c r="A49" s="17" t="s">
        <v>64</v>
      </c>
      <c r="Y49" s="16">
        <f>+Y47/C52/1000</f>
        <v>418.26447193437582</v>
      </c>
    </row>
    <row r="50" spans="1:30" s="4" customFormat="1" x14ac:dyDescent="0.25">
      <c r="A50" s="8" t="s">
        <v>96</v>
      </c>
      <c r="C50" s="12">
        <v>6.5000000000000002E-2</v>
      </c>
      <c r="Y50" s="11"/>
    </row>
    <row r="51" spans="1:30" s="4" customFormat="1" x14ac:dyDescent="0.25">
      <c r="A51" s="8" t="s">
        <v>89</v>
      </c>
      <c r="C51" s="12">
        <v>3.5000000000000001E-3</v>
      </c>
      <c r="D51" s="35">
        <v>245672000</v>
      </c>
      <c r="Y51" s="11"/>
    </row>
    <row r="52" spans="1:30" s="4" customFormat="1" x14ac:dyDescent="0.25">
      <c r="A52" s="8"/>
      <c r="C52" s="4">
        <v>608</v>
      </c>
      <c r="D52" s="4" t="s">
        <v>66</v>
      </c>
      <c r="Y52" s="11"/>
    </row>
    <row r="53" spans="1:30" x14ac:dyDescent="0.25">
      <c r="A53" s="17" t="s">
        <v>39</v>
      </c>
      <c r="C53" s="4">
        <v>0</v>
      </c>
      <c r="U53" s="18">
        <v>0</v>
      </c>
      <c r="Y53" s="23">
        <f>SUM(C53:U53)</f>
        <v>0</v>
      </c>
      <c r="Z53" s="19">
        <f>Z42</f>
        <v>0</v>
      </c>
    </row>
    <row r="54" spans="1:30" s="4" customFormat="1" x14ac:dyDescent="0.25">
      <c r="A54" s="8"/>
      <c r="C54" s="12"/>
      <c r="Y54" s="11"/>
    </row>
    <row r="55" spans="1:30" x14ac:dyDescent="0.25">
      <c r="A55" s="17" t="s">
        <v>69</v>
      </c>
      <c r="C55" s="4">
        <f t="shared" ref="C55:X55" si="13">+C47-C40</f>
        <v>6800000</v>
      </c>
      <c r="D55" s="4">
        <f t="shared" si="13"/>
        <v>1250000</v>
      </c>
      <c r="E55" s="4">
        <f t="shared" si="13"/>
        <v>32884800</v>
      </c>
      <c r="F55" s="4">
        <f t="shared" si="13"/>
        <v>-1556.3999999999942</v>
      </c>
      <c r="G55" s="4">
        <f t="shared" si="13"/>
        <v>1520788.9</v>
      </c>
      <c r="H55" s="4">
        <f t="shared" si="13"/>
        <v>18381006.5</v>
      </c>
      <c r="I55" s="4">
        <f t="shared" si="13"/>
        <v>7659172.8499999996</v>
      </c>
      <c r="J55" s="4">
        <f t="shared" si="13"/>
        <v>8382273.5933333309</v>
      </c>
      <c r="K55" s="4">
        <f t="shared" si="13"/>
        <v>6523317.5533333328</v>
      </c>
      <c r="L55" s="4">
        <f t="shared" si="13"/>
        <v>7283602.8033333328</v>
      </c>
      <c r="M55" s="4">
        <f t="shared" si="13"/>
        <v>11032599.530000001</v>
      </c>
      <c r="N55" s="4">
        <f t="shared" si="13"/>
        <v>17016499.333333332</v>
      </c>
      <c r="O55" s="4">
        <f t="shared" si="13"/>
        <v>38436364.083333328</v>
      </c>
      <c r="P55" s="4">
        <f t="shared" si="13"/>
        <v>2003365.1333333328</v>
      </c>
      <c r="Q55" s="4">
        <f t="shared" si="13"/>
        <v>27698635.346666668</v>
      </c>
      <c r="R55" s="4">
        <f t="shared" si="13"/>
        <v>17259774.976666667</v>
      </c>
      <c r="S55" s="4">
        <f t="shared" si="13"/>
        <v>15020591.693333333</v>
      </c>
      <c r="T55" s="4">
        <f t="shared" si="13"/>
        <v>7907752.833333334</v>
      </c>
      <c r="U55" s="4">
        <f t="shared" si="13"/>
        <v>14996703.283333331</v>
      </c>
      <c r="V55" s="4">
        <f t="shared" si="13"/>
        <v>0</v>
      </c>
      <c r="W55" s="4">
        <f t="shared" si="13"/>
        <v>0</v>
      </c>
      <c r="X55" s="4">
        <f t="shared" si="13"/>
        <v>0</v>
      </c>
      <c r="Y55" s="11">
        <f>SUM(C55:X55)</f>
        <v>242055692.01333329</v>
      </c>
    </row>
    <row r="56" spans="1:30" ht="9.75" customHeight="1" x14ac:dyDescent="0.25"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11"/>
    </row>
    <row r="57" spans="1:30" x14ac:dyDescent="0.25">
      <c r="Y57" s="11"/>
    </row>
    <row r="58" spans="1:30" ht="19.2" x14ac:dyDescent="0.6">
      <c r="A58" s="32" t="s">
        <v>81</v>
      </c>
      <c r="Y58" s="11"/>
      <c r="AB58" s="17" t="s">
        <v>112</v>
      </c>
    </row>
    <row r="59" spans="1:30" x14ac:dyDescent="0.25">
      <c r="A59" s="5" t="s">
        <v>43</v>
      </c>
      <c r="Y59" s="11"/>
      <c r="AB59" s="17" t="s">
        <v>113</v>
      </c>
    </row>
    <row r="60" spans="1:30" x14ac:dyDescent="0.25">
      <c r="A60" s="17" t="s">
        <v>24</v>
      </c>
      <c r="C60" s="4">
        <v>0</v>
      </c>
      <c r="D60" s="18">
        <v>0</v>
      </c>
      <c r="E60" s="18">
        <v>0</v>
      </c>
      <c r="F60" s="8">
        <v>8000</v>
      </c>
      <c r="G60" s="18">
        <v>24712</v>
      </c>
      <c r="H60" s="18">
        <v>0</v>
      </c>
      <c r="I60" s="17">
        <v>0</v>
      </c>
      <c r="J60" s="17">
        <v>14873.37</v>
      </c>
      <c r="K60" s="17">
        <v>2460</v>
      </c>
      <c r="L60" s="17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SUM(C60:U60)</f>
        <v>50045.37</v>
      </c>
      <c r="Z60" s="19" t="s">
        <v>52</v>
      </c>
      <c r="AA60" s="18">
        <f>Y60+Y26</f>
        <v>399999.82999999996</v>
      </c>
      <c r="AB60" s="18">
        <f>[1]Wilton!$BR$174</f>
        <v>400000</v>
      </c>
      <c r="AC60" s="18">
        <f>AB60-AA60</f>
        <v>0.17000000004190952</v>
      </c>
      <c r="AD60" s="17"/>
    </row>
    <row r="61" spans="1:30" x14ac:dyDescent="0.25">
      <c r="A61" s="17" t="s">
        <v>32</v>
      </c>
      <c r="C61" s="4">
        <v>0</v>
      </c>
      <c r="D61" s="18">
        <v>1236</v>
      </c>
      <c r="E61" s="18">
        <f>56608-22604+22500</f>
        <v>56504</v>
      </c>
      <c r="F61" s="8">
        <f>5706+21114</f>
        <v>26820</v>
      </c>
      <c r="G61" s="17">
        <f>9652+1899</f>
        <v>11551</v>
      </c>
      <c r="H61" s="18">
        <v>0</v>
      </c>
      <c r="I61" s="18">
        <f>169479.45+30387.78</f>
        <v>199867.23</v>
      </c>
      <c r="J61" s="18">
        <f>566.91+3047.17+16608.78+17351.65+10439.68</f>
        <v>48014.19</v>
      </c>
      <c r="K61" s="18">
        <v>0</v>
      </c>
      <c r="L61" s="18">
        <v>0</v>
      </c>
      <c r="M61" s="18">
        <v>0</v>
      </c>
      <c r="N61" s="18">
        <v>0</v>
      </c>
      <c r="O61" s="18">
        <v>0</v>
      </c>
      <c r="P61" s="18">
        <v>0</v>
      </c>
      <c r="Q61" s="18">
        <v>0</v>
      </c>
      <c r="R61" s="18">
        <v>0</v>
      </c>
      <c r="S61" s="18">
        <v>0</v>
      </c>
      <c r="T61" s="18">
        <v>0</v>
      </c>
      <c r="U61" s="18">
        <v>0</v>
      </c>
      <c r="Y61" s="11">
        <f>SUM(C61:U61)</f>
        <v>343992.42</v>
      </c>
      <c r="Z61" s="19" t="str">
        <f>Z60</f>
        <v>Scott Healy</v>
      </c>
      <c r="AA61" s="18">
        <f>Y61+Y33</f>
        <v>896735.89999999991</v>
      </c>
      <c r="AB61" s="18">
        <f>[1]Wilton!$BR$197</f>
        <v>896735.58000000007</v>
      </c>
      <c r="AC61" s="18">
        <f>AB61-AA61</f>
        <v>-0.31999999983236194</v>
      </c>
    </row>
    <row r="62" spans="1:30" x14ac:dyDescent="0.25">
      <c r="A62" s="17" t="s">
        <v>30</v>
      </c>
      <c r="C62" s="4">
        <v>0</v>
      </c>
      <c r="D62" s="18">
        <v>0</v>
      </c>
      <c r="E62" s="18">
        <v>22604</v>
      </c>
      <c r="F62" s="8">
        <v>0</v>
      </c>
      <c r="G62" s="18">
        <v>0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SUM(C62:U62)</f>
        <v>22604</v>
      </c>
      <c r="Z62" s="19" t="str">
        <f>Z61</f>
        <v>Scott Healy</v>
      </c>
      <c r="AA62" s="18">
        <f>Y62+Y32</f>
        <v>199999.92666666664</v>
      </c>
      <c r="AB62" s="18">
        <f>[1]Wilton!$BR$188</f>
        <v>200000</v>
      </c>
      <c r="AC62" s="18">
        <f>AB62-AA62</f>
        <v>7.3333333362825215E-2</v>
      </c>
    </row>
    <row r="63" spans="1:30" x14ac:dyDescent="0.25">
      <c r="A63" s="17" t="s">
        <v>33</v>
      </c>
      <c r="C63" s="4">
        <v>0</v>
      </c>
      <c r="D63" s="18">
        <v>0</v>
      </c>
      <c r="E63" s="18">
        <v>0</v>
      </c>
      <c r="F63" s="8">
        <v>10000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SUM(C63:U63)</f>
        <v>10000</v>
      </c>
      <c r="Z63" s="19" t="str">
        <f>Z62</f>
        <v>Scott Healy</v>
      </c>
      <c r="AA63" s="18">
        <f>Y63+Y34</f>
        <v>508959.5</v>
      </c>
      <c r="AB63" s="18">
        <f>[1]Wilton!$BR$204</f>
        <v>508959.45999999996</v>
      </c>
      <c r="AC63" s="18">
        <f>AB63-AA63</f>
        <v>-4.0000000037252903E-2</v>
      </c>
    </row>
    <row r="64" spans="1:30" x14ac:dyDescent="0.25">
      <c r="A64" s="4" t="s">
        <v>78</v>
      </c>
      <c r="C64" s="21">
        <f>SUM(C60:C63)</f>
        <v>0</v>
      </c>
      <c r="D64" s="21">
        <f t="shared" ref="D64:U64" si="14">SUM(D60:D63)</f>
        <v>1236</v>
      </c>
      <c r="E64" s="21">
        <f t="shared" si="14"/>
        <v>79108</v>
      </c>
      <c r="F64" s="21">
        <f t="shared" si="14"/>
        <v>44820</v>
      </c>
      <c r="G64" s="21">
        <f t="shared" si="14"/>
        <v>36263</v>
      </c>
      <c r="H64" s="21">
        <f t="shared" si="14"/>
        <v>0</v>
      </c>
      <c r="I64" s="21">
        <f t="shared" si="14"/>
        <v>199867.23</v>
      </c>
      <c r="J64" s="21">
        <f t="shared" si="14"/>
        <v>62887.560000000005</v>
      </c>
      <c r="K64" s="21">
        <f t="shared" si="14"/>
        <v>2460</v>
      </c>
      <c r="L64" s="21">
        <f t="shared" si="14"/>
        <v>0</v>
      </c>
      <c r="M64" s="21">
        <f t="shared" si="14"/>
        <v>0</v>
      </c>
      <c r="N64" s="21">
        <f t="shared" si="14"/>
        <v>0</v>
      </c>
      <c r="O64" s="21">
        <f t="shared" si="14"/>
        <v>0</v>
      </c>
      <c r="P64" s="21">
        <f t="shared" si="14"/>
        <v>0</v>
      </c>
      <c r="Q64" s="21">
        <f t="shared" si="14"/>
        <v>0</v>
      </c>
      <c r="R64" s="21">
        <f t="shared" si="14"/>
        <v>0</v>
      </c>
      <c r="S64" s="21">
        <f t="shared" si="14"/>
        <v>0</v>
      </c>
      <c r="T64" s="21">
        <f t="shared" si="14"/>
        <v>0</v>
      </c>
      <c r="U64" s="21">
        <f t="shared" si="14"/>
        <v>0</v>
      </c>
      <c r="V64" s="21">
        <f>SUM(V60:V63)</f>
        <v>0</v>
      </c>
      <c r="W64" s="21">
        <f>SUM(W60:W63)</f>
        <v>0</v>
      </c>
      <c r="X64" s="21">
        <f>SUM(X60:X63)</f>
        <v>0</v>
      </c>
      <c r="Y64" s="22">
        <f>SUM(C64:U64)</f>
        <v>426641.79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11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-56500</v>
      </c>
      <c r="H66" s="9">
        <f>1-35</f>
        <v>-34</v>
      </c>
      <c r="I66" s="9">
        <v>-69954</v>
      </c>
      <c r="J66" s="9">
        <v>-22011</v>
      </c>
      <c r="K66" s="9">
        <f>-98-861</f>
        <v>-959</v>
      </c>
      <c r="L66" s="9">
        <f>-3</f>
        <v>-3</v>
      </c>
      <c r="M66" s="9">
        <f>[1]Wilton!$AN$220</f>
        <v>52217</v>
      </c>
      <c r="N66" s="9">
        <f>-233-52264</f>
        <v>-52497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11">
        <f>SUM(G66:U66)</f>
        <v>-149741</v>
      </c>
      <c r="Z66" s="20"/>
    </row>
    <row r="67" spans="1:26" s="43" customFormat="1" x14ac:dyDescent="0.25">
      <c r="A67" s="21" t="s">
        <v>98</v>
      </c>
      <c r="C67" s="21">
        <f>SUM(C64:C66)</f>
        <v>0</v>
      </c>
      <c r="D67" s="21">
        <f t="shared" ref="D67:Y67" si="15">SUM(D64:D66)</f>
        <v>1236</v>
      </c>
      <c r="E67" s="21">
        <f t="shared" si="15"/>
        <v>79108</v>
      </c>
      <c r="F67" s="21">
        <f t="shared" si="15"/>
        <v>44820</v>
      </c>
      <c r="G67" s="21">
        <f t="shared" si="15"/>
        <v>-20237</v>
      </c>
      <c r="H67" s="21">
        <f t="shared" si="15"/>
        <v>-34</v>
      </c>
      <c r="I67" s="21">
        <f t="shared" si="15"/>
        <v>129913.23000000001</v>
      </c>
      <c r="J67" s="21">
        <f t="shared" si="15"/>
        <v>40876.560000000005</v>
      </c>
      <c r="K67" s="21">
        <f t="shared" si="15"/>
        <v>1501</v>
      </c>
      <c r="L67" s="21">
        <f t="shared" si="15"/>
        <v>-3</v>
      </c>
      <c r="M67" s="21">
        <f t="shared" si="15"/>
        <v>52217</v>
      </c>
      <c r="N67" s="21">
        <f t="shared" si="15"/>
        <v>-52497</v>
      </c>
      <c r="O67" s="21">
        <f t="shared" si="15"/>
        <v>0</v>
      </c>
      <c r="P67" s="21">
        <f t="shared" si="15"/>
        <v>0</v>
      </c>
      <c r="Q67" s="21">
        <f t="shared" si="15"/>
        <v>0</v>
      </c>
      <c r="R67" s="21">
        <f t="shared" si="15"/>
        <v>0</v>
      </c>
      <c r="S67" s="21">
        <f t="shared" si="15"/>
        <v>0</v>
      </c>
      <c r="T67" s="21">
        <f t="shared" si="15"/>
        <v>0</v>
      </c>
      <c r="U67" s="21">
        <f t="shared" si="15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5"/>
        <v>276900.78999999998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73</v>
      </c>
      <c r="Y69" s="11"/>
    </row>
    <row r="70" spans="1:26" x14ac:dyDescent="0.25">
      <c r="A70" s="17" t="s">
        <v>30</v>
      </c>
      <c r="E70" s="18">
        <v>19729</v>
      </c>
      <c r="F70" s="18">
        <v>0</v>
      </c>
      <c r="H70" s="18">
        <v>12698.23</v>
      </c>
      <c r="J70" s="18">
        <v>5725</v>
      </c>
      <c r="O70" s="18">
        <v>1242.3</v>
      </c>
      <c r="Y70" s="11">
        <f>SUM(C70:U70)</f>
        <v>39394.53</v>
      </c>
      <c r="Z70" s="19" t="str">
        <f>+Z63</f>
        <v>Scott Healy</v>
      </c>
    </row>
    <row r="71" spans="1:26" x14ac:dyDescent="0.25">
      <c r="A71" s="17" t="s">
        <v>32</v>
      </c>
      <c r="D71" s="18">
        <v>1343</v>
      </c>
      <c r="E71" s="8">
        <f>24234.66+4681.29</f>
        <v>28915.95</v>
      </c>
      <c r="F71" s="17">
        <f>19059+269.69</f>
        <v>19328.689999999999</v>
      </c>
      <c r="G71" s="18">
        <v>568</v>
      </c>
      <c r="H71" s="18">
        <v>68419</v>
      </c>
      <c r="L71" s="18">
        <v>591.45000000000005</v>
      </c>
      <c r="Y71" s="11">
        <f>SUM(C71:U71)</f>
        <v>119166.09</v>
      </c>
      <c r="Z71" s="19" t="str">
        <f>Z70</f>
        <v>Scott Healy</v>
      </c>
    </row>
    <row r="72" spans="1:26" x14ac:dyDescent="0.25">
      <c r="A72" s="17" t="s">
        <v>33</v>
      </c>
      <c r="C72" s="4">
        <v>52133</v>
      </c>
      <c r="G72" s="18">
        <v>1331</v>
      </c>
      <c r="Y72" s="11">
        <f>SUM(C72:U72)</f>
        <v>53464</v>
      </c>
      <c r="Z72" s="19" t="str">
        <f>Z71</f>
        <v>Scott Healy</v>
      </c>
    </row>
    <row r="73" spans="1:26" x14ac:dyDescent="0.25">
      <c r="A73" s="17" t="s">
        <v>23</v>
      </c>
      <c r="C73" s="4">
        <v>87500</v>
      </c>
      <c r="Y73" s="11">
        <f>SUM(C73:U73)</f>
        <v>87500</v>
      </c>
    </row>
    <row r="74" spans="1:26" x14ac:dyDescent="0.25">
      <c r="A74" s="4" t="s">
        <v>79</v>
      </c>
      <c r="C74" s="21">
        <f t="shared" ref="C74:H74" si="16">SUM(C70:C73)</f>
        <v>139633</v>
      </c>
      <c r="D74" s="21">
        <f t="shared" si="16"/>
        <v>1343</v>
      </c>
      <c r="E74" s="21">
        <f t="shared" si="16"/>
        <v>48644.95</v>
      </c>
      <c r="F74" s="21">
        <f t="shared" si="16"/>
        <v>19328.689999999999</v>
      </c>
      <c r="G74" s="21">
        <f t="shared" si="16"/>
        <v>1899</v>
      </c>
      <c r="H74" s="21">
        <f t="shared" si="16"/>
        <v>81117.23</v>
      </c>
      <c r="I74" s="21">
        <f t="shared" ref="I74:U74" si="17">SUM(I70:I73)</f>
        <v>0</v>
      </c>
      <c r="J74" s="21">
        <f t="shared" si="17"/>
        <v>5725</v>
      </c>
      <c r="K74" s="21">
        <f t="shared" si="17"/>
        <v>0</v>
      </c>
      <c r="L74" s="21">
        <f t="shared" si="17"/>
        <v>591.45000000000005</v>
      </c>
      <c r="M74" s="21">
        <f t="shared" si="17"/>
        <v>0</v>
      </c>
      <c r="N74" s="21">
        <f t="shared" si="17"/>
        <v>0</v>
      </c>
      <c r="O74" s="21">
        <f t="shared" si="17"/>
        <v>1242.3</v>
      </c>
      <c r="P74" s="21">
        <f t="shared" si="17"/>
        <v>0</v>
      </c>
      <c r="Q74" s="21">
        <f t="shared" si="17"/>
        <v>0</v>
      </c>
      <c r="R74" s="21">
        <f t="shared" si="17"/>
        <v>0</v>
      </c>
      <c r="S74" s="21">
        <f t="shared" si="17"/>
        <v>0</v>
      </c>
      <c r="T74" s="21">
        <f t="shared" si="17"/>
        <v>0</v>
      </c>
      <c r="U74" s="21">
        <f t="shared" si="17"/>
        <v>0</v>
      </c>
      <c r="V74" s="21">
        <f>SUM(V70:V73)</f>
        <v>0</v>
      </c>
      <c r="W74" s="21">
        <f>SUM(W70:W73)</f>
        <v>0</v>
      </c>
      <c r="X74" s="21">
        <f>SUM(X70:X73)</f>
        <v>0</v>
      </c>
      <c r="Y74" s="22">
        <f>SUM(C74:U74)</f>
        <v>299524.62</v>
      </c>
    </row>
    <row r="75" spans="1:26" x14ac:dyDescent="0.25">
      <c r="Y75" s="11"/>
    </row>
    <row r="76" spans="1:26" x14ac:dyDescent="0.25">
      <c r="Y76" s="11"/>
    </row>
    <row r="77" spans="1:26" ht="13.8" thickBot="1" x14ac:dyDescent="0.3">
      <c r="A77" s="4" t="s">
        <v>87</v>
      </c>
      <c r="C77" s="33">
        <f t="shared" ref="C77:T77" si="18">+C47+C67+C74</f>
        <v>7279633</v>
      </c>
      <c r="D77" s="33">
        <f t="shared" si="18"/>
        <v>1298989</v>
      </c>
      <c r="E77" s="33">
        <f t="shared" si="18"/>
        <v>33151936.949999999</v>
      </c>
      <c r="F77" s="33">
        <f t="shared" si="18"/>
        <v>290031.28999999998</v>
      </c>
      <c r="G77" s="33">
        <f t="shared" si="18"/>
        <v>1733894.9</v>
      </c>
      <c r="H77" s="33">
        <f t="shared" si="18"/>
        <v>18881456.73</v>
      </c>
      <c r="I77" s="33">
        <f t="shared" si="18"/>
        <v>8167701.6325208331</v>
      </c>
      <c r="J77" s="33">
        <f t="shared" si="18"/>
        <v>8854945.5220608748</v>
      </c>
      <c r="K77" s="33">
        <f t="shared" si="18"/>
        <v>6988529.9287220389</v>
      </c>
      <c r="L77" s="33">
        <f t="shared" si="18"/>
        <v>7789830.939036103</v>
      </c>
      <c r="M77" s="33">
        <f t="shared" si="18"/>
        <v>11652992.830858508</v>
      </c>
      <c r="N77" s="33">
        <f t="shared" si="18"/>
        <v>17627424.627210379</v>
      </c>
      <c r="O77" s="33">
        <f t="shared" si="18"/>
        <v>39311425.708628595</v>
      </c>
      <c r="P77" s="33">
        <f t="shared" si="18"/>
        <v>2894167.0192378405</v>
      </c>
      <c r="Q77" s="33">
        <f t="shared" si="18"/>
        <v>28744296.684247602</v>
      </c>
      <c r="R77" s="33">
        <f t="shared" si="18"/>
        <v>18404590.760949776</v>
      </c>
      <c r="S77" s="33">
        <f t="shared" si="18"/>
        <v>16252970.101453532</v>
      </c>
      <c r="T77" s="33">
        <f t="shared" si="18"/>
        <v>9189640.2856780719</v>
      </c>
      <c r="U77" s="33">
        <f>+U47+U67+U74</f>
        <v>16366766.435496327</v>
      </c>
      <c r="V77" s="33">
        <f>+V47+V67+V74</f>
        <v>0</v>
      </c>
      <c r="W77" s="33">
        <f>+W47+W67+W74</f>
        <v>0</v>
      </c>
      <c r="X77" s="33">
        <f>+X47+X67+X74</f>
        <v>0</v>
      </c>
      <c r="Y77" s="34">
        <f>SUM(C77:U77)</f>
        <v>254881224.34610048</v>
      </c>
    </row>
    <row r="78" spans="1:26" x14ac:dyDescent="0.25">
      <c r="U78"/>
      <c r="V78"/>
      <c r="W78"/>
      <c r="X78"/>
      <c r="Y78" s="48">
        <f>Y77-[1]Wilton!$BR$236</f>
        <v>-0.84666669368743896</v>
      </c>
    </row>
    <row r="79" spans="1:26" x14ac:dyDescent="0.25">
      <c r="U79"/>
      <c r="V79"/>
      <c r="W79"/>
      <c r="X79"/>
      <c r="Y79"/>
    </row>
    <row r="80" spans="1:26" x14ac:dyDescent="0.25">
      <c r="U80"/>
      <c r="V80"/>
      <c r="W80"/>
      <c r="X80"/>
      <c r="Y80"/>
    </row>
  </sheetData>
  <printOptions horizontalCentered="1"/>
  <pageMargins left="0.25" right="0.25" top="0.5" bottom="0.5" header="0.25" footer="0.5"/>
  <pageSetup scale="42" orientation="landscape" cellComments="asDisplayed" horizontalDpi="300" verticalDpi="3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75"/>
  <sheetViews>
    <sheetView workbookViewId="0">
      <pane xSplit="2" ySplit="6" topLeftCell="V54" activePane="bottomRight" state="frozen"/>
      <selection activeCell="T58" sqref="T58"/>
      <selection pane="topRight" activeCell="T58" sqref="T58"/>
      <selection pane="bottomLeft" activeCell="T58" sqref="T58"/>
      <selection pane="bottomRight" activeCell="Z64" sqref="Z64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1.33203125" style="4" bestFit="1" customWidth="1"/>
    <col min="4" max="4" width="12.109375" style="18" customWidth="1"/>
    <col min="5" max="5" width="13.33203125" style="18" customWidth="1"/>
    <col min="6" max="6" width="11.33203125" style="18" customWidth="1"/>
    <col min="7" max="7" width="12.88671875" style="18" customWidth="1"/>
    <col min="8" max="8" width="11.33203125" style="18" customWidth="1"/>
    <col min="9" max="9" width="12.6640625" style="18" customWidth="1"/>
    <col min="10" max="10" width="13" style="18" customWidth="1"/>
    <col min="11" max="11" width="11.33203125" style="18" customWidth="1"/>
    <col min="12" max="12" width="12.33203125" style="18" bestFit="1" customWidth="1"/>
    <col min="13" max="13" width="12.33203125" style="52" customWidth="1"/>
    <col min="14" max="14" width="12.33203125" style="18" bestFit="1" customWidth="1"/>
    <col min="15" max="15" width="14" style="18" customWidth="1"/>
    <col min="16" max="17" width="12.33203125" style="18" bestFit="1" customWidth="1"/>
    <col min="18" max="18" width="13.88671875" style="18" customWidth="1"/>
    <col min="19" max="19" width="13.5546875" style="18" customWidth="1"/>
    <col min="20" max="20" width="13.88671875" style="18" customWidth="1"/>
    <col min="21" max="21" width="12.33203125" style="18" bestFit="1" customWidth="1"/>
    <col min="22" max="23" width="12.109375" style="18" customWidth="1"/>
    <col min="24" max="25" width="12.109375" style="18" hidden="1" customWidth="1"/>
    <col min="26" max="26" width="13.5546875" style="4" customWidth="1"/>
    <col min="27" max="27" width="20" style="18" customWidth="1"/>
    <col min="28" max="28" width="11.33203125" style="18" customWidth="1"/>
    <col min="29" max="29" width="11.33203125" style="18" bestFit="1" customWidth="1"/>
    <col min="30" max="16384" width="9.109375" style="18"/>
  </cols>
  <sheetData>
    <row r="1" spans="1:29" s="2" customFormat="1" ht="15.6" x14ac:dyDescent="0.3">
      <c r="A1" s="1" t="s">
        <v>0</v>
      </c>
      <c r="M1" s="51"/>
    </row>
    <row r="2" spans="1:29" s="2" customFormat="1" ht="15.6" x14ac:dyDescent="0.3">
      <c r="A2" s="1" t="s">
        <v>1</v>
      </c>
      <c r="D2" s="1" t="str">
        <f>Wilton!D2</f>
        <v>Last updated:  Actuals through December 24, 1999</v>
      </c>
      <c r="M2" s="51"/>
      <c r="Z2" s="25" t="str">
        <f ca="1">CELL("filename")</f>
        <v>C:\TEMP\[~0026593.xls]Sheet1</v>
      </c>
    </row>
    <row r="3" spans="1:29" s="2" customFormat="1" ht="15.6" x14ac:dyDescent="0.3">
      <c r="A3" s="1" t="s">
        <v>2</v>
      </c>
      <c r="D3" s="26"/>
      <c r="F3" s="3"/>
      <c r="M3" s="51"/>
      <c r="Z3" s="24">
        <f ca="1">NOW()</f>
        <v>36556.653485763891</v>
      </c>
    </row>
    <row r="4" spans="1:29" ht="15" x14ac:dyDescent="0.25">
      <c r="C4" s="12"/>
      <c r="D4" s="28"/>
    </row>
    <row r="5" spans="1:29" s="6" customFormat="1" x14ac:dyDescent="0.25">
      <c r="A5" s="5"/>
      <c r="C5" s="7">
        <v>1998</v>
      </c>
      <c r="D5" s="42" t="s">
        <v>3</v>
      </c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 t="s">
        <v>4</v>
      </c>
      <c r="R5" s="42"/>
      <c r="S5" s="42"/>
      <c r="T5" s="42"/>
      <c r="U5" s="42"/>
      <c r="V5" s="42"/>
      <c r="W5" s="42"/>
      <c r="X5" s="42"/>
      <c r="Y5" s="42"/>
      <c r="Z5" s="42"/>
    </row>
    <row r="6" spans="1:29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115</v>
      </c>
      <c r="M6" s="6" t="s">
        <v>8</v>
      </c>
      <c r="N6" s="6" t="s">
        <v>9</v>
      </c>
      <c r="O6" s="6" t="s">
        <v>10</v>
      </c>
      <c r="P6" s="6" t="s">
        <v>11</v>
      </c>
      <c r="Q6" s="6" t="s">
        <v>12</v>
      </c>
      <c r="R6" s="6" t="s">
        <v>13</v>
      </c>
      <c r="S6" s="6" t="s">
        <v>14</v>
      </c>
      <c r="T6" s="6" t="s">
        <v>15</v>
      </c>
      <c r="U6" s="6" t="s">
        <v>16</v>
      </c>
      <c r="V6" s="6" t="s">
        <v>17</v>
      </c>
      <c r="W6" s="6" t="s">
        <v>6</v>
      </c>
      <c r="X6" s="6" t="s">
        <v>7</v>
      </c>
      <c r="Y6" s="6" t="s">
        <v>8</v>
      </c>
      <c r="Z6" s="14" t="s">
        <v>5</v>
      </c>
      <c r="AA6" s="14" t="s">
        <v>58</v>
      </c>
    </row>
    <row r="7" spans="1:29" s="6" customFormat="1" ht="19.2" x14ac:dyDescent="0.6">
      <c r="A7" s="32" t="s">
        <v>80</v>
      </c>
      <c r="Z7" s="10"/>
      <c r="AA7" s="31"/>
    </row>
    <row r="8" spans="1:29" x14ac:dyDescent="0.25">
      <c r="A8" s="5" t="s">
        <v>116</v>
      </c>
      <c r="Z8" s="11"/>
    </row>
    <row r="9" spans="1:29" x14ac:dyDescent="0.25">
      <c r="A9" s="5" t="s">
        <v>61</v>
      </c>
      <c r="Z9" s="11"/>
    </row>
    <row r="10" spans="1:29" x14ac:dyDescent="0.25">
      <c r="A10" s="17" t="s">
        <v>35</v>
      </c>
      <c r="L10" s="18">
        <v>56456629</v>
      </c>
      <c r="N10" s="18">
        <v>1282310</v>
      </c>
      <c r="O10" s="18">
        <v>144155</v>
      </c>
      <c r="P10" s="18">
        <v>0</v>
      </c>
      <c r="Q10" s="18">
        <v>0</v>
      </c>
      <c r="R10" s="18">
        <v>1160414</v>
      </c>
      <c r="U10" s="18">
        <v>11</v>
      </c>
      <c r="V10" s="17">
        <f>3081531-1282310</f>
        <v>1799221</v>
      </c>
      <c r="W10" s="17"/>
      <c r="X10" s="17"/>
      <c r="Y10" s="17"/>
      <c r="Z10" s="11">
        <f>SUM(C10:Y10)</f>
        <v>60842740</v>
      </c>
      <c r="AA10" s="15" t="s">
        <v>50</v>
      </c>
    </row>
    <row r="11" spans="1:29" x14ac:dyDescent="0.25">
      <c r="A11" s="17" t="s">
        <v>36</v>
      </c>
      <c r="D11" s="17"/>
      <c r="L11" s="18">
        <v>29625750</v>
      </c>
      <c r="T11" s="18">
        <f>249989-107199</f>
        <v>142790</v>
      </c>
      <c r="U11" s="18">
        <v>1645716</v>
      </c>
      <c r="V11" s="18">
        <f>1559250+97385+1409470+237943</f>
        <v>3304048</v>
      </c>
      <c r="Z11" s="11">
        <f t="shared" ref="Z11:Z34" si="0">SUM(C11:Y11)</f>
        <v>34718304</v>
      </c>
      <c r="AA11" s="15" t="s">
        <v>50</v>
      </c>
      <c r="AB11" s="18">
        <f>[1]Gleason!$BT$16</f>
        <v>95561044</v>
      </c>
      <c r="AC11" s="18">
        <f>Z10+Z11-AB11</f>
        <v>0</v>
      </c>
    </row>
    <row r="12" spans="1:29" x14ac:dyDescent="0.25">
      <c r="A12" s="17" t="s">
        <v>19</v>
      </c>
      <c r="L12" s="18">
        <v>1177162</v>
      </c>
      <c r="N12" s="18">
        <v>0</v>
      </c>
      <c r="O12" s="18">
        <v>58500</v>
      </c>
      <c r="P12" s="18">
        <f>1196070.3+569673+8000</f>
        <v>1773743.3</v>
      </c>
      <c r="Q12" s="18">
        <f>1765743.3+130800</f>
        <v>1896543.3</v>
      </c>
      <c r="R12" s="18">
        <v>645575.4</v>
      </c>
      <c r="S12" s="18">
        <f>531586.8-58500</f>
        <v>473086.80000000005</v>
      </c>
      <c r="T12" s="18">
        <v>0</v>
      </c>
      <c r="V12" s="18">
        <v>0</v>
      </c>
      <c r="Z12" s="11">
        <f t="shared" si="0"/>
        <v>6024610.7999999998</v>
      </c>
      <c r="AA12" s="15" t="s">
        <v>50</v>
      </c>
      <c r="AB12" s="18">
        <f>[1]Gleason!$BT$35</f>
        <v>6024611</v>
      </c>
      <c r="AC12" s="18">
        <f t="shared" ref="AC12:AC25" si="1">Z12-AB12</f>
        <v>-0.20000000018626451</v>
      </c>
    </row>
    <row r="13" spans="1:29" x14ac:dyDescent="0.25">
      <c r="A13" s="17" t="s">
        <v>105</v>
      </c>
      <c r="L13" s="18">
        <v>232450</v>
      </c>
      <c r="M13" s="52">
        <v>0</v>
      </c>
      <c r="N13" s="18">
        <f t="shared" ref="N13:V13" si="2">929800/12</f>
        <v>77483.333333333328</v>
      </c>
      <c r="O13" s="18">
        <f t="shared" si="2"/>
        <v>77483.333333333328</v>
      </c>
      <c r="P13" s="18">
        <f t="shared" si="2"/>
        <v>77483.333333333328</v>
      </c>
      <c r="Q13" s="18">
        <f t="shared" si="2"/>
        <v>77483.333333333328</v>
      </c>
      <c r="R13" s="18">
        <f t="shared" si="2"/>
        <v>77483.333333333328</v>
      </c>
      <c r="S13" s="18">
        <f t="shared" si="2"/>
        <v>77483.333333333328</v>
      </c>
      <c r="T13" s="18">
        <f t="shared" si="2"/>
        <v>77483.333333333328</v>
      </c>
      <c r="U13" s="18">
        <f t="shared" si="2"/>
        <v>77483.333333333328</v>
      </c>
      <c r="V13" s="18">
        <f t="shared" si="2"/>
        <v>77483.333333333328</v>
      </c>
      <c r="Z13" s="11">
        <f t="shared" si="0"/>
        <v>929800.00000000012</v>
      </c>
      <c r="AA13" s="15" t="s">
        <v>50</v>
      </c>
      <c r="AB13" s="18">
        <f>[1]Gleason!$BT$136</f>
        <v>929800</v>
      </c>
      <c r="AC13" s="18">
        <f t="shared" si="1"/>
        <v>0</v>
      </c>
    </row>
    <row r="14" spans="1:29" x14ac:dyDescent="0.25">
      <c r="A14" s="17" t="s">
        <v>106</v>
      </c>
      <c r="L14" s="18">
        <v>710172</v>
      </c>
      <c r="M14" s="52">
        <v>0</v>
      </c>
      <c r="N14" s="18">
        <v>236722</v>
      </c>
      <c r="O14" s="18">
        <v>236722</v>
      </c>
      <c r="P14" s="18">
        <f t="shared" ref="P14:U14" si="3">2840700/12</f>
        <v>236725</v>
      </c>
      <c r="Q14" s="18">
        <v>236722</v>
      </c>
      <c r="R14" s="18">
        <f t="shared" si="3"/>
        <v>236725</v>
      </c>
      <c r="S14" s="18">
        <f t="shared" si="3"/>
        <v>236725</v>
      </c>
      <c r="T14" s="18">
        <f t="shared" si="3"/>
        <v>236725</v>
      </c>
      <c r="U14" s="18">
        <f t="shared" si="3"/>
        <v>236725</v>
      </c>
      <c r="V14" s="18">
        <f>2840700/12+12</f>
        <v>236737</v>
      </c>
      <c r="Z14" s="11">
        <f t="shared" si="0"/>
        <v>2840700</v>
      </c>
      <c r="AA14" s="15" t="s">
        <v>50</v>
      </c>
      <c r="AB14" s="18">
        <f>[1]Gleason!$BT$137</f>
        <v>2840700</v>
      </c>
      <c r="AC14" s="18">
        <f t="shared" si="1"/>
        <v>0</v>
      </c>
    </row>
    <row r="15" spans="1:29" x14ac:dyDescent="0.25">
      <c r="A15" s="17" t="s">
        <v>107</v>
      </c>
      <c r="V15" s="18">
        <v>3066700</v>
      </c>
      <c r="Z15" s="11">
        <f t="shared" si="0"/>
        <v>3066700</v>
      </c>
      <c r="AA15" s="15" t="s">
        <v>50</v>
      </c>
      <c r="AB15" s="18">
        <f>[1]Gleason!$BT$138</f>
        <v>3066700</v>
      </c>
      <c r="AC15" s="18">
        <f t="shared" si="1"/>
        <v>0</v>
      </c>
    </row>
    <row r="16" spans="1:29" x14ac:dyDescent="0.25">
      <c r="A16" s="17" t="s">
        <v>119</v>
      </c>
      <c r="O16" s="18">
        <v>420818</v>
      </c>
      <c r="Q16" s="18">
        <v>1769159</v>
      </c>
      <c r="R16" s="18">
        <f>(0.4765-0.2939)*AB16</f>
        <v>3131172.0285999998</v>
      </c>
      <c r="S16" s="18">
        <f>(0.6457-0.4765)*AB16</f>
        <v>2901392.7012000014</v>
      </c>
      <c r="T16" s="18">
        <f>(0.7795-0.6457)*AB16</f>
        <v>2294363.7317999988</v>
      </c>
      <c r="U16" s="18">
        <f>(0.8617-0.7795)*AB16</f>
        <v>1409541.8442000009</v>
      </c>
      <c r="V16" s="18">
        <f>((0.9293-0.8617)*AB16)+1212343+784135</f>
        <v>3155663.2636000002</v>
      </c>
      <c r="W16" s="18">
        <f>17147711-15082111</f>
        <v>2065600</v>
      </c>
      <c r="Z16" s="11">
        <f t="shared" si="0"/>
        <v>17147710.569400001</v>
      </c>
      <c r="AA16" s="15"/>
      <c r="AB16" s="18">
        <f>[1]Gleason!$BT$61</f>
        <v>17147711</v>
      </c>
      <c r="AC16" s="18">
        <f t="shared" si="1"/>
        <v>-0.43059999868273735</v>
      </c>
    </row>
    <row r="17" spans="1:29" x14ac:dyDescent="0.25">
      <c r="A17" s="17" t="s">
        <v>120</v>
      </c>
      <c r="O17" s="18">
        <v>84021</v>
      </c>
      <c r="Q17" s="18">
        <v>225269</v>
      </c>
      <c r="R17" s="18">
        <f>(0.4765-0.2939)*AB17</f>
        <v>778046.00059999991</v>
      </c>
      <c r="S17" s="18">
        <f>(0.6457-0.4765)*AB17</f>
        <v>720949.52520000027</v>
      </c>
      <c r="T17" s="18">
        <f>(0.7795-0.6457)*AB17</f>
        <v>570112.56779999961</v>
      </c>
      <c r="U17" s="18">
        <f>(0.8617-0.7795)*AB17</f>
        <v>350248.52820000023</v>
      </c>
      <c r="V17" s="18">
        <f>(0.9293-0.8617)*AB17+301248+409183</f>
        <v>998469.93559999997</v>
      </c>
      <c r="W17" s="18">
        <f>4260931-3727117</f>
        <v>533814</v>
      </c>
      <c r="Z17" s="11">
        <f t="shared" si="0"/>
        <v>4260930.5573999994</v>
      </c>
      <c r="AA17" s="15"/>
      <c r="AB17" s="18">
        <f>[1]Gleason!$BT$89</f>
        <v>4260931</v>
      </c>
      <c r="AC17" s="18">
        <f t="shared" si="1"/>
        <v>-0.44260000064969063</v>
      </c>
    </row>
    <row r="18" spans="1:29" x14ac:dyDescent="0.25">
      <c r="A18" s="17" t="s">
        <v>121</v>
      </c>
      <c r="O18" s="18">
        <v>204588</v>
      </c>
      <c r="Q18" s="18">
        <v>2792896</v>
      </c>
      <c r="R18" s="18">
        <f>(0.4765-0.2939)*AB18</f>
        <v>2820028.3847999997</v>
      </c>
      <c r="S18" s="18">
        <f>(0.6457-0.4765)*AB18</f>
        <v>2613082.1616000012</v>
      </c>
      <c r="T18" s="18">
        <f>(0.7795-0.6457)*AB18</f>
        <v>2066373.4823999987</v>
      </c>
      <c r="U18" s="18">
        <f>(0.8617-0.7795)*AB18</f>
        <v>1269476.0856000008</v>
      </c>
      <c r="V18" s="18">
        <f>(0.9293-0.8617)*AB18+1091873-193321-300000</f>
        <v>1642549.3647999996</v>
      </c>
      <c r="W18" s="18">
        <f>15443748-13408993</f>
        <v>2034755</v>
      </c>
      <c r="Z18" s="11">
        <f t="shared" si="0"/>
        <v>15443748.479199998</v>
      </c>
      <c r="AA18" s="15"/>
      <c r="AB18" s="18">
        <f>[1]Gleason!$BT$122</f>
        <v>15443748</v>
      </c>
      <c r="AC18" s="18">
        <f t="shared" si="1"/>
        <v>0.47919999808073044</v>
      </c>
    </row>
    <row r="19" spans="1:29" x14ac:dyDescent="0.25">
      <c r="A19" s="17" t="s">
        <v>122</v>
      </c>
      <c r="N19" s="18">
        <v>0</v>
      </c>
      <c r="O19" s="18">
        <v>0</v>
      </c>
      <c r="Q19" s="18">
        <v>848349</v>
      </c>
      <c r="R19" s="18">
        <f>(0.4765-0.2939)*AB19</f>
        <v>2216176.9409999996</v>
      </c>
      <c r="S19" s="18">
        <f>(0.6457-0.4765)*AB19</f>
        <v>2053544.0220000008</v>
      </c>
      <c r="T19" s="18">
        <f>(0.7795-0.6457)*AB19</f>
        <v>1623901.8329999989</v>
      </c>
      <c r="U19" s="18">
        <f>(0.8617-0.7795)*AB19</f>
        <v>997643.72700000065</v>
      </c>
      <c r="V19" s="18">
        <f>(0.9293-0.8617)*AB19+858071+958818</f>
        <v>2637335.6660000002</v>
      </c>
      <c r="W19" s="18">
        <f>12136785-10376951</f>
        <v>1759834</v>
      </c>
      <c r="Z19" s="11">
        <f t="shared" si="0"/>
        <v>12136785.188999999</v>
      </c>
      <c r="AA19" s="15" t="s">
        <v>50</v>
      </c>
      <c r="AB19" s="18">
        <f>[1]Gleason!$BT$127</f>
        <v>12136785</v>
      </c>
      <c r="AC19" s="18">
        <f t="shared" si="1"/>
        <v>0.18899999931454659</v>
      </c>
    </row>
    <row r="20" spans="1:29" x14ac:dyDescent="0.25">
      <c r="A20" s="17" t="s">
        <v>123</v>
      </c>
      <c r="V20" s="18">
        <v>675000</v>
      </c>
      <c r="Z20" s="11">
        <f t="shared" si="0"/>
        <v>675000</v>
      </c>
      <c r="AA20" s="15" t="s">
        <v>50</v>
      </c>
      <c r="AB20" s="18">
        <f>[1]Gleason!$BT$176</f>
        <v>675000</v>
      </c>
      <c r="AC20" s="18">
        <f t="shared" si="1"/>
        <v>0</v>
      </c>
    </row>
    <row r="21" spans="1:29" ht="13.5" customHeight="1" x14ac:dyDescent="0.25">
      <c r="A21" s="17" t="s">
        <v>124</v>
      </c>
      <c r="O21" s="18">
        <v>5344605</v>
      </c>
      <c r="Q21" s="18">
        <f>-291068-49399</f>
        <v>-340467</v>
      </c>
      <c r="V21" s="18">
        <f>640621-49399</f>
        <v>591222</v>
      </c>
      <c r="W21" s="18">
        <f>-3387761-5595360</f>
        <v>-8983121</v>
      </c>
      <c r="Z21" s="11">
        <f>SUM(C21:Y21)</f>
        <v>-3387761</v>
      </c>
      <c r="AA21" s="15" t="s">
        <v>50</v>
      </c>
      <c r="AB21" s="18">
        <v>0</v>
      </c>
      <c r="AC21" s="18">
        <f t="shared" si="1"/>
        <v>-3387761</v>
      </c>
    </row>
    <row r="22" spans="1:29" x14ac:dyDescent="0.25">
      <c r="A22" s="17" t="s">
        <v>42</v>
      </c>
      <c r="R22" s="18">
        <f>150000+75000</f>
        <v>225000</v>
      </c>
      <c r="S22" s="18">
        <f>150000+75000</f>
        <v>225000</v>
      </c>
      <c r="T22" s="18">
        <v>150000</v>
      </c>
      <c r="U22" s="18">
        <v>150000</v>
      </c>
      <c r="V22" s="18">
        <f>908786-750000</f>
        <v>158786</v>
      </c>
      <c r="Z22" s="11">
        <f t="shared" si="0"/>
        <v>908786</v>
      </c>
      <c r="AA22" s="15" t="s">
        <v>51</v>
      </c>
      <c r="AB22" s="18">
        <f>[1]Gleason!$BT$170</f>
        <v>908786</v>
      </c>
      <c r="AC22" s="18">
        <f t="shared" si="1"/>
        <v>0</v>
      </c>
    </row>
    <row r="23" spans="1:29" x14ac:dyDescent="0.25">
      <c r="A23" s="17" t="s">
        <v>22</v>
      </c>
      <c r="T23" s="18">
        <v>500000</v>
      </c>
      <c r="U23" s="18">
        <v>500000</v>
      </c>
      <c r="V23" s="18">
        <v>247007</v>
      </c>
      <c r="Z23" s="11">
        <f t="shared" si="0"/>
        <v>1247007</v>
      </c>
      <c r="AA23" s="15" t="s">
        <v>50</v>
      </c>
      <c r="AB23" s="18">
        <f>[1]Gleason!$BT$178</f>
        <v>1247007</v>
      </c>
      <c r="AC23" s="18">
        <f t="shared" si="1"/>
        <v>0</v>
      </c>
    </row>
    <row r="24" spans="1:29" x14ac:dyDescent="0.25">
      <c r="A24" s="17" t="s">
        <v>128</v>
      </c>
      <c r="P24" s="18">
        <v>-250000</v>
      </c>
      <c r="Z24" s="11">
        <f t="shared" si="0"/>
        <v>-250000</v>
      </c>
      <c r="AA24" s="15"/>
    </row>
    <row r="25" spans="1:29" x14ac:dyDescent="0.25">
      <c r="A25" s="17" t="s">
        <v>23</v>
      </c>
      <c r="E25" s="17"/>
      <c r="F25" s="17"/>
      <c r="I25" s="17"/>
      <c r="J25" s="17"/>
      <c r="K25" s="17"/>
      <c r="L25" s="17">
        <v>369041</v>
      </c>
      <c r="N25" s="18">
        <v>0</v>
      </c>
      <c r="Q25" s="18">
        <v>14500</v>
      </c>
      <c r="Z25" s="11">
        <f t="shared" si="0"/>
        <v>383541</v>
      </c>
      <c r="AA25" s="15" t="s">
        <v>55</v>
      </c>
      <c r="AB25" s="18">
        <f>[1]Gleason!$BT$185</f>
        <v>383541</v>
      </c>
      <c r="AC25" s="18">
        <f t="shared" si="1"/>
        <v>0</v>
      </c>
    </row>
    <row r="26" spans="1:29" x14ac:dyDescent="0.25">
      <c r="A26" s="17" t="s">
        <v>24</v>
      </c>
      <c r="F26" s="27"/>
      <c r="I26" s="17"/>
      <c r="J26" s="17"/>
      <c r="K26" s="17"/>
      <c r="L26" s="17">
        <v>69419</v>
      </c>
      <c r="M26" s="53">
        <v>190571</v>
      </c>
      <c r="N26" s="18">
        <v>0</v>
      </c>
      <c r="O26" s="18">
        <v>264856</v>
      </c>
      <c r="P26" s="18">
        <v>0</v>
      </c>
      <c r="Q26" s="18">
        <v>38192</v>
      </c>
      <c r="R26" s="18">
        <v>0</v>
      </c>
      <c r="S26" s="18">
        <v>0</v>
      </c>
      <c r="T26" s="18">
        <v>0</v>
      </c>
      <c r="Z26" s="11">
        <f t="shared" si="0"/>
        <v>563038</v>
      </c>
      <c r="AA26" s="15" t="str">
        <f>AA25</f>
        <v>Ben Jacoby</v>
      </c>
    </row>
    <row r="27" spans="1:29" x14ac:dyDescent="0.25">
      <c r="A27" s="17" t="s">
        <v>25</v>
      </c>
      <c r="F27" s="29"/>
      <c r="Q27" s="18">
        <v>20486</v>
      </c>
      <c r="R27" s="18">
        <v>125000</v>
      </c>
      <c r="S27" s="18">
        <v>125000</v>
      </c>
      <c r="T27" s="18">
        <v>350000</v>
      </c>
      <c r="U27" s="18">
        <v>375000</v>
      </c>
      <c r="V27" s="18">
        <v>104514</v>
      </c>
      <c r="Z27" s="11">
        <f t="shared" si="0"/>
        <v>1100000</v>
      </c>
      <c r="AA27" s="15" t="s">
        <v>53</v>
      </c>
      <c r="AB27" s="18">
        <f>[1]Gleason!$BT$220</f>
        <v>1100000</v>
      </c>
      <c r="AC27" s="18">
        <f>Z27-AB27</f>
        <v>0</v>
      </c>
    </row>
    <row r="28" spans="1:29" x14ac:dyDescent="0.25">
      <c r="A28" s="17" t="s">
        <v>111</v>
      </c>
      <c r="F28" s="29"/>
      <c r="N28" s="18">
        <v>18018</v>
      </c>
      <c r="P28" s="18">
        <v>7500</v>
      </c>
      <c r="R28" s="18">
        <v>25518</v>
      </c>
      <c r="T28" s="18">
        <v>1500000</v>
      </c>
      <c r="V28" s="18">
        <f>2148964+190117</f>
        <v>2339081</v>
      </c>
      <c r="Z28" s="11">
        <f t="shared" si="0"/>
        <v>3890117</v>
      </c>
      <c r="AA28" s="15"/>
      <c r="AB28" s="18">
        <f>[1]Gleason!$BT$218</f>
        <v>3890117</v>
      </c>
      <c r="AC28" s="18">
        <f>Z28-AB28</f>
        <v>0</v>
      </c>
    </row>
    <row r="29" spans="1:29" x14ac:dyDescent="0.25">
      <c r="A29" s="17" t="s">
        <v>27</v>
      </c>
      <c r="F29" s="29"/>
      <c r="T29" s="18">
        <v>0</v>
      </c>
      <c r="U29" s="18">
        <v>250000</v>
      </c>
      <c r="V29" s="18">
        <v>250000</v>
      </c>
      <c r="Z29" s="11">
        <f t="shared" si="0"/>
        <v>500000</v>
      </c>
      <c r="AA29" s="15" t="str">
        <f>AA22</f>
        <v>Kevin Presto</v>
      </c>
      <c r="AB29" s="18">
        <f>[1]Gleason!$BT$226</f>
        <v>500000</v>
      </c>
      <c r="AC29" s="18">
        <f>Z29-AB29</f>
        <v>0</v>
      </c>
    </row>
    <row r="30" spans="1:29" x14ac:dyDescent="0.25">
      <c r="A30" s="17" t="s">
        <v>47</v>
      </c>
      <c r="F30" s="29"/>
      <c r="V30" s="18">
        <v>0</v>
      </c>
      <c r="Z30" s="11">
        <f t="shared" si="0"/>
        <v>0</v>
      </c>
      <c r="AA30" s="15" t="s">
        <v>56</v>
      </c>
      <c r="AB30" s="18">
        <v>0</v>
      </c>
      <c r="AC30" s="18">
        <f>Z30-AB30</f>
        <v>0</v>
      </c>
    </row>
    <row r="31" spans="1:29" x14ac:dyDescent="0.25">
      <c r="A31" s="17" t="s">
        <v>29</v>
      </c>
      <c r="F31" s="29"/>
      <c r="N31" s="18">
        <v>0</v>
      </c>
      <c r="O31" s="18">
        <v>0</v>
      </c>
      <c r="P31" s="18">
        <v>200935</v>
      </c>
      <c r="Z31" s="11">
        <f t="shared" si="0"/>
        <v>200935</v>
      </c>
      <c r="AA31" s="15"/>
      <c r="AB31" s="18">
        <f>[1]Gleason!$BT$228</f>
        <v>200935.25</v>
      </c>
      <c r="AC31" s="18">
        <f>Z31-AB31</f>
        <v>-0.25</v>
      </c>
    </row>
    <row r="32" spans="1:29" x14ac:dyDescent="0.25">
      <c r="A32" s="17" t="s">
        <v>30</v>
      </c>
      <c r="F32" s="8"/>
      <c r="G32" s="8"/>
      <c r="H32" s="8"/>
      <c r="I32" s="8"/>
      <c r="J32" s="8"/>
      <c r="K32" s="8"/>
      <c r="L32" s="8">
        <v>55021.05</v>
      </c>
      <c r="M32" s="52">
        <v>0</v>
      </c>
      <c r="N32" s="18">
        <v>0</v>
      </c>
      <c r="O32" s="18">
        <v>0</v>
      </c>
      <c r="P32" s="18">
        <v>0</v>
      </c>
      <c r="Q32" s="18">
        <v>1755</v>
      </c>
      <c r="R32" s="18">
        <f>11111.1111111111+12759</f>
        <v>23870.111111111102</v>
      </c>
      <c r="S32" s="18">
        <v>11111.111111111111</v>
      </c>
      <c r="T32" s="18">
        <v>11111.111111111111</v>
      </c>
      <c r="U32" s="18">
        <v>31111</v>
      </c>
      <c r="V32" s="17">
        <v>32312</v>
      </c>
      <c r="W32" s="17">
        <f>20595-66</f>
        <v>20529</v>
      </c>
      <c r="X32" s="17"/>
      <c r="Y32" s="17"/>
      <c r="Z32" s="11">
        <f t="shared" si="0"/>
        <v>186820.38333333333</v>
      </c>
      <c r="AA32" s="15"/>
    </row>
    <row r="33" spans="1:27" x14ac:dyDescent="0.25">
      <c r="A33" s="17" t="s">
        <v>32</v>
      </c>
      <c r="F33" s="29"/>
      <c r="L33" s="18">
        <v>137763</v>
      </c>
      <c r="M33" s="52">
        <v>2411</v>
      </c>
      <c r="N33" s="18">
        <v>18874</v>
      </c>
      <c r="O33" s="18">
        <f>113219</f>
        <v>113219</v>
      </c>
      <c r="P33" s="17">
        <f>[1]Gleason!$AT$223</f>
        <v>0</v>
      </c>
      <c r="Q33" s="18">
        <v>40284</v>
      </c>
      <c r="R33" s="18">
        <f>10010+153336-104349</f>
        <v>58997</v>
      </c>
      <c r="S33" s="18">
        <v>35000</v>
      </c>
      <c r="T33" s="18">
        <v>35000</v>
      </c>
      <c r="U33" s="18">
        <v>35000</v>
      </c>
      <c r="V33" s="18">
        <v>140764</v>
      </c>
      <c r="Z33" s="11">
        <f t="shared" si="0"/>
        <v>617312</v>
      </c>
      <c r="AA33" s="15"/>
    </row>
    <row r="34" spans="1:27" x14ac:dyDescent="0.25">
      <c r="A34" s="17" t="s">
        <v>33</v>
      </c>
      <c r="H34" s="17"/>
      <c r="L34" s="18">
        <v>14302</v>
      </c>
      <c r="M34" s="52">
        <v>13886</v>
      </c>
      <c r="N34" s="18">
        <v>27415</v>
      </c>
      <c r="O34" s="18">
        <v>13908</v>
      </c>
      <c r="P34" s="18">
        <f>[1]Gleason!$AT$229</f>
        <v>0</v>
      </c>
      <c r="Q34" s="18">
        <v>0</v>
      </c>
      <c r="R34" s="17">
        <f>18820-11693</f>
        <v>7127</v>
      </c>
      <c r="S34" s="18">
        <v>132585</v>
      </c>
      <c r="T34" s="18">
        <v>96092</v>
      </c>
      <c r="U34" s="18">
        <v>121058</v>
      </c>
      <c r="V34" s="18">
        <f>253000+994</f>
        <v>253994</v>
      </c>
      <c r="W34" s="18">
        <v>68298</v>
      </c>
      <c r="Z34" s="11">
        <f t="shared" si="0"/>
        <v>748665</v>
      </c>
      <c r="AA34" s="15"/>
    </row>
    <row r="35" spans="1:27" x14ac:dyDescent="0.25">
      <c r="A35" s="17" t="s">
        <v>63</v>
      </c>
      <c r="C35" s="21">
        <f t="shared" ref="C35:J35" si="4">SUM(C9:C34)</f>
        <v>0</v>
      </c>
      <c r="D35" s="21">
        <f t="shared" si="4"/>
        <v>0</v>
      </c>
      <c r="E35" s="21">
        <f t="shared" si="4"/>
        <v>0</v>
      </c>
      <c r="F35" s="21">
        <f t="shared" si="4"/>
        <v>0</v>
      </c>
      <c r="G35" s="21">
        <f t="shared" si="4"/>
        <v>0</v>
      </c>
      <c r="H35" s="21">
        <f t="shared" si="4"/>
        <v>0</v>
      </c>
      <c r="I35" s="21">
        <f t="shared" si="4"/>
        <v>0</v>
      </c>
      <c r="J35" s="21">
        <f t="shared" si="4"/>
        <v>0</v>
      </c>
      <c r="K35" s="21">
        <f t="shared" ref="K35:U35" si="5">SUM(K10:K34)</f>
        <v>0</v>
      </c>
      <c r="L35" s="21">
        <f t="shared" si="5"/>
        <v>88847709.049999997</v>
      </c>
      <c r="M35" s="21">
        <f t="shared" si="5"/>
        <v>206868</v>
      </c>
      <c r="N35" s="21">
        <f t="shared" si="5"/>
        <v>1660822.3333333333</v>
      </c>
      <c r="O35" s="21">
        <f t="shared" si="5"/>
        <v>6962875.333333333</v>
      </c>
      <c r="P35" s="21">
        <f t="shared" si="5"/>
        <v>2046386.6333333333</v>
      </c>
      <c r="Q35" s="21">
        <f t="shared" si="5"/>
        <v>7621171.6333333328</v>
      </c>
      <c r="R35" s="21">
        <f t="shared" si="5"/>
        <v>11531133.199444445</v>
      </c>
      <c r="S35" s="21">
        <f t="shared" si="5"/>
        <v>9604959.6544444486</v>
      </c>
      <c r="T35" s="21">
        <f t="shared" si="5"/>
        <v>9653953.0594444405</v>
      </c>
      <c r="U35" s="21">
        <f t="shared" si="5"/>
        <v>7449014.5183333354</v>
      </c>
      <c r="V35" s="21">
        <f>SUM(V10:V34)</f>
        <v>21710887.563333333</v>
      </c>
      <c r="W35" s="21">
        <f>SUM(W10:W34)</f>
        <v>-2500291</v>
      </c>
      <c r="X35" s="21">
        <f>SUM(X10:X34)</f>
        <v>0</v>
      </c>
      <c r="Y35" s="21">
        <f>SUM(Y10:Y34)</f>
        <v>0</v>
      </c>
      <c r="Z35" s="22">
        <f>SUM(C35:Y35)</f>
        <v>164795489.97833332</v>
      </c>
    </row>
    <row r="36" spans="1:27" x14ac:dyDescent="0.25">
      <c r="A36" s="17" t="s">
        <v>67</v>
      </c>
      <c r="C36" s="21">
        <f>+C35</f>
        <v>0</v>
      </c>
      <c r="D36" s="21">
        <f t="shared" ref="D36:K36" si="6">+D35</f>
        <v>0</v>
      </c>
      <c r="E36" s="21">
        <f t="shared" si="6"/>
        <v>0</v>
      </c>
      <c r="F36" s="21">
        <f t="shared" si="6"/>
        <v>0</v>
      </c>
      <c r="G36" s="21">
        <f t="shared" si="6"/>
        <v>0</v>
      </c>
      <c r="H36" s="21">
        <f t="shared" si="6"/>
        <v>0</v>
      </c>
      <c r="I36" s="21">
        <f t="shared" si="6"/>
        <v>0</v>
      </c>
      <c r="J36" s="21">
        <f t="shared" si="6"/>
        <v>0</v>
      </c>
      <c r="K36" s="21">
        <f t="shared" si="6"/>
        <v>0</v>
      </c>
      <c r="L36" s="21">
        <f t="shared" ref="L36:V36" si="7">+K36+L35</f>
        <v>88847709.049999997</v>
      </c>
      <c r="M36" s="21">
        <f t="shared" si="7"/>
        <v>89054577.049999997</v>
      </c>
      <c r="N36" s="21">
        <f t="shared" si="7"/>
        <v>90715399.383333325</v>
      </c>
      <c r="O36" s="21">
        <f t="shared" si="7"/>
        <v>97678274.716666654</v>
      </c>
      <c r="P36" s="21">
        <f t="shared" si="7"/>
        <v>99724661.349999994</v>
      </c>
      <c r="Q36" s="21">
        <f>+P36+Q35</f>
        <v>107345832.98333332</v>
      </c>
      <c r="R36" s="21">
        <f t="shared" si="7"/>
        <v>118876966.18277776</v>
      </c>
      <c r="S36" s="21">
        <f t="shared" si="7"/>
        <v>128481925.83722222</v>
      </c>
      <c r="T36" s="21">
        <f t="shared" si="7"/>
        <v>138135878.89666665</v>
      </c>
      <c r="U36" s="21">
        <f t="shared" si="7"/>
        <v>145584893.41499999</v>
      </c>
      <c r="V36" s="21">
        <f t="shared" si="7"/>
        <v>167295780.97833332</v>
      </c>
      <c r="W36" s="21">
        <f>+V36+W35</f>
        <v>164795489.97833332</v>
      </c>
      <c r="X36" s="21">
        <f>+W36+X35</f>
        <v>164795489.97833332</v>
      </c>
      <c r="Y36" s="21">
        <f>+X36+Y35</f>
        <v>164795489.97833332</v>
      </c>
      <c r="Z36" s="11"/>
    </row>
    <row r="37" spans="1:27" x14ac:dyDescent="0.25">
      <c r="A37" s="17" t="s">
        <v>64</v>
      </c>
      <c r="D37" s="4"/>
      <c r="E37" s="4"/>
      <c r="F37" s="4"/>
      <c r="G37" s="4"/>
      <c r="H37" s="4"/>
      <c r="I37" s="4"/>
      <c r="J37" s="4"/>
      <c r="K37" s="4"/>
      <c r="L37" s="4"/>
      <c r="Z37" s="16">
        <f>+Z35/C54/1000</f>
        <v>323.12841172222221</v>
      </c>
      <c r="AA37" s="20"/>
    </row>
    <row r="38" spans="1:27" x14ac:dyDescent="0.25">
      <c r="A38" s="17"/>
      <c r="D38" s="4"/>
      <c r="E38" s="4"/>
      <c r="F38" s="4"/>
      <c r="G38" s="4"/>
      <c r="H38" s="4"/>
      <c r="I38" s="4"/>
      <c r="J38" s="4"/>
      <c r="K38" s="4"/>
      <c r="L38" s="4"/>
      <c r="Z38" s="16"/>
      <c r="AA38" s="20"/>
    </row>
    <row r="39" spans="1:27" x14ac:dyDescent="0.25">
      <c r="A39" s="17" t="s">
        <v>94</v>
      </c>
      <c r="D39" s="4"/>
      <c r="E39" s="4"/>
      <c r="F39" s="4"/>
      <c r="G39" s="4"/>
      <c r="H39" s="4"/>
      <c r="I39" s="4"/>
      <c r="J39" s="4"/>
      <c r="K39" s="4"/>
      <c r="L39" s="4"/>
      <c r="M39" s="52">
        <v>-6077</v>
      </c>
      <c r="Z39" s="11">
        <f t="shared" ref="Z39:Z44" si="8">SUM(C39:Y39)</f>
        <v>-6077</v>
      </c>
      <c r="AA39" s="19" t="s">
        <v>54</v>
      </c>
    </row>
    <row r="40" spans="1:27" x14ac:dyDescent="0.25">
      <c r="A40" s="17" t="s">
        <v>44</v>
      </c>
      <c r="C40" s="9">
        <v>0</v>
      </c>
      <c r="D40" s="9">
        <v>0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  <c r="J40" s="9">
        <v>0</v>
      </c>
      <c r="K40" s="9">
        <v>0</v>
      </c>
      <c r="L40" s="9">
        <f>4326863</f>
        <v>4326863</v>
      </c>
      <c r="M40" s="30">
        <v>505668.93</v>
      </c>
      <c r="N40" s="30">
        <v>517447.92267638887</v>
      </c>
      <c r="O40" s="30">
        <v>557933.42322977481</v>
      </c>
      <c r="P40" s="30">
        <v>574337.94527365838</v>
      </c>
      <c r="Q40" s="30">
        <f>(Q36+P45)*$C52/12</f>
        <v>616535.87235777953</v>
      </c>
      <c r="R40" s="30">
        <f>(R36+Q45)*$C52/12</f>
        <v>682335.74649670825</v>
      </c>
      <c r="S40" s="30">
        <f>(S36+R45)*$C52/12</f>
        <v>738058.59658513952</v>
      </c>
      <c r="T40" s="30">
        <f>(T36+S45)*$C52/12</f>
        <v>794348.65972196637</v>
      </c>
      <c r="U40" s="30">
        <f>(U36+T45)*$C52/12</f>
        <v>839000.21026976593</v>
      </c>
      <c r="V40" s="30">
        <f>(V36+U45)*$C52/12-5719</f>
        <v>955426.43571011617</v>
      </c>
      <c r="W40" s="30"/>
      <c r="X40" s="30"/>
      <c r="Y40" s="30"/>
      <c r="Z40" s="11">
        <f t="shared" si="8"/>
        <v>11107956.742321296</v>
      </c>
      <c r="AA40" s="19" t="str">
        <f>AA55</f>
        <v>Rodney Malcolm</v>
      </c>
    </row>
    <row r="41" spans="1:27" x14ac:dyDescent="0.25">
      <c r="A41" s="17" t="s">
        <v>88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55">
        <v>0</v>
      </c>
      <c r="N41" s="30">
        <v>0</v>
      </c>
      <c r="O41" s="30">
        <v>0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/>
      <c r="X41" s="30"/>
      <c r="Y41" s="30"/>
      <c r="Z41" s="11">
        <f t="shared" si="8"/>
        <v>0</v>
      </c>
      <c r="AA41" s="19" t="str">
        <f>AA40</f>
        <v>Rodney Malcolm</v>
      </c>
    </row>
    <row r="42" spans="1:27" x14ac:dyDescent="0.25">
      <c r="A42" s="17" t="s">
        <v>31</v>
      </c>
      <c r="C42" s="4">
        <v>0</v>
      </c>
      <c r="D42" s="4">
        <v>0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</v>
      </c>
      <c r="Z42" s="11">
        <f t="shared" si="8"/>
        <v>0</v>
      </c>
      <c r="AA42" s="19" t="s">
        <v>54</v>
      </c>
    </row>
    <row r="43" spans="1:27" x14ac:dyDescent="0.25">
      <c r="A43" s="17" t="s">
        <v>86</v>
      </c>
      <c r="C43" s="9">
        <v>0</v>
      </c>
      <c r="D43" s="9">
        <v>0</v>
      </c>
      <c r="E43" s="9">
        <v>0</v>
      </c>
      <c r="F43" s="9">
        <v>0</v>
      </c>
      <c r="G43" s="9">
        <v>0</v>
      </c>
      <c r="H43" s="9">
        <v>0</v>
      </c>
      <c r="I43" s="9">
        <v>0</v>
      </c>
      <c r="J43" s="9">
        <v>0</v>
      </c>
      <c r="K43" s="9">
        <v>0</v>
      </c>
      <c r="L43" s="9">
        <v>0</v>
      </c>
      <c r="M43" s="56"/>
      <c r="N43" s="20"/>
      <c r="O43" s="20"/>
      <c r="P43" s="20"/>
      <c r="Q43" s="20"/>
      <c r="R43" s="20"/>
      <c r="S43" s="20"/>
      <c r="T43" s="20"/>
      <c r="U43" s="20"/>
      <c r="V43" s="20">
        <v>0</v>
      </c>
      <c r="W43" s="20"/>
      <c r="X43" s="20"/>
      <c r="Y43" s="20"/>
      <c r="Z43" s="11">
        <f t="shared" si="8"/>
        <v>0</v>
      </c>
      <c r="AA43" s="19" t="str">
        <f>AA26</f>
        <v>Ben Jacoby</v>
      </c>
    </row>
    <row r="44" spans="1:27" x14ac:dyDescent="0.25">
      <c r="A44" s="17" t="s">
        <v>65</v>
      </c>
      <c r="C44" s="21">
        <f t="shared" ref="C44:L44" si="9">SUM(C39:C43)</f>
        <v>0</v>
      </c>
      <c r="D44" s="21">
        <f t="shared" si="9"/>
        <v>0</v>
      </c>
      <c r="E44" s="21">
        <f t="shared" si="9"/>
        <v>0</v>
      </c>
      <c r="F44" s="21">
        <f t="shared" si="9"/>
        <v>0</v>
      </c>
      <c r="G44" s="21">
        <f t="shared" si="9"/>
        <v>0</v>
      </c>
      <c r="H44" s="21">
        <f t="shared" si="9"/>
        <v>0</v>
      </c>
      <c r="I44" s="21">
        <f t="shared" si="9"/>
        <v>0</v>
      </c>
      <c r="J44" s="21">
        <f t="shared" si="9"/>
        <v>0</v>
      </c>
      <c r="K44" s="21">
        <f t="shared" si="9"/>
        <v>0</v>
      </c>
      <c r="L44" s="21">
        <f t="shared" si="9"/>
        <v>4326863</v>
      </c>
      <c r="M44" s="54">
        <f t="shared" ref="M44:V44" si="10">SUM(M39:M43)</f>
        <v>499591.93</v>
      </c>
      <c r="N44" s="21">
        <f t="shared" si="10"/>
        <v>517447.92267638887</v>
      </c>
      <c r="O44" s="21">
        <f t="shared" si="10"/>
        <v>557933.42322977481</v>
      </c>
      <c r="P44" s="21">
        <f t="shared" si="10"/>
        <v>574337.94527365838</v>
      </c>
      <c r="Q44" s="21">
        <f t="shared" si="10"/>
        <v>616535.87235777953</v>
      </c>
      <c r="R44" s="21">
        <f t="shared" si="10"/>
        <v>682335.74649670825</v>
      </c>
      <c r="S44" s="21">
        <f t="shared" si="10"/>
        <v>738058.59658513952</v>
      </c>
      <c r="T44" s="21">
        <f t="shared" si="10"/>
        <v>794348.65972196637</v>
      </c>
      <c r="U44" s="21">
        <f t="shared" si="10"/>
        <v>839000.21026976593</v>
      </c>
      <c r="V44" s="21">
        <f t="shared" si="10"/>
        <v>955426.43571011617</v>
      </c>
      <c r="W44" s="21">
        <f>SUM(W39:W43)</f>
        <v>0</v>
      </c>
      <c r="X44" s="21">
        <f>SUM(X39:X43)</f>
        <v>0</v>
      </c>
      <c r="Y44" s="21">
        <f>SUM(Y39:Y43)</f>
        <v>0</v>
      </c>
      <c r="Z44" s="22">
        <f t="shared" si="8"/>
        <v>11101879.742321296</v>
      </c>
      <c r="AA44" s="20"/>
    </row>
    <row r="45" spans="1:27" x14ac:dyDescent="0.25">
      <c r="A45" s="17" t="s">
        <v>68</v>
      </c>
      <c r="C45" s="21">
        <f>+C44</f>
        <v>0</v>
      </c>
      <c r="D45" s="21">
        <f t="shared" ref="D45:L45" si="11">+D44</f>
        <v>0</v>
      </c>
      <c r="E45" s="21">
        <f t="shared" si="11"/>
        <v>0</v>
      </c>
      <c r="F45" s="21">
        <f t="shared" si="11"/>
        <v>0</v>
      </c>
      <c r="G45" s="21">
        <f t="shared" si="11"/>
        <v>0</v>
      </c>
      <c r="H45" s="21">
        <f t="shared" si="11"/>
        <v>0</v>
      </c>
      <c r="I45" s="21">
        <f t="shared" si="11"/>
        <v>0</v>
      </c>
      <c r="J45" s="21">
        <f t="shared" si="11"/>
        <v>0</v>
      </c>
      <c r="K45" s="21">
        <f t="shared" si="11"/>
        <v>0</v>
      </c>
      <c r="L45" s="21">
        <f t="shared" si="11"/>
        <v>4326863</v>
      </c>
      <c r="M45" s="54">
        <f>L45+M44</f>
        <v>4826454.93</v>
      </c>
      <c r="N45" s="54">
        <f t="shared" ref="N45:V45" si="12">M45+N44</f>
        <v>5343902.8526763888</v>
      </c>
      <c r="O45" s="54">
        <f t="shared" si="12"/>
        <v>5901836.2759061633</v>
      </c>
      <c r="P45" s="54">
        <f t="shared" si="12"/>
        <v>6476174.2211798215</v>
      </c>
      <c r="Q45" s="54">
        <f>P45+Q44</f>
        <v>7092710.0935376007</v>
      </c>
      <c r="R45" s="54">
        <f t="shared" si="12"/>
        <v>7775045.8400343088</v>
      </c>
      <c r="S45" s="54">
        <f t="shared" si="12"/>
        <v>8513104.4366194475</v>
      </c>
      <c r="T45" s="54">
        <f t="shared" si="12"/>
        <v>9307453.0963414144</v>
      </c>
      <c r="U45" s="54">
        <f t="shared" si="12"/>
        <v>10146453.30661118</v>
      </c>
      <c r="V45" s="54">
        <f t="shared" si="12"/>
        <v>11101879.742321296</v>
      </c>
      <c r="W45" s="54">
        <f>V45+W44</f>
        <v>11101879.742321296</v>
      </c>
      <c r="X45" s="54">
        <f>W45+X44</f>
        <v>11101879.742321296</v>
      </c>
      <c r="Y45" s="54">
        <f>X45+Y44</f>
        <v>11101879.742321296</v>
      </c>
      <c r="Z45" s="11"/>
      <c r="AA45" s="20"/>
    </row>
    <row r="46" spans="1:27" x14ac:dyDescent="0.25">
      <c r="A46" s="17"/>
      <c r="C46" s="9"/>
      <c r="D46" s="9"/>
      <c r="E46" s="9"/>
      <c r="F46" s="9"/>
      <c r="G46" s="9"/>
      <c r="H46" s="9"/>
      <c r="I46" s="9"/>
      <c r="J46" s="9"/>
      <c r="K46" s="9"/>
      <c r="L46" s="9"/>
      <c r="M46" s="56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11"/>
      <c r="AA46" s="20"/>
    </row>
    <row r="47" spans="1:27" s="4" customFormat="1" x14ac:dyDescent="0.25">
      <c r="A47" s="4" t="s">
        <v>49</v>
      </c>
      <c r="C47" s="4">
        <f>+C35+C44</f>
        <v>0</v>
      </c>
      <c r="D47" s="4">
        <f t="shared" ref="D47:L47" si="13">+D35+D44</f>
        <v>0</v>
      </c>
      <c r="E47" s="4">
        <f t="shared" si="13"/>
        <v>0</v>
      </c>
      <c r="F47" s="4">
        <f t="shared" si="13"/>
        <v>0</v>
      </c>
      <c r="G47" s="4">
        <f t="shared" si="13"/>
        <v>0</v>
      </c>
      <c r="H47" s="4">
        <f t="shared" si="13"/>
        <v>0</v>
      </c>
      <c r="I47" s="4">
        <f t="shared" si="13"/>
        <v>0</v>
      </c>
      <c r="J47" s="4">
        <f t="shared" si="13"/>
        <v>0</v>
      </c>
      <c r="K47" s="4">
        <f t="shared" si="13"/>
        <v>0</v>
      </c>
      <c r="L47" s="4">
        <f t="shared" si="13"/>
        <v>93174572.049999997</v>
      </c>
      <c r="M47" s="57">
        <f t="shared" ref="M47:V47" si="14">+M35+M44</f>
        <v>706459.92999999993</v>
      </c>
      <c r="N47" s="4">
        <f t="shared" si="14"/>
        <v>2178270.2560097221</v>
      </c>
      <c r="O47" s="4">
        <f t="shared" si="14"/>
        <v>7520808.7565631075</v>
      </c>
      <c r="P47" s="4">
        <f t="shared" si="14"/>
        <v>2620724.5786069916</v>
      </c>
      <c r="Q47" s="4">
        <f t="shared" si="14"/>
        <v>8237707.505691112</v>
      </c>
      <c r="R47" s="4">
        <f t="shared" si="14"/>
        <v>12213468.945941154</v>
      </c>
      <c r="S47" s="4">
        <f t="shared" si="14"/>
        <v>10343018.251029588</v>
      </c>
      <c r="T47" s="4">
        <f t="shared" si="14"/>
        <v>10448301.719166407</v>
      </c>
      <c r="U47" s="4">
        <f t="shared" si="14"/>
        <v>8288014.7286031013</v>
      </c>
      <c r="V47" s="4">
        <f t="shared" si="14"/>
        <v>22666313.99904345</v>
      </c>
      <c r="W47" s="4">
        <f>+W35+W44</f>
        <v>-2500291</v>
      </c>
      <c r="X47" s="4">
        <f>+X35+X44</f>
        <v>0</v>
      </c>
      <c r="Y47" s="4">
        <f>+Y35+Y44</f>
        <v>0</v>
      </c>
      <c r="Z47" s="11">
        <f>SUM(C47:W47)</f>
        <v>175897369.72065461</v>
      </c>
    </row>
    <row r="48" spans="1:27" s="4" customFormat="1" x14ac:dyDescent="0.25">
      <c r="A48" s="4" t="s">
        <v>45</v>
      </c>
      <c r="C48" s="4">
        <f>C47</f>
        <v>0</v>
      </c>
      <c r="D48" s="4">
        <f t="shared" ref="D48:L48" si="15">D47</f>
        <v>0</v>
      </c>
      <c r="E48" s="4">
        <f t="shared" si="15"/>
        <v>0</v>
      </c>
      <c r="F48" s="4">
        <f t="shared" si="15"/>
        <v>0</v>
      </c>
      <c r="G48" s="4">
        <f t="shared" si="15"/>
        <v>0</v>
      </c>
      <c r="H48" s="4">
        <f t="shared" si="15"/>
        <v>0</v>
      </c>
      <c r="I48" s="4">
        <f t="shared" si="15"/>
        <v>0</v>
      </c>
      <c r="J48" s="4">
        <f t="shared" si="15"/>
        <v>0</v>
      </c>
      <c r="K48" s="4">
        <f t="shared" si="15"/>
        <v>0</v>
      </c>
      <c r="L48" s="4">
        <f t="shared" si="15"/>
        <v>93174572.049999997</v>
      </c>
      <c r="M48" s="57">
        <f>M47+L48</f>
        <v>93881031.980000004</v>
      </c>
      <c r="N48" s="57">
        <f t="shared" ref="N48:V48" si="16">N47+M48</f>
        <v>96059302.236009732</v>
      </c>
      <c r="O48" s="57">
        <f t="shared" si="16"/>
        <v>103580110.99257284</v>
      </c>
      <c r="P48" s="57">
        <f t="shared" si="16"/>
        <v>106200835.57117984</v>
      </c>
      <c r="Q48" s="57">
        <f>Q47+P48</f>
        <v>114438543.07687095</v>
      </c>
      <c r="R48" s="57">
        <f t="shared" si="16"/>
        <v>126652012.0228121</v>
      </c>
      <c r="S48" s="57">
        <f t="shared" si="16"/>
        <v>136995030.27384168</v>
      </c>
      <c r="T48" s="57">
        <f t="shared" si="16"/>
        <v>147443331.99300808</v>
      </c>
      <c r="U48" s="57">
        <f t="shared" si="16"/>
        <v>155731346.72161117</v>
      </c>
      <c r="V48" s="57">
        <f t="shared" si="16"/>
        <v>178397660.72065461</v>
      </c>
      <c r="W48" s="57">
        <f>W47+V48</f>
        <v>175897369.72065461</v>
      </c>
      <c r="X48" s="57">
        <f>X47+W48</f>
        <v>175897369.72065461</v>
      </c>
      <c r="Y48" s="57">
        <f>Y47+X48</f>
        <v>175897369.72065461</v>
      </c>
      <c r="Z48" s="11"/>
    </row>
    <row r="49" spans="1:31" s="4" customFormat="1" x14ac:dyDescent="0.25">
      <c r="M49" s="57"/>
      <c r="Z49" s="11"/>
    </row>
    <row r="50" spans="1:31" s="4" customFormat="1" x14ac:dyDescent="0.25">
      <c r="M50" s="57"/>
    </row>
    <row r="51" spans="1:31" s="4" customFormat="1" x14ac:dyDescent="0.25">
      <c r="M51" s="57"/>
      <c r="Z51" s="16">
        <f>+Z47/C54/1000</f>
        <v>344.89680337383254</v>
      </c>
    </row>
    <row r="52" spans="1:31" s="4" customFormat="1" x14ac:dyDescent="0.25">
      <c r="A52" s="8" t="s">
        <v>96</v>
      </c>
      <c r="C52" s="12">
        <v>6.5000000000000002E-2</v>
      </c>
      <c r="M52" s="57"/>
      <c r="Z52" s="11"/>
    </row>
    <row r="53" spans="1:31" s="4" customFormat="1" x14ac:dyDescent="0.25">
      <c r="A53" s="8" t="s">
        <v>89</v>
      </c>
      <c r="C53" s="12">
        <v>3.5000000000000001E-3</v>
      </c>
      <c r="D53" s="35">
        <v>174500000</v>
      </c>
      <c r="M53" s="57"/>
      <c r="Z53" s="11"/>
    </row>
    <row r="54" spans="1:31" s="4" customFormat="1" x14ac:dyDescent="0.25">
      <c r="A54" s="17" t="s">
        <v>64</v>
      </c>
      <c r="C54" s="4">
        <v>510</v>
      </c>
      <c r="D54" s="4" t="s">
        <v>66</v>
      </c>
      <c r="M54" s="57"/>
      <c r="Z54" s="11"/>
    </row>
    <row r="55" spans="1:31" x14ac:dyDescent="0.25">
      <c r="A55" s="17" t="s">
        <v>39</v>
      </c>
      <c r="C55" s="4">
        <v>0</v>
      </c>
      <c r="V55" s="18">
        <v>0</v>
      </c>
      <c r="W55" s="18">
        <v>0</v>
      </c>
      <c r="Z55" s="23">
        <f>SUM(C55:V55)</f>
        <v>0</v>
      </c>
      <c r="AA55" s="19" t="str">
        <f>AA42</f>
        <v>Rodney Malcolm</v>
      </c>
    </row>
    <row r="56" spans="1:31" s="4" customFormat="1" x14ac:dyDescent="0.25">
      <c r="A56" s="8"/>
      <c r="C56" s="12"/>
      <c r="M56" s="57"/>
      <c r="Z56" s="11"/>
    </row>
    <row r="57" spans="1:31" x14ac:dyDescent="0.25">
      <c r="A57" s="17" t="s">
        <v>69</v>
      </c>
      <c r="C57" s="4">
        <f t="shared" ref="C57:K57" si="17">+C47-C40</f>
        <v>0</v>
      </c>
      <c r="D57" s="4">
        <f t="shared" si="17"/>
        <v>0</v>
      </c>
      <c r="E57" s="4">
        <f t="shared" si="17"/>
        <v>0</v>
      </c>
      <c r="F57" s="4">
        <f t="shared" si="17"/>
        <v>0</v>
      </c>
      <c r="G57" s="4">
        <f t="shared" si="17"/>
        <v>0</v>
      </c>
      <c r="H57" s="4">
        <f t="shared" si="17"/>
        <v>0</v>
      </c>
      <c r="I57" s="4">
        <f t="shared" si="17"/>
        <v>0</v>
      </c>
      <c r="J57" s="4">
        <f t="shared" si="17"/>
        <v>0</v>
      </c>
      <c r="K57" s="4">
        <f t="shared" si="17"/>
        <v>0</v>
      </c>
      <c r="L57" s="4"/>
      <c r="M57" s="57">
        <f t="shared" ref="M57:Y57" si="18">+M47-M40</f>
        <v>200790.99999999994</v>
      </c>
      <c r="N57" s="4">
        <f t="shared" si="18"/>
        <v>1660822.3333333333</v>
      </c>
      <c r="O57" s="4">
        <f t="shared" si="18"/>
        <v>6962875.333333333</v>
      </c>
      <c r="P57" s="4">
        <f t="shared" si="18"/>
        <v>2046386.6333333333</v>
      </c>
      <c r="Q57" s="4">
        <f t="shared" si="18"/>
        <v>7621171.6333333328</v>
      </c>
      <c r="R57" s="4">
        <f t="shared" si="18"/>
        <v>11531133.199444445</v>
      </c>
      <c r="S57" s="4">
        <f t="shared" si="18"/>
        <v>9604959.6544444486</v>
      </c>
      <c r="T57" s="4">
        <f t="shared" si="18"/>
        <v>9653953.0594444405</v>
      </c>
      <c r="U57" s="4">
        <f t="shared" si="18"/>
        <v>7449014.5183333354</v>
      </c>
      <c r="V57" s="4">
        <f t="shared" si="18"/>
        <v>21710887.563333333</v>
      </c>
      <c r="W57" s="4">
        <f t="shared" si="18"/>
        <v>-2500291</v>
      </c>
      <c r="X57" s="4">
        <f t="shared" si="18"/>
        <v>0</v>
      </c>
      <c r="Y57" s="4">
        <f t="shared" si="18"/>
        <v>0</v>
      </c>
      <c r="Z57" s="11">
        <f>SUM(C57:Y57)</f>
        <v>75941703.928333342</v>
      </c>
    </row>
    <row r="58" spans="1:31" x14ac:dyDescent="0.25">
      <c r="Z58" s="11"/>
    </row>
    <row r="59" spans="1:31" x14ac:dyDescent="0.25">
      <c r="Z59" s="11"/>
    </row>
    <row r="60" spans="1:31" ht="19.2" x14ac:dyDescent="0.6">
      <c r="A60" s="32" t="s">
        <v>81</v>
      </c>
      <c r="Z60" s="11"/>
    </row>
    <row r="61" spans="1:31" x14ac:dyDescent="0.25">
      <c r="A61" s="4" t="s">
        <v>74</v>
      </c>
      <c r="Z61" s="11"/>
    </row>
    <row r="62" spans="1:31" x14ac:dyDescent="0.25">
      <c r="A62" s="39" t="s">
        <v>90</v>
      </c>
      <c r="B62" s="38"/>
      <c r="H62" s="17">
        <f>135487+48439.18</f>
        <v>183926.18</v>
      </c>
      <c r="I62" s="17">
        <v>0</v>
      </c>
      <c r="J62" s="18">
        <v>2645</v>
      </c>
      <c r="K62" s="18">
        <v>0</v>
      </c>
      <c r="L62" s="17">
        <f>-SUM(G62:K62)-M62</f>
        <v>-194774.18</v>
      </c>
      <c r="M62" s="52">
        <v>8203</v>
      </c>
      <c r="Q62" s="18">
        <v>0</v>
      </c>
      <c r="Z62" s="11">
        <f>SUM(C62:Y62)</f>
        <v>0</v>
      </c>
      <c r="AA62" s="39" t="s">
        <v>90</v>
      </c>
      <c r="AC62" s="18">
        <f>Z62+Z26</f>
        <v>563038</v>
      </c>
      <c r="AD62" s="18">
        <f>[1]Gleason!$BT$195</f>
        <v>563038.39999999991</v>
      </c>
      <c r="AE62" s="18">
        <f>AC62-AD62</f>
        <v>-0.39999999990686774</v>
      </c>
    </row>
    <row r="63" spans="1:31" x14ac:dyDescent="0.25">
      <c r="A63" s="39" t="s">
        <v>91</v>
      </c>
      <c r="B63" s="38"/>
      <c r="E63" s="18">
        <v>0</v>
      </c>
      <c r="F63" s="18">
        <v>3543</v>
      </c>
      <c r="H63" s="18">
        <v>2193</v>
      </c>
      <c r="I63" s="18">
        <v>0</v>
      </c>
      <c r="K63" s="18">
        <v>0</v>
      </c>
      <c r="L63" s="17">
        <f>-SUM(G63:K63)</f>
        <v>-2193</v>
      </c>
      <c r="Z63" s="11">
        <f>SUM(C63:Y63)</f>
        <v>3543</v>
      </c>
      <c r="AA63" s="39" t="s">
        <v>91</v>
      </c>
      <c r="AC63" s="18">
        <f>Z63+Z34</f>
        <v>752208</v>
      </c>
      <c r="AD63" s="18">
        <f>[1]Gleason!$BT$245</f>
        <v>752208.46</v>
      </c>
      <c r="AE63" s="18">
        <f>AC63-AD63</f>
        <v>-0.4599999999627471</v>
      </c>
    </row>
    <row r="64" spans="1:31" x14ac:dyDescent="0.25">
      <c r="A64" s="39" t="s">
        <v>92</v>
      </c>
      <c r="B64" s="38"/>
      <c r="D64" s="18">
        <v>0</v>
      </c>
      <c r="I64" s="18">
        <v>0</v>
      </c>
      <c r="K64" s="18">
        <v>0</v>
      </c>
      <c r="L64" s="17">
        <f>-SUM(G64:K64)</f>
        <v>0</v>
      </c>
      <c r="Z64" s="11">
        <f>SUM(C64:Y64)</f>
        <v>0</v>
      </c>
      <c r="AA64" s="39" t="s">
        <v>92</v>
      </c>
      <c r="AC64" s="18">
        <f>Z64</f>
        <v>0</v>
      </c>
      <c r="AD64" s="18">
        <v>0</v>
      </c>
      <c r="AE64" s="18">
        <f>AC64-AD64</f>
        <v>0</v>
      </c>
    </row>
    <row r="65" spans="1:31" x14ac:dyDescent="0.25">
      <c r="A65" s="39" t="s">
        <v>93</v>
      </c>
      <c r="B65" s="38"/>
      <c r="C65" s="4">
        <v>0</v>
      </c>
      <c r="D65" s="18">
        <v>0</v>
      </c>
      <c r="E65" s="18">
        <v>5000</v>
      </c>
      <c r="F65" s="18">
        <f>716+188</f>
        <v>904</v>
      </c>
      <c r="G65" s="18">
        <v>7490.5</v>
      </c>
      <c r="H65" s="18">
        <v>2410.5100000000002</v>
      </c>
      <c r="I65" s="18">
        <v>0</v>
      </c>
      <c r="L65" s="17">
        <f>-SUM(G65:K65)</f>
        <v>-9901.01</v>
      </c>
      <c r="Z65" s="11">
        <f>SUM(C65:Y65)</f>
        <v>5904</v>
      </c>
      <c r="AA65" s="39" t="s">
        <v>93</v>
      </c>
      <c r="AC65" s="18">
        <f>Z65+Z33</f>
        <v>623216</v>
      </c>
      <c r="AD65" s="18">
        <f>[1]Gleason!$BT$239</f>
        <v>623216.18000000005</v>
      </c>
      <c r="AE65" s="18">
        <f>AC65-AD65</f>
        <v>-0.18000000005122274</v>
      </c>
    </row>
    <row r="66" spans="1:31" x14ac:dyDescent="0.25">
      <c r="A66" s="39" t="s">
        <v>30</v>
      </c>
      <c r="B66" s="38"/>
      <c r="F66" s="18">
        <v>11817</v>
      </c>
      <c r="G66" s="18">
        <v>1079</v>
      </c>
      <c r="H66" s="18">
        <f>862+910.57</f>
        <v>1772.5700000000002</v>
      </c>
      <c r="I66" s="18">
        <v>0</v>
      </c>
      <c r="K66" s="18">
        <v>0</v>
      </c>
      <c r="L66" s="17">
        <f>-SUM(G66:K66)+1362.81</f>
        <v>-1488.7600000000002</v>
      </c>
      <c r="Z66" s="11">
        <f>SUM(C66:Y66)</f>
        <v>13179.81</v>
      </c>
      <c r="AA66" s="39" t="s">
        <v>30</v>
      </c>
      <c r="AC66" s="18">
        <f>Z66+Z32</f>
        <v>200000.19333333333</v>
      </c>
      <c r="AD66" s="18">
        <f>[1]Gleason!$BT$230</f>
        <v>200000</v>
      </c>
      <c r="AE66" s="18">
        <f>AC66-AD66</f>
        <v>0.19333333332906477</v>
      </c>
    </row>
    <row r="67" spans="1:31" x14ac:dyDescent="0.25">
      <c r="A67" s="4" t="s">
        <v>82</v>
      </c>
      <c r="C67" s="21">
        <f t="shared" ref="C67:L67" si="19">SUM(C62:C66)</f>
        <v>0</v>
      </c>
      <c r="D67" s="21">
        <f t="shared" si="19"/>
        <v>0</v>
      </c>
      <c r="E67" s="21">
        <f t="shared" si="19"/>
        <v>5000</v>
      </c>
      <c r="F67" s="21">
        <f t="shared" si="19"/>
        <v>16264</v>
      </c>
      <c r="G67" s="21">
        <f t="shared" si="19"/>
        <v>8569.5</v>
      </c>
      <c r="H67" s="21">
        <f t="shared" si="19"/>
        <v>190302.26</v>
      </c>
      <c r="I67" s="21">
        <f t="shared" si="19"/>
        <v>0</v>
      </c>
      <c r="J67" s="21">
        <f t="shared" si="19"/>
        <v>2645</v>
      </c>
      <c r="K67" s="21">
        <f t="shared" si="19"/>
        <v>0</v>
      </c>
      <c r="L67" s="21">
        <f t="shared" si="19"/>
        <v>-208356.95</v>
      </c>
      <c r="M67" s="54">
        <f t="shared" ref="M67:V67" si="20">SUM(M62:M66)</f>
        <v>8203</v>
      </c>
      <c r="N67" s="21">
        <f t="shared" si="20"/>
        <v>0</v>
      </c>
      <c r="O67" s="21">
        <f t="shared" si="20"/>
        <v>0</v>
      </c>
      <c r="P67" s="21">
        <f t="shared" si="20"/>
        <v>0</v>
      </c>
      <c r="Q67" s="21">
        <f t="shared" si="20"/>
        <v>0</v>
      </c>
      <c r="R67" s="21">
        <f t="shared" si="20"/>
        <v>0</v>
      </c>
      <c r="S67" s="21">
        <f t="shared" si="20"/>
        <v>0</v>
      </c>
      <c r="T67" s="21">
        <f t="shared" si="20"/>
        <v>0</v>
      </c>
      <c r="U67" s="21">
        <f t="shared" si="20"/>
        <v>0</v>
      </c>
      <c r="V67" s="21">
        <f t="shared" si="20"/>
        <v>0</v>
      </c>
      <c r="W67" s="21">
        <f>SUM(W62:W66)</f>
        <v>0</v>
      </c>
      <c r="X67" s="21">
        <f>SUM(X62:X66)</f>
        <v>0</v>
      </c>
      <c r="Y67" s="21">
        <f>SUM(Y62:Y66)</f>
        <v>0</v>
      </c>
      <c r="Z67" s="22">
        <f>SUM(C67:V67)</f>
        <v>22626.809999999998</v>
      </c>
    </row>
    <row r="68" spans="1:31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58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11"/>
    </row>
    <row r="69" spans="1:31" x14ac:dyDescent="0.25">
      <c r="A69" s="17" t="s">
        <v>97</v>
      </c>
      <c r="C69" s="9"/>
      <c r="D69" s="20"/>
      <c r="E69" s="20"/>
      <c r="F69" s="20"/>
      <c r="G69" s="20">
        <v>0</v>
      </c>
      <c r="H69" s="20">
        <v>0</v>
      </c>
      <c r="I69" s="20">
        <v>0</v>
      </c>
      <c r="J69" s="20">
        <v>0</v>
      </c>
      <c r="K69" s="20">
        <v>0</v>
      </c>
      <c r="L69" s="20">
        <v>0</v>
      </c>
      <c r="M69" s="56"/>
      <c r="N69" s="20"/>
      <c r="O69" s="20">
        <v>0</v>
      </c>
      <c r="P69" s="20">
        <v>-2135</v>
      </c>
      <c r="Q69" s="20"/>
      <c r="R69" s="20"/>
      <c r="S69" s="20"/>
      <c r="T69" s="20"/>
      <c r="U69" s="20"/>
      <c r="V69" s="20"/>
      <c r="W69" s="20"/>
      <c r="X69" s="20"/>
      <c r="Y69" s="20"/>
      <c r="Z69" s="11">
        <f>SUM(C69:V69)</f>
        <v>-2135</v>
      </c>
      <c r="AA69" s="20"/>
    </row>
    <row r="70" spans="1:31" s="43" customFormat="1" x14ac:dyDescent="0.25">
      <c r="A70" s="21" t="s">
        <v>98</v>
      </c>
      <c r="C70" s="21">
        <f>SUM(C69:C69)</f>
        <v>0</v>
      </c>
      <c r="D70" s="21">
        <f>SUM(D67:D69)</f>
        <v>0</v>
      </c>
      <c r="E70" s="21">
        <f t="shared" ref="E70:Z70" si="21">SUM(E67:E69)</f>
        <v>5000</v>
      </c>
      <c r="F70" s="21">
        <f t="shared" si="21"/>
        <v>16264</v>
      </c>
      <c r="G70" s="21">
        <f t="shared" si="21"/>
        <v>8569.5</v>
      </c>
      <c r="H70" s="21">
        <f t="shared" si="21"/>
        <v>190302.26</v>
      </c>
      <c r="I70" s="21">
        <f t="shared" si="21"/>
        <v>0</v>
      </c>
      <c r="J70" s="21">
        <f t="shared" si="21"/>
        <v>2645</v>
      </c>
      <c r="K70" s="21">
        <f t="shared" si="21"/>
        <v>0</v>
      </c>
      <c r="L70" s="21">
        <f t="shared" si="21"/>
        <v>-208356.95</v>
      </c>
      <c r="M70" s="21">
        <f t="shared" si="21"/>
        <v>8203</v>
      </c>
      <c r="N70" s="21">
        <f t="shared" si="21"/>
        <v>0</v>
      </c>
      <c r="O70" s="21">
        <f t="shared" si="21"/>
        <v>0</v>
      </c>
      <c r="P70" s="21">
        <f t="shared" si="21"/>
        <v>-2135</v>
      </c>
      <c r="Q70" s="21">
        <f t="shared" si="21"/>
        <v>0</v>
      </c>
      <c r="R70" s="21">
        <f t="shared" si="21"/>
        <v>0</v>
      </c>
      <c r="S70" s="21">
        <f t="shared" si="21"/>
        <v>0</v>
      </c>
      <c r="T70" s="21">
        <f t="shared" si="21"/>
        <v>0</v>
      </c>
      <c r="U70" s="21">
        <f t="shared" si="21"/>
        <v>0</v>
      </c>
      <c r="V70" s="21">
        <f t="shared" si="21"/>
        <v>0</v>
      </c>
      <c r="W70" s="21">
        <f>SUM(W67:W69)</f>
        <v>0</v>
      </c>
      <c r="X70" s="21">
        <f>SUM(X67:X69)</f>
        <v>0</v>
      </c>
      <c r="Y70" s="21">
        <f>SUM(Y67:Y69)</f>
        <v>0</v>
      </c>
      <c r="Z70" s="21">
        <f t="shared" si="21"/>
        <v>20491.809999999998</v>
      </c>
    </row>
    <row r="71" spans="1:31" x14ac:dyDescent="0.25">
      <c r="A71" s="4"/>
      <c r="C71" s="9"/>
      <c r="D71" s="9"/>
      <c r="E71" s="9"/>
      <c r="F71" s="9"/>
      <c r="G71" s="9"/>
      <c r="H71" s="9"/>
      <c r="I71" s="9"/>
      <c r="J71" s="9"/>
      <c r="K71" s="9"/>
      <c r="L71" s="9"/>
      <c r="M71" s="58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11"/>
      <c r="AA71" s="20"/>
    </row>
    <row r="72" spans="1:31" x14ac:dyDescent="0.25">
      <c r="Z72" s="11"/>
    </row>
    <row r="73" spans="1:31" x14ac:dyDescent="0.25">
      <c r="A73" s="4" t="s">
        <v>118</v>
      </c>
      <c r="C73" s="9">
        <f>+C47+C70+C67</f>
        <v>0</v>
      </c>
      <c r="D73" s="9">
        <f>+D47+D70+D67</f>
        <v>0</v>
      </c>
      <c r="E73" s="9">
        <f>+E70+E47</f>
        <v>5000</v>
      </c>
      <c r="F73" s="9">
        <f t="shared" ref="F73:Y73" si="22">+F70+F47</f>
        <v>16264</v>
      </c>
      <c r="G73" s="9">
        <f t="shared" si="22"/>
        <v>8569.5</v>
      </c>
      <c r="H73" s="9">
        <f t="shared" si="22"/>
        <v>190302.26</v>
      </c>
      <c r="I73" s="9">
        <f t="shared" si="22"/>
        <v>0</v>
      </c>
      <c r="J73" s="9">
        <f t="shared" si="22"/>
        <v>2645</v>
      </c>
      <c r="K73" s="9">
        <f t="shared" si="22"/>
        <v>0</v>
      </c>
      <c r="L73" s="9">
        <f>D70:L70+L47</f>
        <v>92966215.099999994</v>
      </c>
      <c r="M73" s="9">
        <f t="shared" si="22"/>
        <v>714662.92999999993</v>
      </c>
      <c r="N73" s="9">
        <f t="shared" si="22"/>
        <v>2178270.2560097221</v>
      </c>
      <c r="O73" s="9">
        <f t="shared" si="22"/>
        <v>7520808.7565631075</v>
      </c>
      <c r="P73" s="9">
        <f t="shared" si="22"/>
        <v>2618589.5786069916</v>
      </c>
      <c r="Q73" s="9">
        <f t="shared" si="22"/>
        <v>8237707.505691112</v>
      </c>
      <c r="R73" s="9">
        <f t="shared" si="22"/>
        <v>12213468.945941154</v>
      </c>
      <c r="S73" s="9">
        <f t="shared" si="22"/>
        <v>10343018.251029588</v>
      </c>
      <c r="T73" s="9">
        <f t="shared" si="22"/>
        <v>10448301.719166407</v>
      </c>
      <c r="U73" s="9">
        <f t="shared" si="22"/>
        <v>8288014.7286031013</v>
      </c>
      <c r="V73" s="9">
        <f t="shared" si="22"/>
        <v>22666313.99904345</v>
      </c>
      <c r="W73" s="9">
        <f t="shared" si="22"/>
        <v>-2500291</v>
      </c>
      <c r="X73" s="9">
        <f t="shared" si="22"/>
        <v>0</v>
      </c>
      <c r="Y73" s="9">
        <f t="shared" si="22"/>
        <v>0</v>
      </c>
      <c r="Z73" s="9">
        <f>SUM(C73:Y73)</f>
        <v>175917861.53065461</v>
      </c>
    </row>
    <row r="74" spans="1:31" x14ac:dyDescent="0.25">
      <c r="Z74" s="4">
        <f>Z73-[1]Gleason!$BT$261</f>
        <v>-1.0616666972637177</v>
      </c>
      <c r="AA74" s="17"/>
    </row>
    <row r="75" spans="1:31" x14ac:dyDescent="0.25">
      <c r="I75" s="17"/>
    </row>
  </sheetData>
  <printOptions horizontalCentered="1"/>
  <pageMargins left="0.25" right="0.25" top="0.5" bottom="0.5" header="0.25" footer="0.5"/>
  <pageSetup scale="40" orientation="landscape" horizontalDpi="300" verticalDpi="300" r:id="rId1"/>
  <headerFooter alignWithMargins="0"/>
  <rowBreaks count="1" manualBreakCount="1">
    <brk id="7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workbookViewId="0">
      <pane xSplit="2" ySplit="7" topLeftCell="X75" activePane="bottomRight" state="frozen"/>
      <selection activeCell="E1" sqref="E1"/>
      <selection pane="topRight" activeCell="E1" sqref="E1"/>
      <selection pane="bottomLeft" activeCell="E1" sqref="E1"/>
      <selection pane="bottomRight" activeCell="AE96" sqref="AE96"/>
    </sheetView>
  </sheetViews>
  <sheetFormatPr defaultColWidth="9.109375" defaultRowHeight="13.2" x14ac:dyDescent="0.25"/>
  <cols>
    <col min="1" max="1" width="38.33203125" style="18" bestFit="1" customWidth="1"/>
    <col min="2" max="2" width="1.6640625" style="18" customWidth="1"/>
    <col min="3" max="3" width="12.44140625" style="4" customWidth="1"/>
    <col min="4" max="4" width="14" style="18" customWidth="1"/>
    <col min="5" max="5" width="13.33203125" style="18" customWidth="1"/>
    <col min="6" max="6" width="12.5546875" style="18" customWidth="1"/>
    <col min="7" max="7" width="12.88671875" style="18" customWidth="1"/>
    <col min="8" max="8" width="12.44140625" style="18" customWidth="1"/>
    <col min="9" max="9" width="12.6640625" style="18" customWidth="1"/>
    <col min="10" max="10" width="13" style="18" customWidth="1"/>
    <col min="11" max="11" width="12.33203125" style="18" customWidth="1"/>
    <col min="12" max="12" width="12.109375" style="18" bestFit="1" customWidth="1"/>
    <col min="13" max="13" width="12.33203125" style="18" customWidth="1"/>
    <col min="14" max="14" width="12.33203125" style="18" bestFit="1" customWidth="1"/>
    <col min="15" max="15" width="14" style="18" customWidth="1"/>
    <col min="16" max="16" width="13.88671875" style="18" customWidth="1"/>
    <col min="17" max="17" width="13.33203125" style="18" customWidth="1"/>
    <col min="18" max="18" width="13.88671875" style="18" customWidth="1"/>
    <col min="19" max="19" width="13.5546875" style="18" customWidth="1"/>
    <col min="20" max="20" width="13.88671875" style="18" customWidth="1"/>
    <col min="21" max="24" width="13.109375" style="18" customWidth="1"/>
    <col min="25" max="25" width="13.88671875" style="4" customWidth="1"/>
    <col min="26" max="26" width="20" style="18" bestFit="1" customWidth="1"/>
    <col min="27" max="27" width="12.33203125" style="18" customWidth="1"/>
    <col min="28" max="28" width="10.88671875" style="18" bestFit="1" customWidth="1"/>
    <col min="29" max="16384" width="9.109375" style="18"/>
  </cols>
  <sheetData>
    <row r="1" spans="1:28" s="2" customFormat="1" ht="15.6" x14ac:dyDescent="0.3">
      <c r="A1" s="1" t="s">
        <v>0</v>
      </c>
    </row>
    <row r="2" spans="1:28" s="2" customFormat="1" ht="15.6" x14ac:dyDescent="0.3">
      <c r="A2" s="1" t="s">
        <v>1</v>
      </c>
      <c r="D2" s="1" t="str">
        <f>Wilton!D2</f>
        <v>Last updated:  Actuals through December 24, 1999</v>
      </c>
      <c r="Y2" s="25" t="str">
        <f ca="1">CELL("filename")</f>
        <v>C:\TEMP\[~0026593.xls]Sheet1</v>
      </c>
    </row>
    <row r="3" spans="1:28" s="2" customFormat="1" ht="15.6" x14ac:dyDescent="0.3">
      <c r="A3" s="1" t="s">
        <v>2</v>
      </c>
      <c r="D3" s="26"/>
      <c r="F3" s="3"/>
      <c r="Y3" s="24">
        <f ca="1">NOW()</f>
        <v>36556.653485763891</v>
      </c>
    </row>
    <row r="4" spans="1:28" ht="15" x14ac:dyDescent="0.25">
      <c r="C4" s="12"/>
      <c r="D4" s="28"/>
    </row>
    <row r="5" spans="1:28" s="6" customFormat="1" x14ac:dyDescent="0.25">
      <c r="A5" s="5"/>
      <c r="C5" s="7">
        <v>1998</v>
      </c>
      <c r="D5" s="60" t="s">
        <v>3</v>
      </c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42" t="s">
        <v>4</v>
      </c>
      <c r="Q5" s="42"/>
      <c r="R5" s="42"/>
      <c r="S5" s="42"/>
      <c r="T5" s="42"/>
      <c r="U5" s="42"/>
      <c r="V5" s="42"/>
      <c r="W5" s="42"/>
      <c r="X5" s="42"/>
      <c r="Y5" s="42"/>
    </row>
    <row r="6" spans="1:28" s="6" customFormat="1" x14ac:dyDescent="0.25">
      <c r="C6" s="6" t="s">
        <v>5</v>
      </c>
      <c r="D6" s="6" t="s">
        <v>12</v>
      </c>
      <c r="E6" s="6" t="s">
        <v>13</v>
      </c>
      <c r="F6" s="6" t="s">
        <v>14</v>
      </c>
      <c r="G6" s="6" t="s">
        <v>15</v>
      </c>
      <c r="H6" s="6" t="s">
        <v>16</v>
      </c>
      <c r="I6" s="6" t="s">
        <v>17</v>
      </c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P6" s="6" t="s">
        <v>12</v>
      </c>
      <c r="Q6" s="6" t="s">
        <v>13</v>
      </c>
      <c r="R6" s="6" t="s">
        <v>14</v>
      </c>
      <c r="S6" s="6" t="s">
        <v>15</v>
      </c>
      <c r="T6" s="6" t="s">
        <v>16</v>
      </c>
      <c r="U6" s="6" t="s">
        <v>17</v>
      </c>
      <c r="V6" s="6" t="s">
        <v>6</v>
      </c>
      <c r="W6" s="6" t="s">
        <v>7</v>
      </c>
      <c r="X6" s="6" t="s">
        <v>8</v>
      </c>
      <c r="Y6" s="14" t="s">
        <v>5</v>
      </c>
      <c r="Z6" s="14" t="s">
        <v>58</v>
      </c>
    </row>
    <row r="7" spans="1:28" s="6" customFormat="1" ht="19.2" x14ac:dyDescent="0.6">
      <c r="A7" s="32" t="s">
        <v>80</v>
      </c>
      <c r="Y7" s="10"/>
      <c r="Z7" s="31"/>
    </row>
    <row r="8" spans="1:28" x14ac:dyDescent="0.25">
      <c r="A8" s="4" t="s">
        <v>37</v>
      </c>
      <c r="Y8" s="11"/>
    </row>
    <row r="9" spans="1:28" x14ac:dyDescent="0.25">
      <c r="A9" s="5" t="s">
        <v>62</v>
      </c>
      <c r="Y9" s="11"/>
    </row>
    <row r="10" spans="1:28" x14ac:dyDescent="0.25">
      <c r="A10" s="17" t="s">
        <v>38</v>
      </c>
      <c r="C10" s="4">
        <v>16673400</v>
      </c>
      <c r="D10" s="18">
        <v>43401650</v>
      </c>
      <c r="E10" s="18">
        <v>4291075</v>
      </c>
      <c r="G10" s="18">
        <v>4291075</v>
      </c>
      <c r="H10" s="18">
        <v>8617667.2300000004</v>
      </c>
      <c r="I10" s="18">
        <v>0</v>
      </c>
      <c r="K10" s="18">
        <v>318421</v>
      </c>
      <c r="M10" s="18">
        <v>0</v>
      </c>
      <c r="N10" s="18">
        <v>39600</v>
      </c>
      <c r="O10" s="18">
        <v>1077741.26</v>
      </c>
      <c r="P10" s="18">
        <v>1077741</v>
      </c>
      <c r="Q10" s="18">
        <v>100000</v>
      </c>
      <c r="R10" s="18">
        <v>1072769</v>
      </c>
      <c r="T10" s="18">
        <v>231601</v>
      </c>
      <c r="U10" s="18">
        <f>85821500-81565943+66200+1033169-4972-323393</f>
        <v>5026561</v>
      </c>
      <c r="Y10" s="11">
        <f>SUM(C10:X10)</f>
        <v>86219301.49000001</v>
      </c>
      <c r="Z10" s="15" t="s">
        <v>50</v>
      </c>
      <c r="AA10" s="18">
        <f>[1]Wheatland!$BR$12</f>
        <v>86219301</v>
      </c>
      <c r="AB10" s="18">
        <f>Y10-AA10</f>
        <v>0.49000000953674316</v>
      </c>
    </row>
    <row r="11" spans="1:28" x14ac:dyDescent="0.25">
      <c r="A11" s="17" t="s">
        <v>19</v>
      </c>
      <c r="C11" s="4">
        <v>0</v>
      </c>
      <c r="J11" s="18">
        <v>259883</v>
      </c>
      <c r="K11" s="18">
        <v>350000</v>
      </c>
      <c r="L11" s="18">
        <v>935</v>
      </c>
      <c r="M11" s="18">
        <f>595253.1+59780</f>
        <v>655033.1</v>
      </c>
      <c r="O11" s="18">
        <v>1190506.2</v>
      </c>
      <c r="P11" s="18">
        <v>1190506</v>
      </c>
      <c r="R11" s="18">
        <v>793670.8</v>
      </c>
      <c r="S11" s="18">
        <v>0</v>
      </c>
      <c r="Y11" s="11">
        <f t="shared" ref="Y11:Y33" si="0">SUM(C11:X11)</f>
        <v>4440534.0999999996</v>
      </c>
      <c r="Z11" s="15" t="s">
        <v>50</v>
      </c>
      <c r="AA11" s="18">
        <f>[1]Wheatland!$BR$32</f>
        <v>4440534</v>
      </c>
      <c r="AB11" s="18">
        <f t="shared" ref="AB11:AB30" si="1">Y11-AA11</f>
        <v>9.999999962747097E-2</v>
      </c>
    </row>
    <row r="12" spans="1:28" x14ac:dyDescent="0.25">
      <c r="A12" s="17" t="s">
        <v>119</v>
      </c>
      <c r="C12" s="4">
        <v>0</v>
      </c>
      <c r="K12" s="18">
        <v>0</v>
      </c>
      <c r="M12" s="18">
        <v>0</v>
      </c>
      <c r="N12" s="18">
        <v>626946</v>
      </c>
      <c r="P12" s="18">
        <v>2169322</v>
      </c>
      <c r="Q12" s="18">
        <f>(0.4673-0.2689)*AA12</f>
        <v>2727672.8384000002</v>
      </c>
      <c r="R12" s="18">
        <f>(0.6503-0.4673)*AA12</f>
        <v>2515948.233</v>
      </c>
      <c r="S12" s="18">
        <f>(0.7833-0.6503)*AA12</f>
        <v>1828530.6830000002</v>
      </c>
      <c r="T12" s="18">
        <f>(0.8703-0.7833)*AA12</f>
        <v>1196106.5369999995</v>
      </c>
      <c r="U12" s="18">
        <f>(0.9476-0.8703)*AA12</f>
        <v>1062747.5323000005</v>
      </c>
      <c r="V12" s="18">
        <f>(1-0.9476)*AA12</f>
        <v>720413.59240000008</v>
      </c>
      <c r="W12" s="18">
        <f>987110-86446</f>
        <v>900664</v>
      </c>
      <c r="Y12" s="11">
        <f t="shared" si="0"/>
        <v>13748351.416100001</v>
      </c>
      <c r="Z12" s="15" t="s">
        <v>50</v>
      </c>
      <c r="AA12" s="18">
        <f>[1]Wheatland!$BR$56</f>
        <v>13748351</v>
      </c>
      <c r="AB12" s="18">
        <f t="shared" si="1"/>
        <v>0.41610000096261501</v>
      </c>
    </row>
    <row r="13" spans="1:28" x14ac:dyDescent="0.25">
      <c r="A13" s="17" t="s">
        <v>120</v>
      </c>
      <c r="C13" s="4">
        <v>0</v>
      </c>
      <c r="F13" s="8"/>
      <c r="N13" s="18">
        <v>115533</v>
      </c>
      <c r="P13" s="18">
        <v>359796</v>
      </c>
      <c r="Q13" s="18">
        <f>(0.4673-0.2689)*AA13</f>
        <v>942335.32160000014</v>
      </c>
      <c r="R13" s="18">
        <f>(0.6503-0.4673)*AA13</f>
        <v>869190.34199999995</v>
      </c>
      <c r="S13" s="18">
        <f>(0.7833-0.6503)*AA13</f>
        <v>631706.64199999999</v>
      </c>
      <c r="T13" s="18">
        <f>(0.8703-0.7833)*AA13</f>
        <v>413221.63799999986</v>
      </c>
      <c r="U13" s="18">
        <f>(0.9476-0.8703)*AA13</f>
        <v>367149.80020000017</v>
      </c>
      <c r="V13" s="18">
        <f>(1-0.9476)*AA13</f>
        <v>248882.91760000002</v>
      </c>
      <c r="W13" s="18">
        <f>442079+359779</f>
        <v>801858</v>
      </c>
      <c r="Y13" s="11">
        <f t="shared" si="0"/>
        <v>4749673.6613999996</v>
      </c>
      <c r="Z13" s="15"/>
      <c r="AA13" s="18">
        <f>[1]Wheatland!$BR$82</f>
        <v>4749674</v>
      </c>
      <c r="AB13" s="18">
        <f t="shared" si="1"/>
        <v>-0.33860000036656857</v>
      </c>
    </row>
    <row r="14" spans="1:28" x14ac:dyDescent="0.25">
      <c r="A14" s="17" t="s">
        <v>121</v>
      </c>
      <c r="M14" s="18">
        <v>0</v>
      </c>
      <c r="N14" s="18">
        <v>61343</v>
      </c>
      <c r="P14" s="18">
        <v>2112822</v>
      </c>
      <c r="Q14" s="18">
        <f>(0.4673-0.2689)*AA14</f>
        <v>3165417.2416000003</v>
      </c>
      <c r="R14" s="18">
        <f>(0.6503-0.4673)*AA14</f>
        <v>2919714.4920000001</v>
      </c>
      <c r="S14" s="18">
        <f>(0.7833-0.6503)*AA14</f>
        <v>2121978.2919999999</v>
      </c>
      <c r="T14" s="18">
        <f>(0.8703-0.7833)*AA14</f>
        <v>1388060.9879999994</v>
      </c>
      <c r="U14" s="18">
        <f>(0.9476-0.8703)*AA14</f>
        <v>1233300.1652000006</v>
      </c>
      <c r="V14" s="18">
        <f>(1-0.9476)*AA14</f>
        <v>836027.53760000004</v>
      </c>
      <c r="W14" s="18">
        <f>1811742+304318</f>
        <v>2116060</v>
      </c>
      <c r="Y14" s="11">
        <f t="shared" si="0"/>
        <v>15954723.716399999</v>
      </c>
      <c r="Z14" s="15"/>
      <c r="AA14" s="18">
        <f>[1]Wheatland!$BR$116</f>
        <v>15954724</v>
      </c>
      <c r="AB14" s="18">
        <f t="shared" si="1"/>
        <v>-0.28360000066459179</v>
      </c>
    </row>
    <row r="15" spans="1:28" x14ac:dyDescent="0.25">
      <c r="A15" s="17" t="s">
        <v>122</v>
      </c>
      <c r="N15" s="18">
        <v>0</v>
      </c>
      <c r="P15" s="18">
        <v>355795</v>
      </c>
      <c r="Q15" s="18">
        <f>(0.4673-0.2689)*AA15</f>
        <v>2012952.3136000002</v>
      </c>
      <c r="R15" s="18">
        <f>(0.6503-0.4673)*AA15</f>
        <v>1856705.007</v>
      </c>
      <c r="S15" s="18">
        <f>(0.7833-0.6503)*AA15</f>
        <v>1349408.557</v>
      </c>
      <c r="T15" s="18">
        <f>(0.8703-0.7833)*AA15</f>
        <v>882695.82299999963</v>
      </c>
      <c r="U15" s="18">
        <f>(0.9476-0.8703)*AA15</f>
        <v>784280.31170000031</v>
      </c>
      <c r="V15" s="18">
        <f>(1-0.9476)*AA15</f>
        <v>531646.67960000003</v>
      </c>
      <c r="W15" s="18">
        <f>1191132+1181313</f>
        <v>2372445</v>
      </c>
      <c r="Y15" s="11">
        <f t="shared" si="0"/>
        <v>10145928.6919</v>
      </c>
      <c r="Z15" s="15"/>
      <c r="AA15" s="18">
        <f>[1]Wheatland!$BR$119</f>
        <v>10145929</v>
      </c>
      <c r="AB15" s="18">
        <f t="shared" si="1"/>
        <v>-0.30810000002384186</v>
      </c>
    </row>
    <row r="16" spans="1:28" x14ac:dyDescent="0.25">
      <c r="A16" s="17" t="s">
        <v>123</v>
      </c>
      <c r="V16" s="18">
        <v>50000</v>
      </c>
      <c r="Y16" s="11">
        <f t="shared" si="0"/>
        <v>50000</v>
      </c>
      <c r="Z16" s="15"/>
      <c r="AA16" s="18">
        <f>[1]Wheatland!$BR$157</f>
        <v>50000</v>
      </c>
      <c r="AB16" s="18">
        <f t="shared" si="1"/>
        <v>0</v>
      </c>
    </row>
    <row r="17" spans="1:28" x14ac:dyDescent="0.25">
      <c r="A17" s="17" t="s">
        <v>124</v>
      </c>
      <c r="N17" s="18">
        <v>3651557</v>
      </c>
      <c r="P17" s="18">
        <f>1183571-943865</f>
        <v>239706</v>
      </c>
      <c r="Q17" s="18">
        <v>217412</v>
      </c>
      <c r="W17" s="18">
        <v>-4108675</v>
      </c>
      <c r="X17" s="18">
        <v>-3953393</v>
      </c>
      <c r="Y17" s="11">
        <f t="shared" si="0"/>
        <v>-3953393</v>
      </c>
      <c r="Z17" s="15"/>
      <c r="AB17" s="18">
        <f t="shared" si="1"/>
        <v>-3953393</v>
      </c>
    </row>
    <row r="18" spans="1:28" x14ac:dyDescent="0.25">
      <c r="A18" s="17" t="s">
        <v>105</v>
      </c>
      <c r="J18" s="18">
        <f>929800/12</f>
        <v>77483.333333333328</v>
      </c>
      <c r="K18" s="18">
        <f t="shared" ref="K18:U18" si="2">929800/12</f>
        <v>77483.333333333328</v>
      </c>
      <c r="L18" s="18">
        <f t="shared" si="2"/>
        <v>77483.333333333328</v>
      </c>
      <c r="M18" s="18">
        <f t="shared" si="2"/>
        <v>77483.333333333328</v>
      </c>
      <c r="N18" s="18">
        <f t="shared" si="2"/>
        <v>77483.333333333328</v>
      </c>
      <c r="O18" s="18">
        <v>77483.33</v>
      </c>
      <c r="P18" s="18">
        <f t="shared" si="2"/>
        <v>77483.333333333328</v>
      </c>
      <c r="Q18" s="18">
        <f t="shared" si="2"/>
        <v>77483.333333333328</v>
      </c>
      <c r="R18" s="18">
        <f t="shared" si="2"/>
        <v>77483.333333333328</v>
      </c>
      <c r="S18" s="18">
        <f t="shared" si="2"/>
        <v>77483.333333333328</v>
      </c>
      <c r="T18" s="18">
        <f t="shared" si="2"/>
        <v>77483.333333333328</v>
      </c>
      <c r="U18" s="18">
        <f t="shared" si="2"/>
        <v>77483.333333333328</v>
      </c>
      <c r="Y18" s="11">
        <f t="shared" si="0"/>
        <v>929799.99666666682</v>
      </c>
      <c r="Z18" s="15"/>
      <c r="AA18" s="18">
        <f>[1]Wheatland!$BR$131</f>
        <v>929800</v>
      </c>
      <c r="AB18" s="18">
        <f t="shared" si="1"/>
        <v>-3.3333331812173128E-3</v>
      </c>
    </row>
    <row r="19" spans="1:28" x14ac:dyDescent="0.25">
      <c r="A19" s="17" t="s">
        <v>106</v>
      </c>
      <c r="J19" s="18">
        <f>2386700/12</f>
        <v>198891.66666666666</v>
      </c>
      <c r="K19" s="18">
        <f t="shared" ref="K19:T19" si="3">2386700/12</f>
        <v>198891.66666666666</v>
      </c>
      <c r="L19" s="18">
        <f>2386700/12-3</f>
        <v>198888.66666666666</v>
      </c>
      <c r="M19" s="18">
        <v>198888.67</v>
      </c>
      <c r="N19" s="18">
        <f>2386700/12-3</f>
        <v>198888.66666666666</v>
      </c>
      <c r="O19" s="18">
        <v>198899</v>
      </c>
      <c r="P19" s="18">
        <v>198889</v>
      </c>
      <c r="Q19" s="18">
        <f t="shared" si="3"/>
        <v>198891.66666666666</v>
      </c>
      <c r="R19" s="18">
        <f t="shared" si="3"/>
        <v>198891.66666666666</v>
      </c>
      <c r="S19" s="18">
        <f t="shared" si="3"/>
        <v>198891.66666666666</v>
      </c>
      <c r="T19" s="18">
        <f t="shared" si="3"/>
        <v>198891.66666666666</v>
      </c>
      <c r="U19" s="18">
        <f>2386700/12+6+3-7+2</f>
        <v>198895.66666666666</v>
      </c>
      <c r="Y19" s="11">
        <f t="shared" si="0"/>
        <v>2386699.67</v>
      </c>
      <c r="Z19" s="15"/>
      <c r="AA19" s="18">
        <f>[1]Wheatland!$BR$132</f>
        <v>2386700</v>
      </c>
      <c r="AB19" s="18">
        <f t="shared" si="1"/>
        <v>-0.33000000007450581</v>
      </c>
    </row>
    <row r="20" spans="1:28" x14ac:dyDescent="0.25">
      <c r="A20" s="17" t="s">
        <v>107</v>
      </c>
      <c r="U20" s="18">
        <v>3066700</v>
      </c>
      <c r="Y20" s="11">
        <f t="shared" si="0"/>
        <v>3066700</v>
      </c>
      <c r="Z20" s="15"/>
      <c r="AA20" s="18">
        <f>[1]Wheatland!$BR$133</f>
        <v>3066700</v>
      </c>
      <c r="AB20" s="18">
        <f t="shared" si="1"/>
        <v>0</v>
      </c>
    </row>
    <row r="21" spans="1:28" x14ac:dyDescent="0.25">
      <c r="A21" s="17" t="s">
        <v>42</v>
      </c>
      <c r="C21" s="4">
        <v>0</v>
      </c>
      <c r="Q21" s="18">
        <v>125000</v>
      </c>
      <c r="R21" s="18">
        <v>125000</v>
      </c>
      <c r="S21" s="18">
        <v>125000</v>
      </c>
      <c r="T21" s="18">
        <v>125000</v>
      </c>
      <c r="U21" s="18">
        <f>908786-625000</f>
        <v>283786</v>
      </c>
      <c r="V21" s="18">
        <v>125000</v>
      </c>
      <c r="Y21" s="11">
        <f t="shared" si="0"/>
        <v>908786</v>
      </c>
      <c r="Z21" s="15" t="s">
        <v>51</v>
      </c>
      <c r="AA21" s="18">
        <v>908786</v>
      </c>
      <c r="AB21" s="18">
        <f t="shared" si="1"/>
        <v>0</v>
      </c>
    </row>
    <row r="22" spans="1:28" x14ac:dyDescent="0.25">
      <c r="A22" s="17" t="s">
        <v>95</v>
      </c>
      <c r="N22" s="18">
        <v>38084</v>
      </c>
      <c r="P22" s="18">
        <v>16048</v>
      </c>
      <c r="U22" s="18">
        <f>1500000-38084-16048</f>
        <v>1445868</v>
      </c>
      <c r="Y22" s="11">
        <f t="shared" si="0"/>
        <v>1500000</v>
      </c>
      <c r="Z22" s="15"/>
      <c r="AA22" s="18">
        <f>[1]Wheatland!$BR$155</f>
        <v>1500000</v>
      </c>
      <c r="AB22" s="18">
        <f t="shared" si="1"/>
        <v>0</v>
      </c>
    </row>
    <row r="23" spans="1:28" x14ac:dyDescent="0.25">
      <c r="A23" s="17" t="s">
        <v>22</v>
      </c>
      <c r="C23" s="4">
        <v>0</v>
      </c>
      <c r="S23" s="18">
        <v>500000</v>
      </c>
      <c r="T23" s="18">
        <v>500000</v>
      </c>
      <c r="U23" s="18">
        <v>172731</v>
      </c>
      <c r="Y23" s="11">
        <f t="shared" si="0"/>
        <v>1172731</v>
      </c>
      <c r="Z23" s="15" t="str">
        <f>Z12</f>
        <v>Mike Miller</v>
      </c>
      <c r="AA23" s="18">
        <f>[1]Wheatland!$BR$159</f>
        <v>1172731</v>
      </c>
      <c r="AB23" s="18">
        <f t="shared" si="1"/>
        <v>0</v>
      </c>
    </row>
    <row r="24" spans="1:28" x14ac:dyDescent="0.25">
      <c r="A24" s="17" t="s">
        <v>23</v>
      </c>
      <c r="C24" s="4">
        <v>0</v>
      </c>
      <c r="E24" s="18">
        <v>15000</v>
      </c>
      <c r="F24" s="8">
        <v>10000</v>
      </c>
      <c r="G24" s="18">
        <v>10000</v>
      </c>
      <c r="H24" s="18">
        <v>7500</v>
      </c>
      <c r="I24" s="18">
        <v>0</v>
      </c>
      <c r="K24" s="18">
        <v>0</v>
      </c>
      <c r="L24" s="18">
        <f>101925+797359.26+33000</f>
        <v>932284.26</v>
      </c>
      <c r="M24" s="18">
        <v>128660</v>
      </c>
      <c r="N24" s="18">
        <v>8500</v>
      </c>
      <c r="O24" s="18">
        <v>5000</v>
      </c>
      <c r="P24" s="18">
        <v>259325</v>
      </c>
      <c r="Y24" s="11">
        <f t="shared" si="0"/>
        <v>1376269.26</v>
      </c>
      <c r="Z24" s="15" t="s">
        <v>57</v>
      </c>
      <c r="AA24" s="18">
        <f>[1]Wheatland!$BR$166</f>
        <v>1376268.86</v>
      </c>
      <c r="AB24" s="18">
        <f t="shared" si="1"/>
        <v>0.39999999990686774</v>
      </c>
    </row>
    <row r="25" spans="1:28" x14ac:dyDescent="0.25">
      <c r="A25" s="17" t="s">
        <v>24</v>
      </c>
      <c r="C25" s="4">
        <v>0</v>
      </c>
      <c r="F25" s="8">
        <v>0</v>
      </c>
      <c r="G25" s="18">
        <v>0</v>
      </c>
      <c r="H25" s="18">
        <v>9930</v>
      </c>
      <c r="I25" s="17">
        <v>32111</v>
      </c>
      <c r="J25" s="17">
        <v>22234</v>
      </c>
      <c r="K25" s="17">
        <v>64176</v>
      </c>
      <c r="L25" s="17">
        <v>27327.91</v>
      </c>
      <c r="M25" s="18">
        <v>8595.51</v>
      </c>
      <c r="N25" s="18">
        <v>47810</v>
      </c>
      <c r="O25" s="18">
        <v>11305</v>
      </c>
      <c r="P25" s="18">
        <v>28716</v>
      </c>
      <c r="Q25" s="18">
        <v>41756</v>
      </c>
      <c r="T25" s="18">
        <v>19859</v>
      </c>
      <c r="Y25" s="11">
        <f t="shared" si="0"/>
        <v>313820.42000000004</v>
      </c>
      <c r="Z25" s="15" t="str">
        <f>Z24</f>
        <v>Steve Dowd</v>
      </c>
    </row>
    <row r="26" spans="1:28" x14ac:dyDescent="0.25">
      <c r="A26" s="17" t="s">
        <v>104</v>
      </c>
      <c r="C26" s="4">
        <v>0</v>
      </c>
      <c r="F26" s="8"/>
      <c r="L26" s="18">
        <v>10000</v>
      </c>
      <c r="O26" s="18">
        <v>15000</v>
      </c>
      <c r="P26" s="18">
        <v>9120</v>
      </c>
      <c r="Q26" s="18">
        <v>500000</v>
      </c>
      <c r="R26" s="18">
        <v>500000</v>
      </c>
      <c r="S26" s="18">
        <f>500000-10000</f>
        <v>490000</v>
      </c>
      <c r="T26" s="18">
        <v>1500000</v>
      </c>
      <c r="U26" s="18">
        <f>1500000-15000</f>
        <v>1485000</v>
      </c>
      <c r="V26" s="18">
        <v>450000</v>
      </c>
      <c r="W26" s="18">
        <v>40880</v>
      </c>
      <c r="Y26" s="11">
        <f t="shared" si="0"/>
        <v>5000000</v>
      </c>
      <c r="Z26" s="15" t="s">
        <v>53</v>
      </c>
      <c r="AA26" s="18">
        <f>[1]Wheatland!$BR$175</f>
        <v>5000000</v>
      </c>
      <c r="AB26" s="18">
        <f t="shared" si="1"/>
        <v>0</v>
      </c>
    </row>
    <row r="27" spans="1:28" x14ac:dyDescent="0.25">
      <c r="A27" s="17" t="s">
        <v>25</v>
      </c>
      <c r="C27" s="4">
        <v>0</v>
      </c>
      <c r="F27" s="8"/>
      <c r="O27" s="18">
        <v>946000</v>
      </c>
      <c r="Q27" s="18">
        <v>500000</v>
      </c>
      <c r="R27" s="18">
        <v>54000</v>
      </c>
      <c r="Y27" s="11">
        <f t="shared" si="0"/>
        <v>1500000</v>
      </c>
      <c r="Z27" s="15" t="s">
        <v>53</v>
      </c>
      <c r="AA27" s="18">
        <f>[1]Wheatland!$BR$177</f>
        <v>1500000</v>
      </c>
      <c r="AB27" s="18">
        <f t="shared" si="1"/>
        <v>0</v>
      </c>
    </row>
    <row r="28" spans="1:28" x14ac:dyDescent="0.25">
      <c r="A28" s="17" t="s">
        <v>27</v>
      </c>
      <c r="C28" s="4">
        <v>0</v>
      </c>
      <c r="F28" s="8"/>
      <c r="S28" s="18">
        <v>500000</v>
      </c>
      <c r="T28" s="18">
        <v>500000</v>
      </c>
      <c r="U28" s="18">
        <v>0</v>
      </c>
      <c r="Y28" s="11">
        <f t="shared" si="0"/>
        <v>1000000</v>
      </c>
      <c r="Z28" s="15" t="str">
        <f>Z21</f>
        <v>Kevin Presto</v>
      </c>
      <c r="AA28" s="18">
        <f>[1]Wheatland!$BR$183</f>
        <v>1000000</v>
      </c>
      <c r="AB28" s="18">
        <f t="shared" si="1"/>
        <v>0</v>
      </c>
    </row>
    <row r="29" spans="1:28" hidden="1" x14ac:dyDescent="0.25">
      <c r="A29" s="17" t="s">
        <v>48</v>
      </c>
      <c r="F29" s="8"/>
      <c r="U29" s="18">
        <v>0</v>
      </c>
      <c r="Y29" s="11">
        <f t="shared" si="0"/>
        <v>0</v>
      </c>
      <c r="Z29" s="15" t="s">
        <v>56</v>
      </c>
      <c r="AA29" s="18">
        <v>0</v>
      </c>
      <c r="AB29" s="18">
        <f t="shared" si="1"/>
        <v>0</v>
      </c>
    </row>
    <row r="30" spans="1:28" x14ac:dyDescent="0.25">
      <c r="A30" s="17" t="s">
        <v>29</v>
      </c>
      <c r="C30" s="4">
        <v>0</v>
      </c>
      <c r="F30" s="8"/>
      <c r="O30" s="18">
        <v>175875</v>
      </c>
      <c r="X30" s="18">
        <v>24125</v>
      </c>
      <c r="Y30" s="11">
        <f t="shared" si="0"/>
        <v>200000</v>
      </c>
      <c r="Z30" s="15"/>
      <c r="AA30" s="18">
        <f>[1]Wheatland!$BR$185</f>
        <v>200000</v>
      </c>
      <c r="AB30" s="18">
        <f t="shared" si="1"/>
        <v>0</v>
      </c>
    </row>
    <row r="31" spans="1:28" x14ac:dyDescent="0.25">
      <c r="A31" s="17" t="s">
        <v>30</v>
      </c>
      <c r="C31" s="4">
        <v>0</v>
      </c>
      <c r="F31" s="8"/>
      <c r="G31" s="18">
        <v>3365.69</v>
      </c>
      <c r="H31" s="18">
        <v>22738</v>
      </c>
      <c r="I31" s="18">
        <v>14946.71</v>
      </c>
      <c r="J31" s="18">
        <v>7607</v>
      </c>
      <c r="K31" s="17">
        <v>10912</v>
      </c>
      <c r="L31" s="18">
        <v>18233.16</v>
      </c>
      <c r="M31" s="18">
        <v>0</v>
      </c>
      <c r="N31" s="18">
        <v>0</v>
      </c>
      <c r="O31" s="18">
        <v>0</v>
      </c>
      <c r="P31" s="18">
        <v>1469</v>
      </c>
      <c r="Q31" s="18">
        <v>11111.111111111111</v>
      </c>
      <c r="R31" s="18">
        <v>11111.111111111111</v>
      </c>
      <c r="S31" s="18">
        <v>11111.111111111111</v>
      </c>
      <c r="T31" s="18">
        <f>11111.1111111111+11112</f>
        <v>22223.111111111102</v>
      </c>
      <c r="U31" s="17">
        <f>3500+37229</f>
        <v>40729</v>
      </c>
      <c r="V31" s="17">
        <v>9462</v>
      </c>
      <c r="W31" s="17">
        <v>180</v>
      </c>
      <c r="X31" s="17"/>
      <c r="Y31" s="11">
        <f t="shared" si="0"/>
        <v>185199.00444444444</v>
      </c>
      <c r="Z31" s="15"/>
    </row>
    <row r="32" spans="1:28" x14ac:dyDescent="0.25">
      <c r="A32" s="17" t="s">
        <v>32</v>
      </c>
      <c r="C32" s="4">
        <v>0</v>
      </c>
      <c r="F32" s="8"/>
      <c r="G32" s="18">
        <v>0</v>
      </c>
      <c r="H32" s="17">
        <v>5040</v>
      </c>
      <c r="I32" s="18">
        <f>11809+7317</f>
        <v>19126</v>
      </c>
      <c r="J32" s="18">
        <f>98287-68414</f>
        <v>29873</v>
      </c>
      <c r="K32" s="18">
        <v>31111</v>
      </c>
      <c r="L32" s="18">
        <f>26869.6+3911.51</f>
        <v>30781.11</v>
      </c>
      <c r="M32" s="18">
        <f>11540.02+3113.56</f>
        <v>14653.58</v>
      </c>
      <c r="N32" s="18">
        <v>113717</v>
      </c>
      <c r="O32" s="18">
        <v>143263</v>
      </c>
      <c r="P32" s="18">
        <v>34982</v>
      </c>
      <c r="Q32" s="18">
        <v>28571.428571428572</v>
      </c>
      <c r="R32" s="18">
        <v>56516</v>
      </c>
      <c r="S32" s="18">
        <v>22986</v>
      </c>
      <c r="T32" s="18">
        <f>80349-6410</f>
        <v>73939</v>
      </c>
      <c r="Y32" s="11">
        <f t="shared" si="0"/>
        <v>604559.11857142858</v>
      </c>
      <c r="Z32" s="15">
        <f>Z31</f>
        <v>0</v>
      </c>
    </row>
    <row r="33" spans="1:27" x14ac:dyDescent="0.25">
      <c r="A33" s="17" t="s">
        <v>33</v>
      </c>
      <c r="C33" s="4">
        <v>0</v>
      </c>
      <c r="F33" s="8"/>
      <c r="J33" s="18">
        <v>15170</v>
      </c>
      <c r="L33" s="18">
        <v>29399.49</v>
      </c>
      <c r="M33" s="18">
        <v>20442.900000000001</v>
      </c>
      <c r="N33" s="18">
        <v>10582</v>
      </c>
      <c r="O33" s="18">
        <f>[1]Wheatland!$AR$201</f>
        <v>68346.510000000009</v>
      </c>
      <c r="P33" s="18">
        <v>5360</v>
      </c>
      <c r="Q33" s="18">
        <f>10000+52208</f>
        <v>62208</v>
      </c>
      <c r="R33" s="18">
        <v>10000</v>
      </c>
      <c r="S33" s="18">
        <v>10000</v>
      </c>
      <c r="T33" s="18">
        <v>7559</v>
      </c>
      <c r="U33" s="18">
        <f>2441+1962+197444</f>
        <v>201847</v>
      </c>
      <c r="V33" s="18">
        <f>6654-1</f>
        <v>6653</v>
      </c>
      <c r="W33" s="18">
        <v>4641</v>
      </c>
      <c r="Y33" s="11">
        <f t="shared" si="0"/>
        <v>452208.9</v>
      </c>
      <c r="Z33" s="15">
        <f>Z32</f>
        <v>0</v>
      </c>
    </row>
    <row r="34" spans="1:27" x14ac:dyDescent="0.25">
      <c r="A34" s="17" t="s">
        <v>63</v>
      </c>
      <c r="C34" s="21">
        <f t="shared" ref="C34:U34" si="4">SUM(C8:C33)</f>
        <v>16673400</v>
      </c>
      <c r="D34" s="21">
        <f t="shared" si="4"/>
        <v>43401650</v>
      </c>
      <c r="E34" s="21">
        <f t="shared" si="4"/>
        <v>4306075</v>
      </c>
      <c r="F34" s="21">
        <f t="shared" si="4"/>
        <v>10000</v>
      </c>
      <c r="G34" s="21">
        <f t="shared" si="4"/>
        <v>4304440.6900000004</v>
      </c>
      <c r="H34" s="21">
        <f t="shared" si="4"/>
        <v>8662875.2300000004</v>
      </c>
      <c r="I34" s="21">
        <f t="shared" si="4"/>
        <v>66183.709999999992</v>
      </c>
      <c r="J34" s="21">
        <f t="shared" si="4"/>
        <v>611142</v>
      </c>
      <c r="K34" s="21">
        <f t="shared" si="4"/>
        <v>1050995</v>
      </c>
      <c r="L34" s="21">
        <f t="shared" si="4"/>
        <v>1325332.93</v>
      </c>
      <c r="M34" s="21">
        <f t="shared" si="4"/>
        <v>1103757.0933333335</v>
      </c>
      <c r="N34" s="21">
        <f t="shared" si="4"/>
        <v>4990044</v>
      </c>
      <c r="O34" s="21">
        <f t="shared" si="4"/>
        <v>3909419.3</v>
      </c>
      <c r="P34" s="21">
        <f t="shared" si="4"/>
        <v>8137080.333333333</v>
      </c>
      <c r="Q34" s="21">
        <f t="shared" si="4"/>
        <v>10710811.254882542</v>
      </c>
      <c r="R34" s="21">
        <f t="shared" si="4"/>
        <v>11060999.985111112</v>
      </c>
      <c r="S34" s="21">
        <f t="shared" si="4"/>
        <v>7867096.2851111116</v>
      </c>
      <c r="T34" s="21">
        <f t="shared" si="4"/>
        <v>7136641.0971111096</v>
      </c>
      <c r="U34" s="21">
        <f t="shared" si="4"/>
        <v>15447078.809400002</v>
      </c>
      <c r="V34" s="21">
        <f>SUM(V8:V33)</f>
        <v>2978085.7272000001</v>
      </c>
      <c r="W34" s="21">
        <f>SUM(W8:W33)</f>
        <v>2128053</v>
      </c>
      <c r="X34" s="21">
        <f>SUM(X8:X33)</f>
        <v>-3929268</v>
      </c>
      <c r="Y34" s="22">
        <f>SUM(C34:U34)</f>
        <v>150775022.71828255</v>
      </c>
    </row>
    <row r="35" spans="1:27" x14ac:dyDescent="0.25">
      <c r="A35" s="17" t="s">
        <v>67</v>
      </c>
      <c r="C35" s="21">
        <f>+C34</f>
        <v>16673400</v>
      </c>
      <c r="D35" s="21">
        <f t="shared" ref="D35:U35" si="5">+C35+D34</f>
        <v>60075050</v>
      </c>
      <c r="E35" s="21">
        <f t="shared" si="5"/>
        <v>64381125</v>
      </c>
      <c r="F35" s="21">
        <f t="shared" si="5"/>
        <v>64391125</v>
      </c>
      <c r="G35" s="21">
        <f t="shared" si="5"/>
        <v>68695565.689999998</v>
      </c>
      <c r="H35" s="21">
        <f t="shared" si="5"/>
        <v>77358440.920000002</v>
      </c>
      <c r="I35" s="21">
        <f t="shared" si="5"/>
        <v>77424624.629999995</v>
      </c>
      <c r="J35" s="21">
        <f t="shared" si="5"/>
        <v>78035766.629999995</v>
      </c>
      <c r="K35" s="21">
        <f t="shared" si="5"/>
        <v>79086761.629999995</v>
      </c>
      <c r="L35" s="21">
        <f t="shared" si="5"/>
        <v>80412094.560000002</v>
      </c>
      <c r="M35" s="21">
        <f t="shared" si="5"/>
        <v>81515851.653333336</v>
      </c>
      <c r="N35" s="21">
        <f t="shared" si="5"/>
        <v>86505895.653333336</v>
      </c>
      <c r="O35" s="21">
        <f t="shared" si="5"/>
        <v>90415314.953333333</v>
      </c>
      <c r="P35" s="21">
        <f t="shared" si="5"/>
        <v>98552395.286666662</v>
      </c>
      <c r="Q35" s="21">
        <f t="shared" si="5"/>
        <v>109263206.54154921</v>
      </c>
      <c r="R35" s="21">
        <f t="shared" si="5"/>
        <v>120324206.52666032</v>
      </c>
      <c r="S35" s="21">
        <f t="shared" si="5"/>
        <v>128191302.81177144</v>
      </c>
      <c r="T35" s="21">
        <f t="shared" si="5"/>
        <v>135327943.90888256</v>
      </c>
      <c r="U35" s="21">
        <f t="shared" si="5"/>
        <v>150775022.71828255</v>
      </c>
      <c r="V35" s="21">
        <f>+U35+V34</f>
        <v>153753108.44548255</v>
      </c>
      <c r="W35" s="21">
        <f>+V35+W34</f>
        <v>155881161.44548255</v>
      </c>
      <c r="X35" s="21">
        <f>+W35+X34</f>
        <v>151951893.44548255</v>
      </c>
      <c r="Y35" s="11"/>
    </row>
    <row r="36" spans="1:27" x14ac:dyDescent="0.25">
      <c r="A36" s="17" t="s">
        <v>64</v>
      </c>
      <c r="F36" s="8"/>
      <c r="Y36" s="16">
        <f>+Y34/C51/1000</f>
        <v>320.79792067719694</v>
      </c>
      <c r="Z36" s="20"/>
    </row>
    <row r="37" spans="1:27" x14ac:dyDescent="0.25">
      <c r="A37" s="17"/>
      <c r="F37" s="8"/>
      <c r="Y37" s="16"/>
      <c r="Z37" s="20"/>
    </row>
    <row r="38" spans="1:27" x14ac:dyDescent="0.25">
      <c r="A38" s="17" t="s">
        <v>94</v>
      </c>
      <c r="F38" s="40">
        <v>-21556.400000000001</v>
      </c>
      <c r="G38" s="40">
        <f>43113+23365.9</f>
        <v>66478.899999999994</v>
      </c>
      <c r="H38" s="18">
        <v>-51000</v>
      </c>
      <c r="Y38" s="11">
        <f t="shared" ref="Y38:Y43" si="6">SUM(C38:X38)</f>
        <v>-6077.5000000000073</v>
      </c>
      <c r="Z38" s="19" t="s">
        <v>54</v>
      </c>
    </row>
    <row r="39" spans="1:27" x14ac:dyDescent="0.25">
      <c r="A39" s="17" t="s">
        <v>44</v>
      </c>
      <c r="C39" s="9">
        <v>413818</v>
      </c>
      <c r="D39" s="20">
        <v>239841</v>
      </c>
      <c r="E39" s="20">
        <v>375473</v>
      </c>
      <c r="F39" s="41">
        <f>11622+362544-6</f>
        <v>374160</v>
      </c>
      <c r="G39" s="30">
        <v>374175</v>
      </c>
      <c r="H39" s="30">
        <v>479817</v>
      </c>
      <c r="I39" s="30">
        <f t="shared" ref="I39:U39" si="7">(I35+H44)*$C49/12</f>
        <v>431577.41862083337</v>
      </c>
      <c r="J39" s="30">
        <f t="shared" si="7"/>
        <v>437225.48213836289</v>
      </c>
      <c r="K39" s="30">
        <f t="shared" si="7"/>
        <v>445286.67641661229</v>
      </c>
      <c r="L39" s="30">
        <v>454783</v>
      </c>
      <c r="M39" s="30">
        <v>462626.31550692458</v>
      </c>
      <c r="N39" s="30">
        <v>491955.34096592036</v>
      </c>
      <c r="O39" s="30">
        <v>516340</v>
      </c>
      <c r="P39" s="30">
        <f t="shared" si="7"/>
        <v>563568.39511004137</v>
      </c>
      <c r="Q39" s="30">
        <f t="shared" si="7"/>
        <v>624637.95154750114</v>
      </c>
      <c r="R39" s="30">
        <f t="shared" si="7"/>
        <v>687935.15703773533</v>
      </c>
      <c r="S39" s="30">
        <f t="shared" si="7"/>
        <v>734274.91068270814</v>
      </c>
      <c r="T39" s="30">
        <f t="shared" si="7"/>
        <v>776909.03905825817</v>
      </c>
      <c r="U39" s="30">
        <f t="shared" si="7"/>
        <v>864788.97323740693</v>
      </c>
      <c r="V39" s="30">
        <v>0</v>
      </c>
      <c r="W39" s="30">
        <v>0</v>
      </c>
      <c r="X39" s="30">
        <v>0</v>
      </c>
      <c r="Y39" s="11">
        <f t="shared" si="6"/>
        <v>9749192.6603223048</v>
      </c>
      <c r="Z39" s="19" t="str">
        <f>Z52</f>
        <v>Rodney Malcolm</v>
      </c>
      <c r="AA39" s="18">
        <f>Y39</f>
        <v>9749192.6603223048</v>
      </c>
    </row>
    <row r="40" spans="1:27" x14ac:dyDescent="0.25">
      <c r="A40" s="17" t="s">
        <v>88</v>
      </c>
      <c r="C40" s="9"/>
      <c r="D40" s="20"/>
      <c r="E40" s="20"/>
      <c r="F40" s="30">
        <v>0</v>
      </c>
      <c r="G40" s="30">
        <v>0</v>
      </c>
      <c r="H40" s="30">
        <v>0</v>
      </c>
      <c r="I40" s="30">
        <v>0</v>
      </c>
      <c r="J40" s="30"/>
      <c r="K40" s="30">
        <v>0</v>
      </c>
      <c r="L40" s="30">
        <v>0</v>
      </c>
      <c r="M40" s="30">
        <v>0</v>
      </c>
      <c r="N40" s="30">
        <v>0</v>
      </c>
      <c r="O40" s="30">
        <v>0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/>
      <c r="W40" s="30"/>
      <c r="X40" s="30"/>
      <c r="Y40" s="11">
        <f t="shared" si="6"/>
        <v>0</v>
      </c>
      <c r="Z40" s="19" t="str">
        <f>Z39</f>
        <v>Rodney Malcolm</v>
      </c>
    </row>
    <row r="41" spans="1:27" x14ac:dyDescent="0.25">
      <c r="A41" s="17" t="s">
        <v>31</v>
      </c>
      <c r="C41" s="4">
        <v>0</v>
      </c>
      <c r="Y41" s="11">
        <f t="shared" si="6"/>
        <v>0</v>
      </c>
      <c r="Z41" s="19" t="s">
        <v>54</v>
      </c>
    </row>
    <row r="42" spans="1:27" x14ac:dyDescent="0.25">
      <c r="A42" s="17" t="s">
        <v>86</v>
      </c>
      <c r="C42" s="9">
        <v>0</v>
      </c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>
        <v>0</v>
      </c>
      <c r="V42" s="20"/>
      <c r="W42" s="20"/>
      <c r="X42" s="20"/>
      <c r="Y42" s="11">
        <f t="shared" si="6"/>
        <v>0</v>
      </c>
      <c r="Z42" s="19" t="str">
        <f>Z24</f>
        <v>Steve Dowd</v>
      </c>
      <c r="AA42" s="18">
        <f>Y42</f>
        <v>0</v>
      </c>
    </row>
    <row r="43" spans="1:27" x14ac:dyDescent="0.25">
      <c r="A43" s="17" t="s">
        <v>65</v>
      </c>
      <c r="C43" s="21">
        <f t="shared" ref="C43:U43" si="8">SUM(C38:C42)</f>
        <v>413818</v>
      </c>
      <c r="D43" s="21">
        <f t="shared" si="8"/>
        <v>239841</v>
      </c>
      <c r="E43" s="21">
        <f t="shared" si="8"/>
        <v>375473</v>
      </c>
      <c r="F43" s="21">
        <f t="shared" si="8"/>
        <v>352603.6</v>
      </c>
      <c r="G43" s="21">
        <f t="shared" si="8"/>
        <v>440653.9</v>
      </c>
      <c r="H43" s="21">
        <f t="shared" si="8"/>
        <v>428817</v>
      </c>
      <c r="I43" s="21">
        <f t="shared" si="8"/>
        <v>431577.41862083337</v>
      </c>
      <c r="J43" s="21">
        <f t="shared" si="8"/>
        <v>437225.48213836289</v>
      </c>
      <c r="K43" s="21">
        <f t="shared" si="8"/>
        <v>445286.67641661229</v>
      </c>
      <c r="L43" s="21">
        <f t="shared" si="8"/>
        <v>454783</v>
      </c>
      <c r="M43" s="21">
        <f t="shared" si="8"/>
        <v>462626.31550692458</v>
      </c>
      <c r="N43" s="21">
        <f t="shared" si="8"/>
        <v>491955.34096592036</v>
      </c>
      <c r="O43" s="21">
        <f t="shared" si="8"/>
        <v>516340</v>
      </c>
      <c r="P43" s="21">
        <f t="shared" si="8"/>
        <v>563568.39511004137</v>
      </c>
      <c r="Q43" s="21">
        <f t="shared" si="8"/>
        <v>624637.95154750114</v>
      </c>
      <c r="R43" s="21">
        <f t="shared" si="8"/>
        <v>687935.15703773533</v>
      </c>
      <c r="S43" s="21">
        <f t="shared" si="8"/>
        <v>734274.91068270814</v>
      </c>
      <c r="T43" s="21">
        <f t="shared" si="8"/>
        <v>776909.03905825817</v>
      </c>
      <c r="U43" s="21">
        <f t="shared" si="8"/>
        <v>864788.97323740693</v>
      </c>
      <c r="V43" s="21">
        <f>SUM(V38:V42)</f>
        <v>0</v>
      </c>
      <c r="W43" s="21">
        <f>SUM(W38:W42)</f>
        <v>0</v>
      </c>
      <c r="X43" s="21">
        <f>SUM(X38:X42)</f>
        <v>0</v>
      </c>
      <c r="Y43" s="22">
        <f t="shared" si="6"/>
        <v>9743115.1603223048</v>
      </c>
      <c r="Z43" s="20"/>
    </row>
    <row r="44" spans="1:27" x14ac:dyDescent="0.25">
      <c r="A44" s="17" t="s">
        <v>68</v>
      </c>
      <c r="C44" s="21">
        <f>+C43</f>
        <v>413818</v>
      </c>
      <c r="D44" s="21">
        <f t="shared" ref="D44:U44" si="9">+D43+C44</f>
        <v>653659</v>
      </c>
      <c r="E44" s="21">
        <f t="shared" si="9"/>
        <v>1029132</v>
      </c>
      <c r="F44" s="21">
        <f t="shared" si="9"/>
        <v>1381735.6</v>
      </c>
      <c r="G44" s="21">
        <f t="shared" si="9"/>
        <v>1822389.5</v>
      </c>
      <c r="H44" s="21">
        <f t="shared" si="9"/>
        <v>2251206.5</v>
      </c>
      <c r="I44" s="21">
        <f t="shared" si="9"/>
        <v>2682783.9186208332</v>
      </c>
      <c r="J44" s="21">
        <f t="shared" si="9"/>
        <v>3120009.4007591959</v>
      </c>
      <c r="K44" s="21">
        <f t="shared" si="9"/>
        <v>3565296.0771758081</v>
      </c>
      <c r="L44" s="21">
        <f t="shared" si="9"/>
        <v>4020079.0771758081</v>
      </c>
      <c r="M44" s="21">
        <f t="shared" si="9"/>
        <v>4482705.392682733</v>
      </c>
      <c r="N44" s="21">
        <f t="shared" si="9"/>
        <v>4974660.7336486531</v>
      </c>
      <c r="O44" s="21">
        <f t="shared" si="9"/>
        <v>5491000.7336486531</v>
      </c>
      <c r="P44" s="21">
        <f t="shared" si="9"/>
        <v>6054569.128758695</v>
      </c>
      <c r="Q44" s="21">
        <f t="shared" si="9"/>
        <v>6679207.0803061966</v>
      </c>
      <c r="R44" s="21">
        <f t="shared" si="9"/>
        <v>7367142.2373439316</v>
      </c>
      <c r="S44" s="21">
        <f t="shared" si="9"/>
        <v>8101417.1480266396</v>
      </c>
      <c r="T44" s="21">
        <f t="shared" si="9"/>
        <v>8878326.1870848984</v>
      </c>
      <c r="U44" s="21">
        <f t="shared" si="9"/>
        <v>9743115.1603223048</v>
      </c>
      <c r="V44" s="21">
        <f>+V43+U44</f>
        <v>9743115.1603223048</v>
      </c>
      <c r="W44" s="21">
        <f>+W43+V44</f>
        <v>9743115.1603223048</v>
      </c>
      <c r="X44" s="21">
        <f>+X43+W44</f>
        <v>9743115.1603223048</v>
      </c>
      <c r="Y44" s="11"/>
      <c r="Z44" s="20"/>
    </row>
    <row r="45" spans="1:27" x14ac:dyDescent="0.25">
      <c r="A45" s="17"/>
      <c r="C45" s="9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11"/>
      <c r="Z45" s="20"/>
    </row>
    <row r="46" spans="1:27" s="4" customFormat="1" x14ac:dyDescent="0.25">
      <c r="A46" s="4" t="s">
        <v>75</v>
      </c>
      <c r="C46" s="4">
        <f t="shared" ref="C46:U46" si="10">+C34+C43</f>
        <v>17087218</v>
      </c>
      <c r="D46" s="4">
        <f t="shared" si="10"/>
        <v>43641491</v>
      </c>
      <c r="E46" s="4">
        <f t="shared" si="10"/>
        <v>4681548</v>
      </c>
      <c r="F46" s="4">
        <f t="shared" si="10"/>
        <v>362603.6</v>
      </c>
      <c r="G46" s="4">
        <f t="shared" si="10"/>
        <v>4745094.5900000008</v>
      </c>
      <c r="H46" s="4">
        <f t="shared" si="10"/>
        <v>9091692.2300000004</v>
      </c>
      <c r="I46" s="4">
        <f t="shared" si="10"/>
        <v>497761.12862083339</v>
      </c>
      <c r="J46" s="4">
        <f t="shared" si="10"/>
        <v>1048367.4821383629</v>
      </c>
      <c r="K46" s="4">
        <f t="shared" si="10"/>
        <v>1496281.6764166122</v>
      </c>
      <c r="L46" s="4">
        <f t="shared" si="10"/>
        <v>1780115.93</v>
      </c>
      <c r="M46" s="4">
        <f t="shared" si="10"/>
        <v>1566383.4088402581</v>
      </c>
      <c r="N46" s="4">
        <f t="shared" si="10"/>
        <v>5481999.3409659201</v>
      </c>
      <c r="O46" s="4">
        <f t="shared" si="10"/>
        <v>4425759.3</v>
      </c>
      <c r="P46" s="4">
        <f t="shared" si="10"/>
        <v>8700648.7284433749</v>
      </c>
      <c r="Q46" s="4">
        <f t="shared" si="10"/>
        <v>11335449.206430044</v>
      </c>
      <c r="R46" s="4">
        <f t="shared" si="10"/>
        <v>11748935.142148847</v>
      </c>
      <c r="S46" s="4">
        <f t="shared" si="10"/>
        <v>8601371.1957938205</v>
      </c>
      <c r="T46" s="4">
        <f t="shared" si="10"/>
        <v>7913550.1361693675</v>
      </c>
      <c r="U46" s="4">
        <f t="shared" si="10"/>
        <v>16311867.782637408</v>
      </c>
      <c r="V46" s="4">
        <f>+V34+V43</f>
        <v>2978085.7272000001</v>
      </c>
      <c r="W46" s="4">
        <f>+W34+W43</f>
        <v>2128053</v>
      </c>
      <c r="X46" s="4">
        <f>+X34+X43</f>
        <v>-3929268</v>
      </c>
      <c r="Y46" s="11">
        <f>SUM(C46:X46)</f>
        <v>161695008.60580486</v>
      </c>
    </row>
    <row r="47" spans="1:27" s="4" customFormat="1" x14ac:dyDescent="0.25">
      <c r="A47" s="4" t="s">
        <v>45</v>
      </c>
      <c r="C47" s="4">
        <f>C46</f>
        <v>17087218</v>
      </c>
      <c r="D47" s="4">
        <f t="shared" ref="D47:U47" si="11">C47+D46</f>
        <v>60728709</v>
      </c>
      <c r="E47" s="4">
        <f t="shared" si="11"/>
        <v>65410257</v>
      </c>
      <c r="F47" s="4">
        <f t="shared" si="11"/>
        <v>65772860.600000001</v>
      </c>
      <c r="G47" s="4">
        <f t="shared" si="11"/>
        <v>70517955.189999998</v>
      </c>
      <c r="H47" s="4">
        <f t="shared" si="11"/>
        <v>79609647.420000002</v>
      </c>
      <c r="I47" s="4">
        <f t="shared" si="11"/>
        <v>80107408.548620835</v>
      </c>
      <c r="J47" s="4">
        <f t="shared" si="11"/>
        <v>81155776.0307592</v>
      </c>
      <c r="K47" s="4">
        <f t="shared" si="11"/>
        <v>82652057.707175806</v>
      </c>
      <c r="L47" s="4">
        <f t="shared" si="11"/>
        <v>84432173.637175813</v>
      </c>
      <c r="M47" s="4">
        <f t="shared" si="11"/>
        <v>85998557.046016067</v>
      </c>
      <c r="N47" s="4">
        <f t="shared" si="11"/>
        <v>91480556.386981994</v>
      </c>
      <c r="O47" s="4">
        <f t="shared" si="11"/>
        <v>95906315.686981991</v>
      </c>
      <c r="P47" s="4">
        <f t="shared" si="11"/>
        <v>104606964.41542536</v>
      </c>
      <c r="Q47" s="4">
        <f t="shared" si="11"/>
        <v>115942413.62185541</v>
      </c>
      <c r="R47" s="4">
        <f t="shared" si="11"/>
        <v>127691348.76400426</v>
      </c>
      <c r="S47" s="4">
        <f t="shared" si="11"/>
        <v>136292719.95979807</v>
      </c>
      <c r="T47" s="4">
        <f t="shared" si="11"/>
        <v>144206270.09596744</v>
      </c>
      <c r="U47" s="4">
        <f t="shared" si="11"/>
        <v>160518137.87860486</v>
      </c>
      <c r="V47" s="4">
        <f>U47+V46</f>
        <v>163496223.60580486</v>
      </c>
      <c r="W47" s="4">
        <f>V47+W46</f>
        <v>165624276.60580486</v>
      </c>
      <c r="X47" s="4">
        <f>W47+X46</f>
        <v>161695008.60580486</v>
      </c>
      <c r="Y47" s="11"/>
    </row>
    <row r="48" spans="1:27" s="4" customFormat="1" x14ac:dyDescent="0.25">
      <c r="Y48" s="16">
        <f>+Y46/C51/1000</f>
        <v>344.03193320384008</v>
      </c>
    </row>
    <row r="49" spans="1:29" s="4" customFormat="1" x14ac:dyDescent="0.25">
      <c r="A49" s="8" t="s">
        <v>96</v>
      </c>
      <c r="C49" s="12">
        <v>6.5000000000000002E-2</v>
      </c>
      <c r="Y49" s="11"/>
    </row>
    <row r="50" spans="1:29" s="4" customFormat="1" x14ac:dyDescent="0.25">
      <c r="A50" s="8" t="s">
        <v>89</v>
      </c>
      <c r="C50" s="12">
        <v>3.5000000000000001E-3</v>
      </c>
      <c r="D50" s="35">
        <v>163000000</v>
      </c>
      <c r="Y50" s="11"/>
    </row>
    <row r="51" spans="1:29" s="4" customFormat="1" x14ac:dyDescent="0.25">
      <c r="A51" s="17" t="s">
        <v>64</v>
      </c>
      <c r="C51" s="4">
        <v>470</v>
      </c>
      <c r="D51" s="4" t="s">
        <v>66</v>
      </c>
      <c r="Y51" s="11"/>
    </row>
    <row r="52" spans="1:29" x14ac:dyDescent="0.25">
      <c r="A52" s="17" t="s">
        <v>39</v>
      </c>
      <c r="C52" s="4">
        <v>0</v>
      </c>
      <c r="Y52" s="23">
        <f>SUM(C52:U52)</f>
        <v>0</v>
      </c>
      <c r="Z52" s="19" t="str">
        <f>Z41</f>
        <v>Rodney Malcolm</v>
      </c>
    </row>
    <row r="53" spans="1:29" s="4" customFormat="1" x14ac:dyDescent="0.25">
      <c r="A53" s="8"/>
      <c r="C53" s="12"/>
      <c r="Y53" s="11"/>
    </row>
    <row r="54" spans="1:29" x14ac:dyDescent="0.25">
      <c r="A54" s="17" t="s">
        <v>69</v>
      </c>
      <c r="C54" s="4">
        <f t="shared" ref="C54:X54" si="12">+C46-C39</f>
        <v>16673400</v>
      </c>
      <c r="D54" s="4">
        <f t="shared" si="12"/>
        <v>43401650</v>
      </c>
      <c r="E54" s="4">
        <f t="shared" si="12"/>
        <v>4306075</v>
      </c>
      <c r="F54" s="4">
        <f t="shared" si="12"/>
        <v>-11556.400000000023</v>
      </c>
      <c r="G54" s="4">
        <f t="shared" si="12"/>
        <v>4370919.5900000008</v>
      </c>
      <c r="H54" s="4">
        <f t="shared" si="12"/>
        <v>8611875.2300000004</v>
      </c>
      <c r="I54" s="4">
        <f t="shared" si="12"/>
        <v>66183.710000000021</v>
      </c>
      <c r="J54" s="4">
        <f t="shared" si="12"/>
        <v>611142</v>
      </c>
      <c r="K54" s="4">
        <f t="shared" si="12"/>
        <v>1050995</v>
      </c>
      <c r="L54" s="4">
        <f t="shared" si="12"/>
        <v>1325332.93</v>
      </c>
      <c r="M54" s="4">
        <f t="shared" si="12"/>
        <v>1103757.0933333335</v>
      </c>
      <c r="N54" s="4">
        <f t="shared" si="12"/>
        <v>4990044</v>
      </c>
      <c r="O54" s="4">
        <f t="shared" si="12"/>
        <v>3909419.3</v>
      </c>
      <c r="P54" s="4">
        <f t="shared" si="12"/>
        <v>8137080.333333334</v>
      </c>
      <c r="Q54" s="4">
        <f t="shared" si="12"/>
        <v>10710811.254882542</v>
      </c>
      <c r="R54" s="4">
        <f t="shared" si="12"/>
        <v>11060999.985111112</v>
      </c>
      <c r="S54" s="4">
        <f t="shared" si="12"/>
        <v>7867096.2851111125</v>
      </c>
      <c r="T54" s="4">
        <f t="shared" si="12"/>
        <v>7136641.0971111096</v>
      </c>
      <c r="U54" s="4">
        <f t="shared" si="12"/>
        <v>15447078.809400002</v>
      </c>
      <c r="V54" s="4">
        <f t="shared" si="12"/>
        <v>2978085.7272000001</v>
      </c>
      <c r="W54" s="4">
        <f t="shared" si="12"/>
        <v>2128053</v>
      </c>
      <c r="X54" s="4">
        <f t="shared" si="12"/>
        <v>-3929268</v>
      </c>
      <c r="Y54" s="23">
        <f>SUM(C54:X54)</f>
        <v>151945815.94548255</v>
      </c>
    </row>
    <row r="55" spans="1:29" x14ac:dyDescent="0.25">
      <c r="Y55" s="11"/>
    </row>
    <row r="56" spans="1:29" x14ac:dyDescent="0.25">
      <c r="A56" s="17"/>
      <c r="C56" s="18"/>
      <c r="Y56" s="11"/>
    </row>
    <row r="57" spans="1:29" ht="19.2" x14ac:dyDescent="0.6">
      <c r="A57" s="32" t="s">
        <v>81</v>
      </c>
      <c r="Y57" s="11"/>
    </row>
    <row r="58" spans="1:29" x14ac:dyDescent="0.25">
      <c r="A58" s="4" t="s">
        <v>37</v>
      </c>
      <c r="Y58" s="11"/>
      <c r="AB58" s="17"/>
    </row>
    <row r="59" spans="1:29" x14ac:dyDescent="0.25">
      <c r="A59" s="17" t="s">
        <v>24</v>
      </c>
      <c r="C59" s="4">
        <v>0</v>
      </c>
      <c r="D59" s="18">
        <v>0</v>
      </c>
      <c r="E59" s="18">
        <v>0</v>
      </c>
      <c r="F59" s="8">
        <v>53841</v>
      </c>
      <c r="G59" s="18">
        <v>82339</v>
      </c>
      <c r="H59" s="18">
        <v>0</v>
      </c>
      <c r="I59" s="17">
        <v>0</v>
      </c>
      <c r="J59" s="17">
        <v>0</v>
      </c>
      <c r="K59" s="17">
        <v>0</v>
      </c>
      <c r="L59" s="17">
        <v>0</v>
      </c>
      <c r="M59" s="18">
        <v>0</v>
      </c>
      <c r="N59" s="18">
        <v>0</v>
      </c>
      <c r="O59" s="18">
        <v>0</v>
      </c>
      <c r="P59" s="18">
        <v>0</v>
      </c>
      <c r="Q59" s="18">
        <v>0</v>
      </c>
      <c r="R59" s="18">
        <v>0</v>
      </c>
      <c r="S59" s="18">
        <v>0</v>
      </c>
      <c r="T59" s="18">
        <v>0</v>
      </c>
      <c r="U59" s="18">
        <v>0</v>
      </c>
      <c r="Y59" s="11">
        <f>SUM(C59:X59)</f>
        <v>136180</v>
      </c>
      <c r="Z59" s="19" t="str">
        <f>+Z42</f>
        <v>Steve Dowd</v>
      </c>
      <c r="AA59" s="18">
        <f>Y59+Y25</f>
        <v>450000.42000000004</v>
      </c>
      <c r="AB59" s="18">
        <f>[1]Wheatland!$BR$171</f>
        <v>450000</v>
      </c>
      <c r="AC59" s="18">
        <f>AB59-AA59</f>
        <v>-0.42000000004190952</v>
      </c>
    </row>
    <row r="60" spans="1:29" x14ac:dyDescent="0.25">
      <c r="A60" s="17" t="s">
        <v>32</v>
      </c>
      <c r="C60" s="4">
        <v>0</v>
      </c>
      <c r="D60" s="18">
        <v>1178</v>
      </c>
      <c r="E60" s="18">
        <v>427</v>
      </c>
      <c r="F60" s="8">
        <v>2729</v>
      </c>
      <c r="G60" s="18">
        <v>1480</v>
      </c>
      <c r="H60" s="18">
        <v>0</v>
      </c>
      <c r="I60" s="18">
        <v>75487.009999999995</v>
      </c>
      <c r="J60" s="18">
        <v>68414.19</v>
      </c>
      <c r="K60" s="18">
        <v>0</v>
      </c>
      <c r="L60" s="18">
        <v>0</v>
      </c>
      <c r="M60" s="18">
        <v>0</v>
      </c>
      <c r="N60" s="18">
        <v>0</v>
      </c>
      <c r="O60" s="18">
        <v>0</v>
      </c>
      <c r="P60" s="18">
        <v>0</v>
      </c>
      <c r="Q60" s="18">
        <v>0</v>
      </c>
      <c r="R60" s="18">
        <v>0</v>
      </c>
      <c r="S60" s="18">
        <v>0</v>
      </c>
      <c r="T60" s="18">
        <v>0</v>
      </c>
      <c r="U60" s="18">
        <v>0</v>
      </c>
      <c r="Y60" s="11">
        <f>SUM(C60:X60)</f>
        <v>149715.20000000001</v>
      </c>
      <c r="Z60" s="19" t="str">
        <f>+Z59</f>
        <v>Steve Dowd</v>
      </c>
      <c r="AA60" s="18">
        <f>Y60+Y32</f>
        <v>754274.31857142854</v>
      </c>
      <c r="AB60" s="18">
        <f>[1]Wheatland!$BR$196</f>
        <v>754273.98</v>
      </c>
      <c r="AC60" s="18">
        <f>AB60-AA60</f>
        <v>-0.33857142855413258</v>
      </c>
    </row>
    <row r="61" spans="1:29" x14ac:dyDescent="0.25">
      <c r="A61" s="17" t="s">
        <v>23</v>
      </c>
      <c r="E61" s="18">
        <v>0</v>
      </c>
      <c r="F61" s="8">
        <v>0</v>
      </c>
      <c r="G61" s="18">
        <v>0</v>
      </c>
      <c r="Y61" s="11">
        <f>SUM(C61:X61)</f>
        <v>0</v>
      </c>
      <c r="Z61" s="19"/>
      <c r="AA61" s="18">
        <f>Y61+Y24</f>
        <v>1376269.26</v>
      </c>
      <c r="AB61" s="18">
        <f>[1]Wheatland!$BR$166</f>
        <v>1376268.86</v>
      </c>
      <c r="AC61" s="18">
        <f>AB61-AA61</f>
        <v>-0.39999999990686774</v>
      </c>
    </row>
    <row r="62" spans="1:29" x14ac:dyDescent="0.25">
      <c r="A62" s="17" t="s">
        <v>30</v>
      </c>
      <c r="C62" s="4">
        <v>0</v>
      </c>
      <c r="D62" s="18">
        <v>0</v>
      </c>
      <c r="E62" s="18">
        <v>14497</v>
      </c>
      <c r="F62" s="8">
        <v>0</v>
      </c>
      <c r="G62" s="18">
        <v>304.38</v>
      </c>
      <c r="H62" s="18">
        <v>0</v>
      </c>
      <c r="I62" s="18">
        <v>0</v>
      </c>
      <c r="J62" s="18">
        <v>0</v>
      </c>
      <c r="K62" s="18">
        <v>0</v>
      </c>
      <c r="L62" s="18">
        <v>0</v>
      </c>
      <c r="M62" s="18">
        <v>0</v>
      </c>
      <c r="N62" s="18">
        <v>0</v>
      </c>
      <c r="O62" s="18">
        <v>0</v>
      </c>
      <c r="P62" s="18">
        <v>0</v>
      </c>
      <c r="Q62" s="18">
        <v>0</v>
      </c>
      <c r="R62" s="18">
        <v>0</v>
      </c>
      <c r="S62" s="18">
        <v>0</v>
      </c>
      <c r="T62" s="18">
        <v>0</v>
      </c>
      <c r="U62" s="18">
        <v>0</v>
      </c>
      <c r="Y62" s="11">
        <f>SUM(C62:X62)</f>
        <v>14801.38</v>
      </c>
      <c r="Z62" s="19" t="str">
        <f>+Z60</f>
        <v>Steve Dowd</v>
      </c>
      <c r="AA62" s="18">
        <f>Y62+Y31</f>
        <v>200000.38444444444</v>
      </c>
      <c r="AB62" s="18">
        <f>[1]Wheatland!$BR$185</f>
        <v>200000</v>
      </c>
      <c r="AC62" s="18">
        <f>AB62-AA62</f>
        <v>-0.38444444444030523</v>
      </c>
    </row>
    <row r="63" spans="1:29" x14ac:dyDescent="0.25">
      <c r="A63" s="17" t="s">
        <v>33</v>
      </c>
      <c r="C63" s="4">
        <v>0</v>
      </c>
      <c r="F63" s="8">
        <v>0</v>
      </c>
      <c r="G63" s="18">
        <v>0</v>
      </c>
      <c r="H63" s="18">
        <v>0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0</v>
      </c>
      <c r="T63" s="18">
        <v>0</v>
      </c>
      <c r="U63" s="18">
        <v>0</v>
      </c>
      <c r="Y63" s="11">
        <f>SUM(C63:X63)</f>
        <v>0</v>
      </c>
      <c r="Z63" s="19" t="str">
        <f>+Z62</f>
        <v>Steve Dowd</v>
      </c>
      <c r="AA63" s="18">
        <f>Y63+Y33</f>
        <v>452208.9</v>
      </c>
      <c r="AB63" s="18">
        <f>[1]Wheatland!$BR$203</f>
        <v>452208.46</v>
      </c>
      <c r="AC63" s="18">
        <f>AB63-AA63</f>
        <v>-0.44000000000232831</v>
      </c>
    </row>
    <row r="64" spans="1:29" x14ac:dyDescent="0.25">
      <c r="A64" s="4" t="s">
        <v>84</v>
      </c>
      <c r="C64" s="21">
        <f t="shared" ref="C64:Y64" si="13">SUM(C59:C63)</f>
        <v>0</v>
      </c>
      <c r="D64" s="21">
        <f t="shared" si="13"/>
        <v>1178</v>
      </c>
      <c r="E64" s="21">
        <f t="shared" si="13"/>
        <v>14924</v>
      </c>
      <c r="F64" s="21">
        <f t="shared" si="13"/>
        <v>56570</v>
      </c>
      <c r="G64" s="21">
        <f t="shared" si="13"/>
        <v>84123.38</v>
      </c>
      <c r="H64" s="21">
        <f t="shared" si="13"/>
        <v>0</v>
      </c>
      <c r="I64" s="21">
        <f t="shared" si="13"/>
        <v>75487.009999999995</v>
      </c>
      <c r="J64" s="21">
        <f t="shared" si="13"/>
        <v>68414.19</v>
      </c>
      <c r="K64" s="21">
        <f t="shared" si="13"/>
        <v>0</v>
      </c>
      <c r="L64" s="21">
        <f t="shared" si="13"/>
        <v>0</v>
      </c>
      <c r="M64" s="21">
        <f t="shared" si="13"/>
        <v>0</v>
      </c>
      <c r="N64" s="21">
        <f t="shared" si="13"/>
        <v>0</v>
      </c>
      <c r="O64" s="21">
        <f t="shared" si="13"/>
        <v>0</v>
      </c>
      <c r="P64" s="21">
        <f t="shared" si="13"/>
        <v>0</v>
      </c>
      <c r="Q64" s="21">
        <f t="shared" si="13"/>
        <v>0</v>
      </c>
      <c r="R64" s="21">
        <f t="shared" si="13"/>
        <v>0</v>
      </c>
      <c r="S64" s="21">
        <f t="shared" si="13"/>
        <v>0</v>
      </c>
      <c r="T64" s="21">
        <f t="shared" si="13"/>
        <v>0</v>
      </c>
      <c r="U64" s="21">
        <f t="shared" si="13"/>
        <v>0</v>
      </c>
      <c r="V64" s="21">
        <f>SUM(V59:V63)</f>
        <v>0</v>
      </c>
      <c r="W64" s="21">
        <f>SUM(W59:W63)</f>
        <v>0</v>
      </c>
      <c r="X64" s="21">
        <f>SUM(X59:X63)</f>
        <v>0</v>
      </c>
      <c r="Y64" s="21">
        <f t="shared" si="13"/>
        <v>300696.58</v>
      </c>
      <c r="Z64" s="20"/>
    </row>
    <row r="65" spans="1:26" x14ac:dyDescent="0.25">
      <c r="A65" s="4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20"/>
    </row>
    <row r="66" spans="1:26" x14ac:dyDescent="0.25">
      <c r="A66" s="4" t="s">
        <v>97</v>
      </c>
      <c r="C66" s="9"/>
      <c r="D66" s="9"/>
      <c r="E66" s="9"/>
      <c r="F66" s="9"/>
      <c r="G66" s="9">
        <v>-67129</v>
      </c>
      <c r="H66" s="9">
        <v>12250</v>
      </c>
      <c r="I66" s="9">
        <v>-26420</v>
      </c>
      <c r="J66" s="9">
        <v>-23945</v>
      </c>
      <c r="K66" s="9"/>
      <c r="L66" s="9"/>
      <c r="M66" s="9">
        <f>[1]Wheatland!$AN$217</f>
        <v>0</v>
      </c>
      <c r="N66" s="9">
        <f>[1]Wheatland!$AP$217</f>
        <v>0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>
        <f>SUM(G66:X66)</f>
        <v>-105244</v>
      </c>
      <c r="Z66" s="20"/>
    </row>
    <row r="67" spans="1:26" s="43" customFormat="1" x14ac:dyDescent="0.25">
      <c r="A67" s="21" t="s">
        <v>98</v>
      </c>
      <c r="C67" s="21">
        <f t="shared" ref="C67:Y67" si="14">SUM(C64:C66)</f>
        <v>0</v>
      </c>
      <c r="D67" s="21">
        <f t="shared" si="14"/>
        <v>1178</v>
      </c>
      <c r="E67" s="21">
        <f t="shared" si="14"/>
        <v>14924</v>
      </c>
      <c r="F67" s="21">
        <f t="shared" si="14"/>
        <v>56570</v>
      </c>
      <c r="G67" s="21">
        <f t="shared" si="14"/>
        <v>16994.380000000005</v>
      </c>
      <c r="H67" s="21">
        <f t="shared" si="14"/>
        <v>12250</v>
      </c>
      <c r="I67" s="21">
        <f t="shared" si="14"/>
        <v>49067.009999999995</v>
      </c>
      <c r="J67" s="21">
        <f t="shared" si="14"/>
        <v>44469.19</v>
      </c>
      <c r="K67" s="21">
        <f t="shared" si="14"/>
        <v>0</v>
      </c>
      <c r="L67" s="21">
        <f t="shared" si="14"/>
        <v>0</v>
      </c>
      <c r="M67" s="21">
        <f t="shared" si="14"/>
        <v>0</v>
      </c>
      <c r="N67" s="21">
        <f t="shared" si="14"/>
        <v>0</v>
      </c>
      <c r="O67" s="21">
        <f t="shared" si="14"/>
        <v>0</v>
      </c>
      <c r="P67" s="21">
        <f t="shared" si="14"/>
        <v>0</v>
      </c>
      <c r="Q67" s="21">
        <f t="shared" si="14"/>
        <v>0</v>
      </c>
      <c r="R67" s="21">
        <f t="shared" si="14"/>
        <v>0</v>
      </c>
      <c r="S67" s="21">
        <f t="shared" si="14"/>
        <v>0</v>
      </c>
      <c r="T67" s="21">
        <f t="shared" si="14"/>
        <v>0</v>
      </c>
      <c r="U67" s="21">
        <f t="shared" si="14"/>
        <v>0</v>
      </c>
      <c r="V67" s="21">
        <f>SUM(V64:V66)</f>
        <v>0</v>
      </c>
      <c r="W67" s="21">
        <f>SUM(W64:W66)</f>
        <v>0</v>
      </c>
      <c r="X67" s="21">
        <f>SUM(X64:X66)</f>
        <v>0</v>
      </c>
      <c r="Y67" s="21">
        <f t="shared" si="14"/>
        <v>195452.58000000002</v>
      </c>
    </row>
    <row r="68" spans="1:26" x14ac:dyDescent="0.25">
      <c r="A68" s="4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11"/>
      <c r="Z68" s="20"/>
    </row>
    <row r="69" spans="1:26" x14ac:dyDescent="0.25">
      <c r="A69" s="4" t="s">
        <v>76</v>
      </c>
      <c r="Y69" s="11"/>
    </row>
    <row r="70" spans="1:26" x14ac:dyDescent="0.25">
      <c r="A70" s="18" t="s">
        <v>23</v>
      </c>
      <c r="E70" s="18">
        <v>15000</v>
      </c>
      <c r="Y70" s="11">
        <f>SUM(C70:X70)</f>
        <v>15000</v>
      </c>
      <c r="Z70" s="19" t="str">
        <f>+Z63</f>
        <v>Steve Dowd</v>
      </c>
    </row>
    <row r="71" spans="1:26" x14ac:dyDescent="0.25">
      <c r="A71" s="17" t="s">
        <v>30</v>
      </c>
      <c r="E71" s="18">
        <v>0</v>
      </c>
      <c r="Y71" s="11">
        <f>SUM(C71:X71)</f>
        <v>0</v>
      </c>
      <c r="Z71" s="19" t="str">
        <f>+Z70</f>
        <v>Steve Dowd</v>
      </c>
    </row>
    <row r="72" spans="1:26" x14ac:dyDescent="0.25">
      <c r="A72" s="17" t="s">
        <v>32</v>
      </c>
      <c r="D72" s="18">
        <v>0</v>
      </c>
      <c r="E72" s="18">
        <v>0</v>
      </c>
      <c r="F72" s="18">
        <v>100</v>
      </c>
      <c r="Y72" s="11">
        <f>SUM(C72:X72)</f>
        <v>100</v>
      </c>
      <c r="Z72" s="19" t="str">
        <f>+Z71</f>
        <v>Steve Dowd</v>
      </c>
    </row>
    <row r="73" spans="1:26" x14ac:dyDescent="0.25">
      <c r="A73" s="17" t="s">
        <v>33</v>
      </c>
      <c r="D73" s="18">
        <v>0</v>
      </c>
      <c r="Y73" s="11">
        <f>SUM(C73:X73)</f>
        <v>0</v>
      </c>
      <c r="Z73" s="19" t="str">
        <f>+Z72</f>
        <v>Steve Dowd</v>
      </c>
    </row>
    <row r="74" spans="1:26" x14ac:dyDescent="0.25">
      <c r="Y74" s="11"/>
    </row>
    <row r="75" spans="1:26" x14ac:dyDescent="0.25">
      <c r="A75" s="4" t="s">
        <v>85</v>
      </c>
      <c r="C75" s="21">
        <f t="shared" ref="C75:U75" si="15">SUM(C70:C74)</f>
        <v>0</v>
      </c>
      <c r="D75" s="21">
        <f t="shared" si="15"/>
        <v>0</v>
      </c>
      <c r="E75" s="21">
        <f t="shared" si="15"/>
        <v>15000</v>
      </c>
      <c r="F75" s="21">
        <f t="shared" si="15"/>
        <v>100</v>
      </c>
      <c r="G75" s="21">
        <f t="shared" si="15"/>
        <v>0</v>
      </c>
      <c r="H75" s="21">
        <f t="shared" si="15"/>
        <v>0</v>
      </c>
      <c r="I75" s="21">
        <f t="shared" si="15"/>
        <v>0</v>
      </c>
      <c r="J75" s="21">
        <f t="shared" si="15"/>
        <v>0</v>
      </c>
      <c r="K75" s="21">
        <f t="shared" si="15"/>
        <v>0</v>
      </c>
      <c r="L75" s="21">
        <f t="shared" si="15"/>
        <v>0</v>
      </c>
      <c r="M75" s="21">
        <f t="shared" si="15"/>
        <v>0</v>
      </c>
      <c r="N75" s="21">
        <f t="shared" si="15"/>
        <v>0</v>
      </c>
      <c r="O75" s="21">
        <f t="shared" si="15"/>
        <v>0</v>
      </c>
      <c r="P75" s="21">
        <f t="shared" si="15"/>
        <v>0</v>
      </c>
      <c r="Q75" s="21">
        <f t="shared" si="15"/>
        <v>0</v>
      </c>
      <c r="R75" s="21">
        <f t="shared" si="15"/>
        <v>0</v>
      </c>
      <c r="S75" s="21">
        <f t="shared" si="15"/>
        <v>0</v>
      </c>
      <c r="T75" s="21">
        <f t="shared" si="15"/>
        <v>0</v>
      </c>
      <c r="U75" s="21">
        <f t="shared" si="15"/>
        <v>0</v>
      </c>
      <c r="V75" s="21">
        <f>SUM(V70:V74)</f>
        <v>0</v>
      </c>
      <c r="W75" s="21">
        <f>SUM(W70:W74)</f>
        <v>0</v>
      </c>
      <c r="X75" s="21">
        <f>SUM(X70:X74)</f>
        <v>0</v>
      </c>
      <c r="Y75" s="22">
        <f>SUM(C75:U75)</f>
        <v>15100</v>
      </c>
    </row>
    <row r="76" spans="1:26" x14ac:dyDescent="0.25">
      <c r="Y76" s="11"/>
    </row>
    <row r="77" spans="1:26" x14ac:dyDescent="0.25">
      <c r="Y77" s="11"/>
    </row>
    <row r="78" spans="1:26" ht="13.8" thickBot="1" x14ac:dyDescent="0.3">
      <c r="A78" s="4" t="s">
        <v>87</v>
      </c>
      <c r="C78" s="33">
        <f>+C46+C67+C75</f>
        <v>17087218</v>
      </c>
      <c r="D78" s="33">
        <f t="shared" ref="D78:Y78" si="16">+D46+D67+D75</f>
        <v>43642669</v>
      </c>
      <c r="E78" s="33">
        <f t="shared" si="16"/>
        <v>4711472</v>
      </c>
      <c r="F78" s="33">
        <f t="shared" si="16"/>
        <v>419273.6</v>
      </c>
      <c r="G78" s="33">
        <f t="shared" si="16"/>
        <v>4762088.9700000007</v>
      </c>
      <c r="H78" s="33">
        <f t="shared" si="16"/>
        <v>9103942.2300000004</v>
      </c>
      <c r="I78" s="33">
        <f t="shared" si="16"/>
        <v>546828.1386208334</v>
      </c>
      <c r="J78" s="33">
        <f t="shared" si="16"/>
        <v>1092836.6721383629</v>
      </c>
      <c r="K78" s="33">
        <f t="shared" si="16"/>
        <v>1496281.6764166122</v>
      </c>
      <c r="L78" s="33">
        <f t="shared" si="16"/>
        <v>1780115.93</v>
      </c>
      <c r="M78" s="33">
        <f t="shared" si="16"/>
        <v>1566383.4088402581</v>
      </c>
      <c r="N78" s="33">
        <f t="shared" si="16"/>
        <v>5481999.3409659201</v>
      </c>
      <c r="O78" s="33">
        <f t="shared" si="16"/>
        <v>4425759.3</v>
      </c>
      <c r="P78" s="33">
        <f t="shared" si="16"/>
        <v>8700648.7284433749</v>
      </c>
      <c r="Q78" s="33">
        <f t="shared" si="16"/>
        <v>11335449.206430044</v>
      </c>
      <c r="R78" s="33">
        <f t="shared" si="16"/>
        <v>11748935.142148847</v>
      </c>
      <c r="S78" s="33">
        <f t="shared" si="16"/>
        <v>8601371.1957938205</v>
      </c>
      <c r="T78" s="33">
        <f t="shared" si="16"/>
        <v>7913550.1361693675</v>
      </c>
      <c r="U78" s="33">
        <f t="shared" si="16"/>
        <v>16311867.782637408</v>
      </c>
      <c r="V78" s="33">
        <f t="shared" si="16"/>
        <v>2978085.7272000001</v>
      </c>
      <c r="W78" s="33">
        <f t="shared" si="16"/>
        <v>2128053</v>
      </c>
      <c r="X78" s="33">
        <f t="shared" si="16"/>
        <v>-3929268</v>
      </c>
      <c r="Y78" s="33">
        <f t="shared" si="16"/>
        <v>161905561.18580487</v>
      </c>
      <c r="Z78" s="17"/>
    </row>
    <row r="79" spans="1:26" x14ac:dyDescent="0.25">
      <c r="U79"/>
      <c r="V79"/>
      <c r="W79"/>
      <c r="X79"/>
      <c r="Y79" s="47">
        <f>Y78-[1]Wheatland!$BR$236</f>
        <v>2.1254825592041016</v>
      </c>
    </row>
  </sheetData>
  <mergeCells count="1">
    <mergeCell ref="D5:O5"/>
  </mergeCells>
  <printOptions horizontalCentered="1"/>
  <pageMargins left="0.25" right="0.25" top="0.5" bottom="0.5" header="0.25" footer="0.5"/>
  <pageSetup scale="37" orientation="landscape" horizontalDpi="300" verticalDpi="300" r:id="rId1"/>
  <headerFooter alignWithMargins="0"/>
  <rowBreaks count="1" manualBreakCount="1">
    <brk id="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6.5% - Swap</vt:lpstr>
      <vt:lpstr>Summary</vt:lpstr>
      <vt:lpstr>Calvert City</vt:lpstr>
      <vt:lpstr>Wilton</vt:lpstr>
      <vt:lpstr>Gleason</vt:lpstr>
      <vt:lpstr>Wheatland</vt:lpstr>
      <vt:lpstr>'Calvert City'!Print_Area</vt:lpstr>
      <vt:lpstr>Gleason!Print_Area</vt:lpstr>
      <vt:lpstr>Wheatland!Print_Area</vt:lpstr>
      <vt:lpstr>Wilton!Print_Area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tshepperd</dc:creator>
  <cp:lastModifiedBy>Havlíček Jan</cp:lastModifiedBy>
  <cp:lastPrinted>2000-01-31T19:07:40Z</cp:lastPrinted>
  <dcterms:created xsi:type="dcterms:W3CDTF">1999-02-09T14:03:00Z</dcterms:created>
  <dcterms:modified xsi:type="dcterms:W3CDTF">2023-09-10T11:57:08Z</dcterms:modified>
</cp:coreProperties>
</file>